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Performance" sheetId="2" r:id="rId2"/>
    <sheet name="Notes" sheetId="3" r:id="rId3"/>
  </sheets>
  <definedNames>
    <definedName name="_xlnm._FilterDatabase" localSheetId="0" hidden="1">Characteristics!$A$1:$O$3204</definedName>
    <definedName name="_xlnm._FilterDatabase" localSheetId="1" hidden="1">Performance!$A$1:$I$3204</definedName>
  </definedNames>
  <calcPr calcId="124519" fullCalcOnLoad="1"/>
</workbook>
</file>

<file path=xl/sharedStrings.xml><?xml version="1.0" encoding="utf-8"?>
<sst xmlns="http://schemas.openxmlformats.org/spreadsheetml/2006/main" count="11090" uniqueCount="3239">
  <si>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</si>
  <si>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</si>
  <si>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</si>
  <si>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</si>
  <si>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</si>
  <si>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</si>
  <si>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</si>
  <si>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</si>
  <si>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</si>
  <si>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</si>
  <si>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</si>
  <si>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</si>
  <si>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</si>
  <si>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Ticker</t>
  </si>
  <si>
    <t>A</t>
  </si>
  <si>
    <t>AA</t>
  </si>
  <si>
    <t>AAC</t>
  </si>
  <si>
    <t>AAL</t>
  </si>
  <si>
    <t>AAME</t>
  </si>
  <si>
    <t>AAN</t>
  </si>
  <si>
    <t>AAOI</t>
  </si>
  <si>
    <t>AAON</t>
  </si>
  <si>
    <t>AAP</t>
  </si>
  <si>
    <t>AAPL</t>
  </si>
  <si>
    <t>AAT</t>
  </si>
  <si>
    <t>AAWW</t>
  </si>
  <si>
    <t>ABBV</t>
  </si>
  <si>
    <t>ABC</t>
  </si>
  <si>
    <t>ABCB</t>
  </si>
  <si>
    <t>ABEO</t>
  </si>
  <si>
    <t>ABG</t>
  </si>
  <si>
    <t>ABIO</t>
  </si>
  <si>
    <t>ABM</t>
  </si>
  <si>
    <t>ABMD</t>
  </si>
  <si>
    <t>ABR</t>
  </si>
  <si>
    <t>ABT</t>
  </si>
  <si>
    <t>ABTX</t>
  </si>
  <si>
    <t>AC</t>
  </si>
  <si>
    <t>ACA</t>
  </si>
  <si>
    <t>ACAD</t>
  </si>
  <si>
    <t>ACBI</t>
  </si>
  <si>
    <t>ACC</t>
  </si>
  <si>
    <t>ACCO</t>
  </si>
  <si>
    <t>ACER</t>
  </si>
  <si>
    <t>ACGL</t>
  </si>
  <si>
    <t>ACHC</t>
  </si>
  <si>
    <t>ACHN</t>
  </si>
  <si>
    <t>ACHV</t>
  </si>
  <si>
    <t>ACIA</t>
  </si>
  <si>
    <t>ACIW</t>
  </si>
  <si>
    <t>ACLS</t>
  </si>
  <si>
    <t>ACM</t>
  </si>
  <si>
    <t>ACMR</t>
  </si>
  <si>
    <t>ACN</t>
  </si>
  <si>
    <t>ACNB</t>
  </si>
  <si>
    <t>ACOR</t>
  </si>
  <si>
    <t>ACRE</t>
  </si>
  <si>
    <t>ACRS</t>
  </si>
  <si>
    <t>ACRX</t>
  </si>
  <si>
    <t>ACTG</t>
  </si>
  <si>
    <t>ACU</t>
  </si>
  <si>
    <t>ADBE</t>
  </si>
  <si>
    <t>ADC</t>
  </si>
  <si>
    <t>ADES</t>
  </si>
  <si>
    <t>ADI</t>
  </si>
  <si>
    <t>ADM</t>
  </si>
  <si>
    <t>ADMA</t>
  </si>
  <si>
    <t>ADMP</t>
  </si>
  <si>
    <t>ADMS</t>
  </si>
  <si>
    <t>ADNT</t>
  </si>
  <si>
    <t>ADP</t>
  </si>
  <si>
    <t>ADSK</t>
  </si>
  <si>
    <t>ADT</t>
  </si>
  <si>
    <t>ADTN</t>
  </si>
  <si>
    <t>ADUS</t>
  </si>
  <si>
    <t>ADVM</t>
  </si>
  <si>
    <t>ADXS</t>
  </si>
  <si>
    <t>AE</t>
  </si>
  <si>
    <t>AEE</t>
  </si>
  <si>
    <t>AEGN</t>
  </si>
  <si>
    <t>AEHR</t>
  </si>
  <si>
    <t>AEIS</t>
  </si>
  <si>
    <t>AEL</t>
  </si>
  <si>
    <t>AEMD</t>
  </si>
  <si>
    <t>AEO</t>
  </si>
  <si>
    <t>AEP</t>
  </si>
  <si>
    <t>AERI</t>
  </si>
  <si>
    <t>AES</t>
  </si>
  <si>
    <t>AEY</t>
  </si>
  <si>
    <t>AFG</t>
  </si>
  <si>
    <t>AFI</t>
  </si>
  <si>
    <t>AFL</t>
  </si>
  <si>
    <t>AGCO</t>
  </si>
  <si>
    <t>AGE</t>
  </si>
  <si>
    <t>AGEN</t>
  </si>
  <si>
    <t>AGFS</t>
  </si>
  <si>
    <t>AGIO</t>
  </si>
  <si>
    <t>AGLE</t>
  </si>
  <si>
    <t>AGM</t>
  </si>
  <si>
    <t>AGNC</t>
  </si>
  <si>
    <t>AGO</t>
  </si>
  <si>
    <t>AGR</t>
  </si>
  <si>
    <t>AGRX</t>
  </si>
  <si>
    <t>AGS</t>
  </si>
  <si>
    <t>AGTC</t>
  </si>
  <si>
    <t>AGX</t>
  </si>
  <si>
    <t>AGYS</t>
  </si>
  <si>
    <t>AHC</t>
  </si>
  <si>
    <t>AHH</t>
  </si>
  <si>
    <t>AHT</t>
  </si>
  <si>
    <t>AIG</t>
  </si>
  <si>
    <t>AIMC</t>
  </si>
  <si>
    <t>AIMT</t>
  </si>
  <si>
    <t>AIN</t>
  </si>
  <si>
    <t>AINC</t>
  </si>
  <si>
    <t>AIR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</si>
  <si>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</si>
  <si>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</si>
  <si>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</si>
  <si>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</si>
  <si>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</si>
  <si>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</si>
  <si>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</si>
  <si>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</si>
  <si>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</si>
  <si>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</si>
  <si>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AKBA</t>
  </si>
  <si>
    <t>AKCA</t>
  </si>
  <si>
    <t>AKR</t>
  </si>
  <si>
    <t>AKTS</t>
  </si>
  <si>
    <t>AL</t>
  </si>
  <si>
    <t>ALB</t>
  </si>
  <si>
    <t>ALBO</t>
  </si>
  <si>
    <t>ALCO</t>
  </si>
  <si>
    <t>ALDX</t>
  </si>
  <si>
    <t>ALE</t>
  </si>
  <si>
    <t>ALEC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</si>
  <si>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</si>
  <si>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</si>
  <si>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</si>
  <si>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</si>
  <si>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</si>
  <si>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</si>
  <si>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</si>
  <si>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</si>
  <si>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</si>
  <si>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</si>
  <si>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</si>
  <si>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</si>
  <si>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ALLY</t>
  </si>
  <si>
    <t>ALNA</t>
  </si>
  <si>
    <t>ALNY</t>
  </si>
  <si>
    <t>ALOT</t>
  </si>
  <si>
    <t>ALPN</t>
  </si>
  <si>
    <t>ALRM</t>
  </si>
  <si>
    <t>ALSK</t>
  </si>
  <si>
    <t>ALSN</t>
  </si>
  <si>
    <t>ALT</t>
  </si>
  <si>
    <t>ALTR</t>
  </si>
  <si>
    <t>ALV</t>
  </si>
  <si>
    <t>ALX</t>
  </si>
  <si>
    <t>ALXN</t>
  </si>
  <si>
    <t>AM</t>
  </si>
  <si>
    <t>AMAL</t>
  </si>
  <si>
    <t>AMAT</t>
  </si>
  <si>
    <t>AMBC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</si>
  <si>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</si>
  <si>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</si>
  <si>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</si>
  <si>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</si>
  <si>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</si>
  <si>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</si>
  <si>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</si>
  <si>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</si>
  <si>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</si>
  <si>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</si>
  <si>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AMKR</t>
  </si>
  <si>
    <t>AMN</t>
  </si>
  <si>
    <t>AMNB</t>
  </si>
  <si>
    <t>AMOT</t>
  </si>
  <si>
    <t>AMP</t>
  </si>
  <si>
    <t>AMPE</t>
  </si>
  <si>
    <t>AMPH</t>
  </si>
  <si>
    <t>AMR</t>
  </si>
  <si>
    <t>AMRB</t>
  </si>
  <si>
    <t>AMRC</t>
  </si>
  <si>
    <t>AMRK</t>
  </si>
  <si>
    <t>AMRS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</si>
  <si>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</si>
  <si>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</si>
  <si>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</si>
  <si>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</si>
  <si>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</si>
  <si>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</si>
  <si>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</si>
  <si>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</si>
  <si>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</si>
  <si>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</si>
  <si>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</si>
  <si>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ANAB</t>
  </si>
  <si>
    <t>ANAT</t>
  </si>
  <si>
    <t>ANDE</t>
  </si>
  <si>
    <t>ANET</t>
  </si>
  <si>
    <t>ANF</t>
  </si>
  <si>
    <t>ANGI</t>
  </si>
  <si>
    <t>ANGO</t>
  </si>
  <si>
    <t>ANH</t>
  </si>
  <si>
    <t>ANIK</t>
  </si>
  <si>
    <t>ANIP</t>
  </si>
  <si>
    <t>ANIX</t>
  </si>
  <si>
    <t>ANSS</t>
  </si>
  <si>
    <t>ANTM</t>
  </si>
  <si>
    <t>AON</t>
  </si>
  <si>
    <t>AOS</t>
  </si>
  <si>
    <t>AOSL</t>
  </si>
  <si>
    <t>AP</t>
  </si>
  <si>
    <t>APA</t>
  </si>
  <si>
    <t>APAM</t>
  </si>
  <si>
    <t>APD</t>
  </si>
  <si>
    <t>APDN</t>
  </si>
  <si>
    <t>APEI</t>
  </si>
  <si>
    <t>APEN</t>
  </si>
  <si>
    <t>APEX</t>
  </si>
  <si>
    <t>APH</t>
  </si>
  <si>
    <t>APLE</t>
  </si>
  <si>
    <t>APLS</t>
  </si>
  <si>
    <t>APOG</t>
  </si>
  <si>
    <t>APPF</t>
  </si>
  <si>
    <t>APPN</t>
  </si>
  <si>
    <t>APPS</t>
  </si>
  <si>
    <t>APRN</t>
  </si>
  <si>
    <t>APT</t>
  </si>
  <si>
    <t>APTS</t>
  </si>
  <si>
    <t>APTV</t>
  </si>
  <si>
    <t>APVO</t>
  </si>
  <si>
    <t>APYX</t>
  </si>
  <si>
    <t>AQB</t>
  </si>
  <si>
    <t>AQMS</t>
  </si>
  <si>
    <t>AQUA</t>
  </si>
  <si>
    <t>AR</t>
  </si>
  <si>
    <t>ARA</t>
  </si>
  <si>
    <t>ARAV</t>
  </si>
  <si>
    <t>ARAY</t>
  </si>
  <si>
    <t>ARC</t>
  </si>
  <si>
    <t>ARCB</t>
  </si>
  <si>
    <t>ARCH</t>
  </si>
  <si>
    <t>ARDX</t>
  </si>
  <si>
    <t>ARE</t>
  </si>
  <si>
    <t>ARES</t>
  </si>
  <si>
    <t>ARGO</t>
  </si>
  <si>
    <t>ARI</t>
  </si>
  <si>
    <t>ARKR</t>
  </si>
  <si>
    <t>ARL</t>
  </si>
  <si>
    <t>ARLO</t>
  </si>
  <si>
    <t>ARMK</t>
  </si>
  <si>
    <t>ARMP</t>
  </si>
  <si>
    <t>ARNA</t>
  </si>
  <si>
    <t>ARNC</t>
  </si>
  <si>
    <t>AROC</t>
  </si>
  <si>
    <t>AROW</t>
  </si>
  <si>
    <t>ARPO</t>
  </si>
  <si>
    <t>ARR</t>
  </si>
  <si>
    <t>ARTNA</t>
  </si>
  <si>
    <t>ARTW</t>
  </si>
  <si>
    <t>ARVN</t>
  </si>
  <si>
    <t>ARW</t>
  </si>
  <si>
    <t>ARWR</t>
  </si>
  <si>
    <t>ASB</t>
  </si>
  <si>
    <t>ASGN</t>
  </si>
  <si>
    <t>ASH</t>
  </si>
  <si>
    <t>ASIX</t>
  </si>
  <si>
    <t>ASMB</t>
  </si>
  <si>
    <t>ASPN</t>
  </si>
  <si>
    <t>ASPS</t>
  </si>
  <si>
    <t>ASPU</t>
  </si>
  <si>
    <t>ASRT</t>
  </si>
  <si>
    <t>ASRV</t>
  </si>
  <si>
    <t>ASTC</t>
  </si>
  <si>
    <t>ASTE</t>
  </si>
  <si>
    <t>ASUR</t>
  </si>
  <si>
    <t>ASYS</t>
  </si>
  <si>
    <t>ATEC</t>
  </si>
  <si>
    <t>ATEN</t>
  </si>
  <si>
    <t>ATEX</t>
  </si>
  <si>
    <t>ATGE</t>
  </si>
  <si>
    <t>ATH</t>
  </si>
  <si>
    <t>ATHX</t>
  </si>
  <si>
    <t>ATI</t>
  </si>
  <si>
    <t>ATKR</t>
  </si>
  <si>
    <t>ATLC</t>
  </si>
  <si>
    <t>ATLO</t>
  </si>
  <si>
    <t>ATNI</t>
  </si>
  <si>
    <t>ATNM</t>
  </si>
  <si>
    <t>ATNX</t>
  </si>
  <si>
    <t>ATO</t>
  </si>
  <si>
    <t>ATOS</t>
  </si>
  <si>
    <t>ATR</t>
  </si>
  <si>
    <t>ATRA</t>
  </si>
  <si>
    <t>ATRC</t>
  </si>
  <si>
    <t>ATRI</t>
  </si>
  <si>
    <t>ATRO</t>
  </si>
  <si>
    <t>ATRS</t>
  </si>
  <si>
    <t>ATSG</t>
  </si>
  <si>
    <t>ATUS</t>
  </si>
  <si>
    <t>ATVI</t>
  </si>
  <si>
    <t>AUB</t>
  </si>
  <si>
    <t>AUBN</t>
  </si>
  <si>
    <t>AUMN</t>
  </si>
  <si>
    <t>AUTO</t>
  </si>
  <si>
    <t>AVA</t>
  </si>
  <si>
    <t>AVAV</t>
  </si>
  <si>
    <t>AVB</t>
  </si>
  <si>
    <t>AVD</t>
  </si>
  <si>
    <t>AVEO</t>
  </si>
  <si>
    <t>AVGO</t>
  </si>
  <si>
    <t>AVGR</t>
  </si>
  <si>
    <t>AVID</t>
  </si>
  <si>
    <t>AVLR</t>
  </si>
  <si>
    <t>AVNS</t>
  </si>
  <si>
    <t>AVNW</t>
  </si>
  <si>
    <t>AVRO</t>
  </si>
  <si>
    <t>AVT</t>
  </si>
  <si>
    <t>AVTR</t>
  </si>
  <si>
    <t>AVXL</t>
  </si>
  <si>
    <t>AVY</t>
  </si>
  <si>
    <t>AVYA</t>
  </si>
  <si>
    <t>AWI</t>
  </si>
  <si>
    <t>AWK</t>
  </si>
  <si>
    <t>AWR</t>
  </si>
  <si>
    <t>AWRE</t>
  </si>
  <si>
    <t>AX</t>
  </si>
  <si>
    <t>AXAS</t>
  </si>
  <si>
    <t>AXDX</t>
  </si>
  <si>
    <t>AXGN</t>
  </si>
  <si>
    <t>AXL</t>
  </si>
  <si>
    <t>AXNX</t>
  </si>
  <si>
    <t>AXP</t>
  </si>
  <si>
    <t>AXR</t>
  </si>
  <si>
    <t>AXS</t>
  </si>
  <si>
    <t>AXSM</t>
  </si>
  <si>
    <t>AXTA</t>
  </si>
  <si>
    <t>AXTI</t>
  </si>
  <si>
    <t>AYI</t>
  </si>
  <si>
    <t>AYX</t>
  </si>
  <si>
    <t>AZO</t>
  </si>
  <si>
    <t>AZPN</t>
  </si>
  <si>
    <t>AZZ</t>
  </si>
  <si>
    <t>B</t>
  </si>
  <si>
    <t>BA</t>
  </si>
  <si>
    <t>BAC</t>
  </si>
  <si>
    <t>BAH</t>
  </si>
  <si>
    <t>BANC</t>
  </si>
  <si>
    <t>BAND</t>
  </si>
  <si>
    <t>BANF</t>
  </si>
  <si>
    <t>BANR</t>
  </si>
  <si>
    <t>BASI</t>
  </si>
  <si>
    <t>BATRA</t>
  </si>
  <si>
    <t>BATRK</t>
  </si>
  <si>
    <t>BAX</t>
  </si>
  <si>
    <t>BBBY</t>
  </si>
  <si>
    <t>BBCP</t>
  </si>
  <si>
    <t>BBGI</t>
  </si>
  <si>
    <t>BBSI</t>
  </si>
  <si>
    <t>BBW</t>
  </si>
  <si>
    <t>BBY</t>
  </si>
  <si>
    <t>BC</t>
  </si>
  <si>
    <t>BCBP</t>
  </si>
  <si>
    <t>BCC</t>
  </si>
  <si>
    <t>BCLI</t>
  </si>
  <si>
    <t>BCO</t>
  </si>
  <si>
    <t>BCOR</t>
  </si>
  <si>
    <t>BCOV</t>
  </si>
  <si>
    <t>BCPC</t>
  </si>
  <si>
    <t>BCRX</t>
  </si>
  <si>
    <t>BDC</t>
  </si>
  <si>
    <t>BDGE</t>
  </si>
  <si>
    <t>BDL</t>
  </si>
  <si>
    <t>BDN</t>
  </si>
  <si>
    <t>BDSI</t>
  </si>
  <si>
    <t>BDX</t>
  </si>
  <si>
    <t>BE</t>
  </si>
  <si>
    <t>BEAT</t>
  </si>
  <si>
    <t>BECN</t>
  </si>
  <si>
    <t>BELFA</t>
  </si>
  <si>
    <t>BELFB</t>
  </si>
  <si>
    <t>BEN</t>
  </si>
  <si>
    <t>BERY</t>
  </si>
  <si>
    <t>BFAM</t>
  </si>
  <si>
    <t>BFIN</t>
  </si>
  <si>
    <t>BFS</t>
  </si>
  <si>
    <t>BFST</t>
  </si>
  <si>
    <t>BG</t>
  </si>
  <si>
    <t>BGCP</t>
  </si>
  <si>
    <t>BGFV</t>
  </si>
  <si>
    <t>BGS</t>
  </si>
  <si>
    <t>BGSF</t>
  </si>
  <si>
    <t>BH</t>
  </si>
  <si>
    <t>BHB</t>
  </si>
  <si>
    <t>BHE</t>
  </si>
  <si>
    <t>BHF</t>
  </si>
  <si>
    <t>BHLB</t>
  </si>
  <si>
    <t>BHR</t>
  </si>
  <si>
    <t>BHVN</t>
  </si>
  <si>
    <t>BIG</t>
  </si>
  <si>
    <t>BIIB</t>
  </si>
  <si>
    <t>BIO</t>
  </si>
  <si>
    <t>BIOC</t>
  </si>
  <si>
    <t>BIOL</t>
  </si>
  <si>
    <t>BIOS</t>
  </si>
  <si>
    <t>BJ</t>
  </si>
  <si>
    <t>BJRI</t>
  </si>
  <si>
    <t>BK</t>
  </si>
  <si>
    <t>BKD</t>
  </si>
  <si>
    <t>BKE</t>
  </si>
  <si>
    <t>BKH</t>
  </si>
  <si>
    <t>BKI</t>
  </si>
  <si>
    <t>BKNG</t>
  </si>
  <si>
    <t>BKSC</t>
  </si>
  <si>
    <t>BKTI</t>
  </si>
  <si>
    <t>BKU</t>
  </si>
  <si>
    <t>BL</t>
  </si>
  <si>
    <t>BLBD</t>
  </si>
  <si>
    <t>BLCM</t>
  </si>
  <si>
    <t>BLD</t>
  </si>
  <si>
    <t>BLDR</t>
  </si>
  <si>
    <t>BLFS</t>
  </si>
  <si>
    <t>BLK</t>
  </si>
  <si>
    <t>BLKB</t>
  </si>
  <si>
    <t>BLL</t>
  </si>
  <si>
    <t>BLMN</t>
  </si>
  <si>
    <t>BLUE</t>
  </si>
  <si>
    <t>BMCH</t>
  </si>
  <si>
    <t>BMI</t>
  </si>
  <si>
    <t>BMRC</t>
  </si>
  <si>
    <t>BMRN</t>
  </si>
  <si>
    <t>BMTC</t>
  </si>
  <si>
    <t>BMY</t>
  </si>
  <si>
    <t>BNED</t>
  </si>
  <si>
    <t>BNFT</t>
  </si>
  <si>
    <t>BOCH</t>
  </si>
  <si>
    <t>BOH</t>
  </si>
  <si>
    <t>BOKF</t>
  </si>
  <si>
    <t>BOMN</t>
  </si>
  <si>
    <t>BOOM</t>
  </si>
  <si>
    <t>BOOT</t>
  </si>
  <si>
    <t>BOTJ</t>
  </si>
  <si>
    <t>BOX</t>
  </si>
  <si>
    <t>BPFH</t>
  </si>
  <si>
    <t>BPMC</t>
  </si>
  <si>
    <t>BPOP</t>
  </si>
  <si>
    <t>BPRN</t>
  </si>
  <si>
    <t>BPTH</t>
  </si>
  <si>
    <t>BR</t>
  </si>
  <si>
    <t>BRC</t>
  </si>
  <si>
    <t>BRG</t>
  </si>
  <si>
    <t>BRID</t>
  </si>
  <si>
    <t>BRKL</t>
  </si>
  <si>
    <t>BRKR</t>
  </si>
  <si>
    <t>BRN</t>
  </si>
  <si>
    <t>BRO</t>
  </si>
  <si>
    <t>BRT</t>
  </si>
  <si>
    <t>BRX</t>
  </si>
  <si>
    <t>BRY</t>
  </si>
  <si>
    <t>BSET</t>
  </si>
  <si>
    <t>BSGM</t>
  </si>
  <si>
    <t>BSQR</t>
  </si>
  <si>
    <t>BSRR</t>
  </si>
  <si>
    <t>BSTC</t>
  </si>
  <si>
    <t>BSX</t>
  </si>
  <si>
    <t>BTN</t>
  </si>
  <si>
    <t>BTU</t>
  </si>
  <si>
    <t>BURL</t>
  </si>
  <si>
    <t>BUSE</t>
  </si>
  <si>
    <t>BV</t>
  </si>
  <si>
    <t>BW</t>
  </si>
  <si>
    <t>BWA</t>
  </si>
  <si>
    <t>BWB</t>
  </si>
  <si>
    <t>BWEN</t>
  </si>
  <si>
    <t>BWFG</t>
  </si>
  <si>
    <t>BWXT</t>
  </si>
  <si>
    <t>BXC</t>
  </si>
  <si>
    <t>BXMT</t>
  </si>
  <si>
    <t>BXP</t>
  </si>
  <si>
    <t>BY</t>
  </si>
  <si>
    <t>BYD</t>
  </si>
  <si>
    <t>BYFC</t>
  </si>
  <si>
    <t>BYND</t>
  </si>
  <si>
    <t>BZH</t>
  </si>
  <si>
    <t>C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</si>
  <si>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</si>
  <si>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</si>
  <si>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</si>
  <si>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</si>
  <si>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</si>
  <si>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</si>
  <si>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</si>
  <si>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</si>
  <si>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</si>
  <si>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</si>
  <si>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CALA</t>
  </si>
  <si>
    <t>CALM</t>
  </si>
  <si>
    <t>CALX</t>
  </si>
  <si>
    <t>CAMP</t>
  </si>
  <si>
    <t>CAPR</t>
  </si>
  <si>
    <t>CAR</t>
  </si>
  <si>
    <t>CARA</t>
  </si>
  <si>
    <t>CARE</t>
  </si>
  <si>
    <t>CARG</t>
  </si>
  <si>
    <t>CARS</t>
  </si>
  <si>
    <t>CASA</t>
  </si>
  <si>
    <t>CASH</t>
  </si>
  <si>
    <t>CASI</t>
  </si>
  <si>
    <t>CASS</t>
  </si>
  <si>
    <t>CASY</t>
  </si>
  <si>
    <t>CAT</t>
  </si>
  <si>
    <t>CATC</t>
  </si>
  <si>
    <t>CATM</t>
  </si>
  <si>
    <t>CATO</t>
  </si>
  <si>
    <t>CATY</t>
  </si>
  <si>
    <t>CB</t>
  </si>
  <si>
    <t>CBAN</t>
  </si>
  <si>
    <t>CBAY</t>
  </si>
  <si>
    <t>CBB</t>
  </si>
  <si>
    <t>CBFV</t>
  </si>
  <si>
    <t>CBIO</t>
  </si>
  <si>
    <t>CBL</t>
  </si>
  <si>
    <t>CBMG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</si>
  <si>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</si>
  <si>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</si>
  <si>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</si>
  <si>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</si>
  <si>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</si>
  <si>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</si>
  <si>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</si>
  <si>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</si>
  <si>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</si>
  <si>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CCBG</t>
  </si>
  <si>
    <t>CCF</t>
  </si>
  <si>
    <t>CCI</t>
  </si>
  <si>
    <t>CCK</t>
  </si>
  <si>
    <t>CCL</t>
  </si>
  <si>
    <t>CCMP</t>
  </si>
  <si>
    <t>CCNE</t>
  </si>
  <si>
    <t>CCO</t>
  </si>
  <si>
    <t>CCOI</t>
  </si>
  <si>
    <t>CCRN</t>
  </si>
  <si>
    <t>CCS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</si>
  <si>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</si>
  <si>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</si>
  <si>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</si>
  <si>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</si>
  <si>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</si>
  <si>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</si>
  <si>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</si>
  <si>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</si>
  <si>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</si>
  <si>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CDR</t>
  </si>
  <si>
    <t>CDTX</t>
  </si>
  <si>
    <t>CDW</t>
  </si>
  <si>
    <t>CDXC</t>
  </si>
  <si>
    <t>CDXS</t>
  </si>
  <si>
    <t>CDZI</t>
  </si>
  <si>
    <t>CE</t>
  </si>
  <si>
    <t>CECE</t>
  </si>
  <si>
    <t>CEI</t>
  </si>
  <si>
    <t>CEIX</t>
  </si>
  <si>
    <t>CELC</t>
  </si>
  <si>
    <t>CELH</t>
  </si>
  <si>
    <t>CEMI</t>
  </si>
  <si>
    <t>CENT</t>
  </si>
  <si>
    <t>CENTA</t>
  </si>
  <si>
    <t>CENX</t>
  </si>
  <si>
    <t>CERN</t>
  </si>
  <si>
    <t>CERS</t>
  </si>
  <si>
    <t>CETX</t>
  </si>
  <si>
    <t>CEVA</t>
  </si>
  <si>
    <t>CF</t>
  </si>
  <si>
    <t>CFBK</t>
  </si>
  <si>
    <t>CFFI</t>
  </si>
  <si>
    <t>CFFN</t>
  </si>
  <si>
    <t>CFG</t>
  </si>
  <si>
    <t>CFMS</t>
  </si>
  <si>
    <t>CFR</t>
  </si>
  <si>
    <t>CGIX</t>
  </si>
  <si>
    <t>CGNX</t>
  </si>
  <si>
    <t>CHCI</t>
  </si>
  <si>
    <t>CHCO</t>
  </si>
  <si>
    <t>CHCT</t>
  </si>
  <si>
    <t>CHD</t>
  </si>
  <si>
    <t>CHDN</t>
  </si>
  <si>
    <t>CHE</t>
  </si>
  <si>
    <t>CHEF</t>
  </si>
  <si>
    <t>CHGG</t>
  </si>
  <si>
    <t>CHH</t>
  </si>
  <si>
    <t>CHK</t>
  </si>
  <si>
    <t>CHMA</t>
  </si>
  <si>
    <t>CHMG</t>
  </si>
  <si>
    <t>CHMI</t>
  </si>
  <si>
    <t>CHRS</t>
  </si>
  <si>
    <t>CHRW</t>
  </si>
  <si>
    <t>CHS</t>
  </si>
  <si>
    <t>CHTR</t>
  </si>
  <si>
    <t>CHUY</t>
  </si>
  <si>
    <t>CI</t>
  </si>
  <si>
    <t>CIA</t>
  </si>
  <si>
    <t>CIDM</t>
  </si>
  <si>
    <t>CIEN</t>
  </si>
  <si>
    <t>CIM</t>
  </si>
  <si>
    <t>CINF</t>
  </si>
  <si>
    <t>CIO</t>
  </si>
  <si>
    <t>CIR</t>
  </si>
  <si>
    <t>CIT</t>
  </si>
  <si>
    <t>CIVB</t>
  </si>
  <si>
    <t>CIX</t>
  </si>
  <si>
    <t>CIZN</t>
  </si>
  <si>
    <t>CKH</t>
  </si>
  <si>
    <t>CKX</t>
  </si>
  <si>
    <t>CL</t>
  </si>
  <si>
    <t>CLAR</t>
  </si>
  <si>
    <t>CLB</t>
  </si>
  <si>
    <t>CLBK</t>
  </si>
  <si>
    <t>CLBS</t>
  </si>
  <si>
    <t>CLCT</t>
  </si>
  <si>
    <t>CLDR</t>
  </si>
  <si>
    <t>CLDT</t>
  </si>
  <si>
    <t>CLDX</t>
  </si>
  <si>
    <t>CLF</t>
  </si>
  <si>
    <t>CLFD</t>
  </si>
  <si>
    <t>CLGX</t>
  </si>
  <si>
    <t>CLH</t>
  </si>
  <si>
    <t>CLIR</t>
  </si>
  <si>
    <t>CLNE</t>
  </si>
  <si>
    <t>CLPR</t>
  </si>
  <si>
    <t>CLR</t>
  </si>
  <si>
    <t>CLRB</t>
  </si>
  <si>
    <t>CLRO</t>
  </si>
  <si>
    <t>CLSN</t>
  </si>
  <si>
    <t>CLVS</t>
  </si>
  <si>
    <t>CLW</t>
  </si>
  <si>
    <t>CLX</t>
  </si>
  <si>
    <t>CLXT</t>
  </si>
  <si>
    <t>CMA</t>
  </si>
  <si>
    <t>CMC</t>
  </si>
  <si>
    <t>CMCO</t>
  </si>
  <si>
    <t>CMCSA</t>
  </si>
  <si>
    <t>CMCT</t>
  </si>
  <si>
    <t>CMD</t>
  </si>
  <si>
    <t>CME</t>
  </si>
  <si>
    <t>CMG</t>
  </si>
  <si>
    <t>CMI</t>
  </si>
  <si>
    <t>CMO</t>
  </si>
  <si>
    <t>CMP</t>
  </si>
  <si>
    <t>CMRX</t>
  </si>
  <si>
    <t>CMS</t>
  </si>
  <si>
    <t>CMT</t>
  </si>
  <si>
    <t>CMTL</t>
  </si>
  <si>
    <t>CNA</t>
  </si>
  <si>
    <t>CNBKA</t>
  </si>
  <si>
    <t>CNC</t>
  </si>
  <si>
    <t>CNCE</t>
  </si>
  <si>
    <t>CNDT</t>
  </si>
  <si>
    <t>CNFR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</si>
  <si>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</si>
  <si>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</si>
  <si>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</si>
  <si>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</si>
  <si>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</si>
  <si>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</si>
  <si>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</si>
  <si>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</si>
  <si>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</si>
  <si>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CNTY</t>
  </si>
  <si>
    <t>CNX</t>
  </si>
  <si>
    <t>CNXN</t>
  </si>
  <si>
    <t>CODA</t>
  </si>
  <si>
    <t>COF</t>
  </si>
  <si>
    <t>COG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</si>
  <si>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</si>
  <si>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</si>
  <si>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</si>
  <si>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</si>
  <si>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</si>
  <si>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</si>
  <si>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</si>
  <si>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</si>
  <si>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</si>
  <si>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</si>
  <si>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</si>
  <si>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</si>
  <si>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</si>
  <si>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</si>
  <si>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</si>
  <si>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</si>
  <si>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</si>
  <si>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</si>
  <si>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</si>
  <si>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</si>
  <si>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</si>
  <si>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COWN</t>
  </si>
  <si>
    <t>CPB</t>
  </si>
  <si>
    <t>CPE</t>
  </si>
  <si>
    <t>CPF</t>
  </si>
  <si>
    <t>CPHC</t>
  </si>
  <si>
    <t>CPIX</t>
  </si>
  <si>
    <t>CPK</t>
  </si>
  <si>
    <t>CPLG</t>
  </si>
  <si>
    <t>CPRI</t>
  </si>
  <si>
    <t>CPRT</t>
  </si>
  <si>
    <t>CPRX</t>
  </si>
  <si>
    <t>CPS</t>
  </si>
  <si>
    <t>CPSH</t>
  </si>
  <si>
    <t>CPSI</t>
  </si>
  <si>
    <t>CPSS</t>
  </si>
  <si>
    <t>CPT</t>
  </si>
  <si>
    <t>CR</t>
  </si>
  <si>
    <t>CRAI</t>
  </si>
  <si>
    <t>CRBP</t>
  </si>
  <si>
    <t>CRC</t>
  </si>
  <si>
    <t>CREE</t>
  </si>
  <si>
    <t>CRI</t>
  </si>
  <si>
    <t>CRIS</t>
  </si>
  <si>
    <t>CRK</t>
  </si>
  <si>
    <t>CRL</t>
  </si>
  <si>
    <t>CRM</t>
  </si>
  <si>
    <t>CRMD</t>
  </si>
  <si>
    <t>CRMT</t>
  </si>
  <si>
    <t>CRNX</t>
  </si>
  <si>
    <t>CROX</t>
  </si>
  <si>
    <t>CRS</t>
  </si>
  <si>
    <t>CRTX</t>
  </si>
  <si>
    <t>CRUS</t>
  </si>
  <si>
    <t>CRVL</t>
  </si>
  <si>
    <t>CRVS</t>
  </si>
  <si>
    <t>CRWS</t>
  </si>
  <si>
    <t>CSCO</t>
  </si>
  <si>
    <t>CSGP</t>
  </si>
  <si>
    <t>CSGS</t>
  </si>
  <si>
    <t>CSII</t>
  </si>
  <si>
    <t>CSL</t>
  </si>
  <si>
    <t>CSLT</t>
  </si>
  <si>
    <t>CSOD</t>
  </si>
  <si>
    <t>CSPI</t>
  </si>
  <si>
    <t>CSTR</t>
  </si>
  <si>
    <t>CSV</t>
  </si>
  <si>
    <t>CSWI</t>
  </si>
  <si>
    <t>CSX</t>
  </si>
  <si>
    <t>CTAS</t>
  </si>
  <si>
    <t>CTB</t>
  </si>
  <si>
    <t>CTBI</t>
  </si>
  <si>
    <t>CTG</t>
  </si>
  <si>
    <t>CTHR</t>
  </si>
  <si>
    <t>CTIB</t>
  </si>
  <si>
    <t>CTIC</t>
  </si>
  <si>
    <t>CTLT</t>
  </si>
  <si>
    <t>CTMX</t>
  </si>
  <si>
    <t>CTO</t>
  </si>
  <si>
    <t>CTRA</t>
  </si>
  <si>
    <t>CTRE</t>
  </si>
  <si>
    <t>CTRN</t>
  </si>
  <si>
    <t>CTS</t>
  </si>
  <si>
    <t>CTSH</t>
  </si>
  <si>
    <t>CTSO</t>
  </si>
  <si>
    <t>CTT</t>
  </si>
  <si>
    <t>CTVA</t>
  </si>
  <si>
    <t>CTXS</t>
  </si>
  <si>
    <t>CUB</t>
  </si>
  <si>
    <t>CUBE</t>
  </si>
  <si>
    <t>CUBI</t>
  </si>
  <si>
    <t>CUE</t>
  </si>
  <si>
    <t>CULP</t>
  </si>
  <si>
    <t>CURO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</si>
  <si>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</si>
  <si>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</si>
  <si>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</si>
  <si>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</si>
  <si>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</si>
  <si>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</si>
  <si>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</si>
  <si>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</si>
  <si>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</si>
  <si>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</si>
  <si>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</si>
  <si>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</si>
  <si>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</si>
  <si>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</si>
  <si>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</si>
  <si>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</si>
  <si>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</si>
  <si>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</si>
  <si>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</si>
  <si>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</si>
  <si>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</si>
  <si>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</si>
  <si>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CWEN</t>
  </si>
  <si>
    <t>CWH</t>
  </si>
  <si>
    <t>CWST</t>
  </si>
  <si>
    <t>CWT</t>
  </si>
  <si>
    <t>CXO</t>
  </si>
  <si>
    <t>CXP</t>
  </si>
  <si>
    <t>CXW</t>
  </si>
  <si>
    <t>CYAN</t>
  </si>
  <si>
    <t>CYBE</t>
  </si>
  <si>
    <t>CYCC</t>
  </si>
  <si>
    <t>CYCN</t>
  </si>
  <si>
    <t>CYH</t>
  </si>
  <si>
    <t>CYRX</t>
  </si>
  <si>
    <t>CYTK</t>
  </si>
  <si>
    <t>CYTR</t>
  </si>
  <si>
    <t>CZNC</t>
  </si>
  <si>
    <t>CZR</t>
  </si>
  <si>
    <t>CZWI</t>
  </si>
  <si>
    <t>D</t>
  </si>
  <si>
    <t>DAIO</t>
  </si>
  <si>
    <t>DAKT</t>
  </si>
  <si>
    <t>DAL</t>
  </si>
  <si>
    <t>DAN</t>
  </si>
  <si>
    <t>DAR</t>
  </si>
  <si>
    <t>DARE</t>
  </si>
  <si>
    <t>DAVE</t>
  </si>
  <si>
    <t>DBD</t>
  </si>
  <si>
    <t>DBI</t>
  </si>
  <si>
    <t>DBX</t>
  </si>
  <si>
    <t>DCI</t>
  </si>
  <si>
    <t>DCO</t>
  </si>
  <si>
    <t>DCOM</t>
  </si>
  <si>
    <t>DCPH</t>
  </si>
  <si>
    <t>DD</t>
  </si>
  <si>
    <t>DDD</t>
  </si>
  <si>
    <t>DDS</t>
  </si>
  <si>
    <t>DE</t>
  </si>
  <si>
    <t>DEA</t>
  </si>
  <si>
    <t>DECK</t>
  </si>
  <si>
    <t>DEI</t>
  </si>
  <si>
    <t>DELL</t>
  </si>
  <si>
    <t>DENN</t>
  </si>
  <si>
    <t>DERM</t>
  </si>
  <si>
    <t>DFIN</t>
  </si>
  <si>
    <t>DFS</t>
  </si>
  <si>
    <t>DG</t>
  </si>
  <si>
    <t>DGICA</t>
  </si>
  <si>
    <t>DGII</t>
  </si>
  <si>
    <t>DGLY</t>
  </si>
  <si>
    <t>DGX</t>
  </si>
  <si>
    <t>DHI</t>
  </si>
  <si>
    <t>DHIL</t>
  </si>
  <si>
    <t>DHR</t>
  </si>
  <si>
    <t>DHX</t>
  </si>
  <si>
    <t>DIN</t>
  </si>
  <si>
    <t>DIOD</t>
  </si>
  <si>
    <t>DIS</t>
  </si>
  <si>
    <t>DISCK</t>
  </si>
  <si>
    <t>DISH</t>
  </si>
  <si>
    <t>DIT</t>
  </si>
  <si>
    <t>DJCO</t>
  </si>
  <si>
    <t>DK</t>
  </si>
  <si>
    <t>DKS</t>
  </si>
  <si>
    <t>DLA</t>
  </si>
  <si>
    <t>DLB</t>
  </si>
  <si>
    <t>DLHC</t>
  </si>
  <si>
    <t>DLR</t>
  </si>
  <si>
    <t>DLTH</t>
  </si>
  <si>
    <t>DLTR</t>
  </si>
  <si>
    <t>DLX</t>
  </si>
  <si>
    <t>DMRC</t>
  </si>
  <si>
    <t>DNKN</t>
  </si>
  <si>
    <t>DNLI</t>
  </si>
  <si>
    <t>DNOW</t>
  </si>
  <si>
    <t>DO</t>
  </si>
  <si>
    <t>DOC</t>
  </si>
  <si>
    <t>DOCU</t>
  </si>
  <si>
    <t>DOMO</t>
  </si>
  <si>
    <t>DOOR</t>
  </si>
  <si>
    <t>DORM</t>
  </si>
  <si>
    <t>DOV</t>
  </si>
  <si>
    <t>DOW</t>
  </si>
  <si>
    <t>DPZ</t>
  </si>
  <si>
    <t>DRE</t>
  </si>
  <si>
    <t>DRH</t>
  </si>
  <si>
    <t>DRI</t>
  </si>
  <si>
    <t>DRNA</t>
  </si>
  <si>
    <t>DRQ</t>
  </si>
  <si>
    <t>DRRX</t>
  </si>
  <si>
    <t>DS</t>
  </si>
  <si>
    <t>DSKE</t>
  </si>
  <si>
    <t>DSPG</t>
  </si>
  <si>
    <t>DSS</t>
  </si>
  <si>
    <t>DTE</t>
  </si>
  <si>
    <t>DUK</t>
  </si>
  <si>
    <t>DVA</t>
  </si>
  <si>
    <t>DVAX</t>
  </si>
  <si>
    <t>DVD</t>
  </si>
  <si>
    <t>DVN</t>
  </si>
  <si>
    <t>DWSN</t>
  </si>
  <si>
    <t>DX</t>
  </si>
  <si>
    <t>DXC</t>
  </si>
  <si>
    <t>DXCM</t>
  </si>
  <si>
    <t>DXLG</t>
  </si>
  <si>
    <t>DXPE</t>
  </si>
  <si>
    <t>DXYN</t>
  </si>
  <si>
    <t>DY</t>
  </si>
  <si>
    <t>DYAI</t>
  </si>
  <si>
    <t>DZSI</t>
  </si>
  <si>
    <t>EA</t>
  </si>
  <si>
    <t>EAF</t>
  </si>
  <si>
    <t>EARN</t>
  </si>
  <si>
    <t>EAT</t>
  </si>
  <si>
    <t>EB</t>
  </si>
  <si>
    <t>EBAY</t>
  </si>
  <si>
    <t>EBF</t>
  </si>
  <si>
    <t>EBIX</t>
  </si>
  <si>
    <t>EBMT</t>
  </si>
  <si>
    <t>EBS</t>
  </si>
  <si>
    <t>EBSB</t>
  </si>
  <si>
    <t>EBTC</t>
  </si>
  <si>
    <t>ECHO</t>
  </si>
  <si>
    <t>ECL</t>
  </si>
  <si>
    <t>ECOL</t>
  </si>
  <si>
    <t>ECOM</t>
  </si>
  <si>
    <t>ECPG</t>
  </si>
  <si>
    <t>ED</t>
  </si>
  <si>
    <t>EDIT</t>
  </si>
  <si>
    <t>EDUC</t>
  </si>
  <si>
    <t>EE</t>
  </si>
  <si>
    <t>EEFT</t>
  </si>
  <si>
    <t>EEX</t>
  </si>
  <si>
    <t>EFC</t>
  </si>
  <si>
    <t>EFOI</t>
  </si>
  <si>
    <t>EFSC</t>
  </si>
  <si>
    <t>EFX</t>
  </si>
  <si>
    <t>EGAN</t>
  </si>
  <si>
    <t>EGBN</t>
  </si>
  <si>
    <t>EGHT</t>
  </si>
  <si>
    <t>EGLE</t>
  </si>
  <si>
    <t>EGOV</t>
  </si>
  <si>
    <t>EGP</t>
  </si>
  <si>
    <t>EGRX</t>
  </si>
  <si>
    <t>EGY</t>
  </si>
  <si>
    <t>EHC</t>
  </si>
  <si>
    <t>EHTH</t>
  </si>
  <si>
    <t>EIDX</t>
  </si>
  <si>
    <t>EIG</t>
  </si>
  <si>
    <t>EIGI</t>
  </si>
  <si>
    <t>EIGR</t>
  </si>
  <si>
    <t>EIX</t>
  </si>
  <si>
    <t>EKSO</t>
  </si>
  <si>
    <t>EL</t>
  </si>
  <si>
    <t>ELAN</t>
  </si>
  <si>
    <t>ELF</t>
  </si>
  <si>
    <t>ELMD</t>
  </si>
  <si>
    <t>ELOX</t>
  </si>
  <si>
    <t>ELS</t>
  </si>
  <si>
    <t>ELSE</t>
  </si>
  <si>
    <t>ELVT</t>
  </si>
  <si>
    <t>ELY</t>
  </si>
  <si>
    <t>EMAN</t>
  </si>
  <si>
    <t>EMCF</t>
  </si>
  <si>
    <t>EME</t>
  </si>
  <si>
    <t>EMKR</t>
  </si>
  <si>
    <t>EML</t>
  </si>
  <si>
    <t>EMMS</t>
  </si>
  <si>
    <t>EMN</t>
  </si>
  <si>
    <t>EMR</t>
  </si>
  <si>
    <t>ENDP</t>
  </si>
  <si>
    <t>ENG</t>
  </si>
  <si>
    <t>ENOB</t>
  </si>
  <si>
    <t>ENPH</t>
  </si>
  <si>
    <t>ENR</t>
  </si>
  <si>
    <t>ENS</t>
  </si>
  <si>
    <t>ENSG</t>
  </si>
  <si>
    <t>ENSV</t>
  </si>
  <si>
    <t>ENTA</t>
  </si>
  <si>
    <t>ENTG</t>
  </si>
  <si>
    <t>ENV</t>
  </si>
  <si>
    <t>ENVA</t>
  </si>
  <si>
    <t>ENZ</t>
  </si>
  <si>
    <t>EOG</t>
  </si>
  <si>
    <t>EOLS</t>
  </si>
  <si>
    <t>EPAM</t>
  </si>
  <si>
    <t>EPAY</t>
  </si>
  <si>
    <t>EPC</t>
  </si>
  <si>
    <t>EPM</t>
  </si>
  <si>
    <t>EPR</t>
  </si>
  <si>
    <t>EPRT</t>
  </si>
  <si>
    <t>EPZM</t>
  </si>
  <si>
    <t>EQBK</t>
  </si>
  <si>
    <t>EQC</t>
  </si>
  <si>
    <t>EQH</t>
  </si>
  <si>
    <t>EQIX</t>
  </si>
  <si>
    <t>EQR</t>
  </si>
  <si>
    <t>EQT</t>
  </si>
  <si>
    <t>ERIE</t>
  </si>
  <si>
    <t>ERII</t>
  </si>
  <si>
    <t>ES</t>
  </si>
  <si>
    <t>ESBK</t>
  </si>
  <si>
    <t>ESCA</t>
  </si>
  <si>
    <t>ESE</t>
  </si>
  <si>
    <t>ESGR</t>
  </si>
  <si>
    <t>ESI</t>
  </si>
  <si>
    <t>ESNT</t>
  </si>
  <si>
    <t>ESP</t>
  </si>
  <si>
    <t>ESPR</t>
  </si>
  <si>
    <t>ESQ</t>
  </si>
  <si>
    <t>ESRT</t>
  </si>
  <si>
    <t>ESS</t>
  </si>
  <si>
    <t>ESSA</t>
  </si>
  <si>
    <t>ESTC</t>
  </si>
  <si>
    <t>ESTE</t>
  </si>
  <si>
    <t>ESXB</t>
  </si>
  <si>
    <t>ETN</t>
  </si>
  <si>
    <t>ETR</t>
  </si>
  <si>
    <t>ETRN</t>
  </si>
  <si>
    <t>ETSY</t>
  </si>
  <si>
    <t>EV</t>
  </si>
  <si>
    <t>EVBG</t>
  </si>
  <si>
    <t>EVBN</t>
  </si>
  <si>
    <t>EVC</t>
  </si>
  <si>
    <t>EVER</t>
  </si>
  <si>
    <t>EVFM</t>
  </si>
  <si>
    <t>EVH</t>
  </si>
  <si>
    <t>EVI</t>
  </si>
  <si>
    <t>EVOK</t>
  </si>
  <si>
    <t>EVOL</t>
  </si>
  <si>
    <t>EVOP</t>
  </si>
  <si>
    <t>EVR</t>
  </si>
  <si>
    <t>EVRG</t>
  </si>
  <si>
    <t>EVRI</t>
  </si>
  <si>
    <t>EVTC</t>
  </si>
  <si>
    <t>EW</t>
  </si>
  <si>
    <t>EWBC</t>
  </si>
  <si>
    <t>EXAS</t>
  </si>
  <si>
    <t>EXC</t>
  </si>
  <si>
    <t>EXEL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</si>
  <si>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</si>
  <si>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</si>
  <si>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</si>
  <si>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</si>
  <si>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</si>
  <si>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</si>
  <si>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</si>
  <si>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</si>
  <si>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</si>
  <si>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</si>
  <si>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</si>
  <si>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</si>
  <si>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EYES</t>
  </si>
  <si>
    <t>EYPT</t>
  </si>
  <si>
    <t>EZPW</t>
  </si>
  <si>
    <t>F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</si>
  <si>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</si>
  <si>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</si>
  <si>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</si>
  <si>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</si>
  <si>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</si>
  <si>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</si>
  <si>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</si>
  <si>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</si>
  <si>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</si>
  <si>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</si>
  <si>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</si>
  <si>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</si>
  <si>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</si>
  <si>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</si>
  <si>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</si>
  <si>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FBP</t>
  </si>
  <si>
    <t>FBSS</t>
  </si>
  <si>
    <t>FC</t>
  </si>
  <si>
    <t>FCAP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</si>
  <si>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</si>
  <si>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</si>
  <si>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</si>
  <si>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</si>
  <si>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</si>
  <si>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</si>
  <si>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</si>
  <si>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</si>
  <si>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</si>
  <si>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FCPT</t>
  </si>
  <si>
    <t>FCX</t>
  </si>
  <si>
    <t>FDBC</t>
  </si>
  <si>
    <t>FDP</t>
  </si>
  <si>
    <t>FDS</t>
  </si>
  <si>
    <t>FDX</t>
  </si>
  <si>
    <t>FE</t>
  </si>
  <si>
    <t>FEIM</t>
  </si>
  <si>
    <t>FELE</t>
  </si>
  <si>
    <t>FET</t>
  </si>
  <si>
    <t>FF</t>
  </si>
  <si>
    <t>FFBC</t>
  </si>
  <si>
    <t>FFG</t>
  </si>
  <si>
    <t>FFIC</t>
  </si>
  <si>
    <t>FFIN</t>
  </si>
  <si>
    <t>FFIV</t>
  </si>
  <si>
    <t>FFNW</t>
  </si>
  <si>
    <t>FFWM</t>
  </si>
  <si>
    <t>FGBI</t>
  </si>
  <si>
    <t>FGEN</t>
  </si>
  <si>
    <t>FHB</t>
  </si>
  <si>
    <t>FHN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</si>
  <si>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</si>
  <si>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</si>
  <si>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</si>
  <si>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</si>
  <si>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</si>
  <si>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</si>
  <si>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</si>
  <si>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</si>
  <si>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</si>
  <si>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</si>
  <si>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FIXX</t>
  </si>
  <si>
    <t>FIZZ</t>
  </si>
  <si>
    <t>FL</t>
  </si>
  <si>
    <t>FLIC</t>
  </si>
  <si>
    <t>FLIR</t>
  </si>
  <si>
    <t>FLL</t>
  </si>
  <si>
    <t>FLMN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</si>
  <si>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</si>
  <si>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</si>
  <si>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</si>
  <si>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</si>
  <si>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</si>
  <si>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</si>
  <si>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</si>
  <si>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</si>
  <si>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</si>
  <si>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FMAO</t>
  </si>
  <si>
    <t>FMBH</t>
  </si>
  <si>
    <t>FMBI</t>
  </si>
  <si>
    <t>FMC</t>
  </si>
  <si>
    <t>FMNB</t>
  </si>
  <si>
    <t>FN</t>
  </si>
  <si>
    <t>FNB</t>
  </si>
  <si>
    <t>FNCB</t>
  </si>
  <si>
    <t>FND</t>
  </si>
  <si>
    <t>FNF</t>
  </si>
  <si>
    <t>FNHC</t>
  </si>
  <si>
    <t>FNKO</t>
  </si>
  <si>
    <t>FNLC</t>
  </si>
  <si>
    <t>FNWB</t>
  </si>
  <si>
    <t>FOCS</t>
  </si>
  <si>
    <t>FOE</t>
  </si>
  <si>
    <t>FOLD</t>
  </si>
  <si>
    <t>FONR</t>
  </si>
  <si>
    <t>FOR</t>
  </si>
  <si>
    <t>FORD</t>
  </si>
  <si>
    <t>FORM</t>
  </si>
  <si>
    <t>FORR</t>
  </si>
  <si>
    <t>FOSL</t>
  </si>
  <si>
    <t>FOX</t>
  </si>
  <si>
    <t>FOXA</t>
  </si>
  <si>
    <t>FOXF</t>
  </si>
  <si>
    <t>FPI</t>
  </si>
  <si>
    <t>FPRX</t>
  </si>
  <si>
    <t>FR</t>
  </si>
  <si>
    <t>FRAF</t>
  </si>
  <si>
    <t>FRAN</t>
  </si>
  <si>
    <t>FRBA</t>
  </si>
  <si>
    <t>FRBK</t>
  </si>
  <si>
    <t>FRC</t>
  </si>
  <si>
    <t>FRD</t>
  </si>
  <si>
    <t>FRGI</t>
  </si>
  <si>
    <t>FRME</t>
  </si>
  <si>
    <t>FRPH</t>
  </si>
  <si>
    <t>FRPT</t>
  </si>
  <si>
    <t>FRT</t>
  </si>
  <si>
    <t>FRTA</t>
  </si>
  <si>
    <t>FSBW</t>
  </si>
  <si>
    <t>FSCT</t>
  </si>
  <si>
    <t>FSFG</t>
  </si>
  <si>
    <t>FSLR</t>
  </si>
  <si>
    <t>FSLY</t>
  </si>
  <si>
    <t>FSP</t>
  </si>
  <si>
    <t>FSS</t>
  </si>
  <si>
    <t>FSTR</t>
  </si>
  <si>
    <t>FTDR</t>
  </si>
  <si>
    <t>FTEK</t>
  </si>
  <si>
    <t>FTI</t>
  </si>
  <si>
    <t>FTK</t>
  </si>
  <si>
    <t>FTNT</t>
  </si>
  <si>
    <t>FTSI</t>
  </si>
  <si>
    <t>FTV</t>
  </si>
  <si>
    <t>FUL</t>
  </si>
  <si>
    <t>FULT</t>
  </si>
  <si>
    <t>FUNC</t>
  </si>
  <si>
    <t>FUSB</t>
  </si>
  <si>
    <t>FVE</t>
  </si>
  <si>
    <t>FWONA</t>
  </si>
  <si>
    <t>FWONK</t>
  </si>
  <si>
    <t>FWRD</t>
  </si>
  <si>
    <t>G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</si>
  <si>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</si>
  <si>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</si>
  <si>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</si>
  <si>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</si>
  <si>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</si>
  <si>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</si>
  <si>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</si>
  <si>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</si>
  <si>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</si>
  <si>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GCBC</t>
  </si>
  <si>
    <t>GCI</t>
  </si>
  <si>
    <t>GCO</t>
  </si>
  <si>
    <t>GCP</t>
  </si>
  <si>
    <t>GD</t>
  </si>
  <si>
    <t>GDDY</t>
  </si>
  <si>
    <t>GDEN</t>
  </si>
  <si>
    <t>GDOT</t>
  </si>
  <si>
    <t>GDP</t>
  </si>
  <si>
    <t>GE</t>
  </si>
  <si>
    <t>GEC</t>
  </si>
  <si>
    <t>GEF</t>
  </si>
  <si>
    <t>GEN</t>
  </si>
  <si>
    <t>GENC</t>
  </si>
  <si>
    <t>GEO</t>
  </si>
  <si>
    <t>GEOS</t>
  </si>
  <si>
    <t>GERN</t>
  </si>
  <si>
    <t>GES</t>
  </si>
  <si>
    <t>GEVO</t>
  </si>
  <si>
    <t>GFED</t>
  </si>
  <si>
    <t>GFF</t>
  </si>
  <si>
    <t>GFN</t>
  </si>
  <si>
    <t>GGG</t>
  </si>
  <si>
    <t>GH</t>
  </si>
  <si>
    <t>GHC</t>
  </si>
  <si>
    <t>GHL</t>
  </si>
  <si>
    <t>GHM</t>
  </si>
  <si>
    <t>GIFI</t>
  </si>
  <si>
    <t>GIII</t>
  </si>
  <si>
    <t>GILD</t>
  </si>
  <si>
    <t>GIS</t>
  </si>
  <si>
    <t>GKOS</t>
  </si>
  <si>
    <t>GL</t>
  </si>
  <si>
    <t>GLBZ</t>
  </si>
  <si>
    <t>GLDD</t>
  </si>
  <si>
    <t>GLIBA</t>
  </si>
  <si>
    <t>GLPI</t>
  </si>
  <si>
    <t>GLRE</t>
  </si>
  <si>
    <t>GLT</t>
  </si>
  <si>
    <t>GLUU</t>
  </si>
  <si>
    <t>GLW</t>
  </si>
  <si>
    <t>GLYC</t>
  </si>
  <si>
    <t>GM</t>
  </si>
  <si>
    <t>GME</t>
  </si>
  <si>
    <t>GMED</t>
  </si>
  <si>
    <t>GMRE</t>
  </si>
  <si>
    <t>GMS</t>
  </si>
  <si>
    <t>GNCA</t>
  </si>
  <si>
    <t>GNE</t>
  </si>
  <si>
    <t>GNK</t>
  </si>
  <si>
    <t>GNL</t>
  </si>
  <si>
    <t>GNMK</t>
  </si>
  <si>
    <t>GNRC</t>
  </si>
  <si>
    <t>GNTX</t>
  </si>
  <si>
    <t>GNTY</t>
  </si>
  <si>
    <t>GNW</t>
  </si>
  <si>
    <t>GOGO</t>
  </si>
  <si>
    <t>GOLF</t>
  </si>
  <si>
    <t>GOOD</t>
  </si>
  <si>
    <t>GOOG</t>
  </si>
  <si>
    <t>GOOGL</t>
  </si>
  <si>
    <t>GORO</t>
  </si>
  <si>
    <t>GOSS</t>
  </si>
  <si>
    <t>GPC</t>
  </si>
  <si>
    <t>GPI</t>
  </si>
  <si>
    <t>GPK</t>
  </si>
  <si>
    <t>GPMT</t>
  </si>
  <si>
    <t>GPN</t>
  </si>
  <si>
    <t>GPOR</t>
  </si>
  <si>
    <t>GPRE</t>
  </si>
  <si>
    <t>GPRO</t>
  </si>
  <si>
    <t>GPS</t>
  </si>
  <si>
    <t>GPX</t>
  </si>
  <si>
    <t>GRA</t>
  </si>
  <si>
    <t>GRBK</t>
  </si>
  <si>
    <t>GRC</t>
  </si>
  <si>
    <t>GRMN</t>
  </si>
  <si>
    <t>GROW</t>
  </si>
  <si>
    <t>GRPN</t>
  </si>
  <si>
    <t>GRTS</t>
  </si>
  <si>
    <t>GRUB</t>
  </si>
  <si>
    <t>GS</t>
  </si>
  <si>
    <t>GSAT</t>
  </si>
  <si>
    <t>GSBC</t>
  </si>
  <si>
    <t>GSHD</t>
  </si>
  <si>
    <t>GSIT</t>
  </si>
  <si>
    <t>GSKY</t>
  </si>
  <si>
    <t>GT</t>
  </si>
  <si>
    <t>GTES</t>
  </si>
  <si>
    <t>GTHX</t>
  </si>
  <si>
    <t>GTIM</t>
  </si>
  <si>
    <t>GTLS</t>
  </si>
  <si>
    <t>GTN</t>
  </si>
  <si>
    <t>GTS</t>
  </si>
  <si>
    <t>GTT</t>
  </si>
  <si>
    <t>GTX</t>
  </si>
  <si>
    <t>GTY</t>
  </si>
  <si>
    <t>GTYH</t>
  </si>
  <si>
    <t>GV</t>
  </si>
  <si>
    <t>GVA</t>
  </si>
  <si>
    <t>GVP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</si>
  <si>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</si>
  <si>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</si>
  <si>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</si>
  <si>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</si>
  <si>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</si>
  <si>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</si>
  <si>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</si>
  <si>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</si>
  <si>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</si>
  <si>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</si>
  <si>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</si>
  <si>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</si>
  <si>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</si>
  <si>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HAS</t>
  </si>
  <si>
    <t>HASI</t>
  </si>
  <si>
    <t>HAYN</t>
  </si>
  <si>
    <t>HBAN</t>
  </si>
  <si>
    <t>HBB</t>
  </si>
  <si>
    <t>HBCP</t>
  </si>
  <si>
    <t>HBI</t>
  </si>
  <si>
    <t>HBIO</t>
  </si>
  <si>
    <t>HBMD</t>
  </si>
  <si>
    <t>HBNC</t>
  </si>
  <si>
    <t>HBP</t>
  </si>
  <si>
    <t>HCA</t>
  </si>
  <si>
    <t>HCC</t>
  </si>
  <si>
    <t>HCCI</t>
  </si>
  <si>
    <t>HCHC</t>
  </si>
  <si>
    <t>HCI</t>
  </si>
  <si>
    <t>HCKT</t>
  </si>
  <si>
    <t>HCP</t>
  </si>
  <si>
    <t>HCSG</t>
  </si>
  <si>
    <t>HD</t>
  </si>
  <si>
    <t>HDS</t>
  </si>
  <si>
    <t>HDSN</t>
  </si>
  <si>
    <t>HE</t>
  </si>
  <si>
    <t>HEAR</t>
  </si>
  <si>
    <t>HEES</t>
  </si>
  <si>
    <t>HEI</t>
  </si>
  <si>
    <t>HELE</t>
  </si>
  <si>
    <t>HEPA</t>
  </si>
  <si>
    <t>HES</t>
  </si>
  <si>
    <t>HFBL</t>
  </si>
  <si>
    <t>HFWA</t>
  </si>
  <si>
    <t>HGV</t>
  </si>
  <si>
    <t>HHC</t>
  </si>
  <si>
    <t>HHS</t>
  </si>
  <si>
    <t>HI</t>
  </si>
  <si>
    <t>HIBB</t>
  </si>
  <si>
    <t>HIFS</t>
  </si>
  <si>
    <t>HIG</t>
  </si>
  <si>
    <t>HII</t>
  </si>
  <si>
    <t>HIL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</si>
  <si>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</si>
  <si>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</si>
  <si>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</si>
  <si>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</si>
  <si>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</si>
  <si>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</si>
  <si>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</si>
  <si>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</si>
  <si>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</si>
  <si>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HMHC</t>
  </si>
  <si>
    <t>HMN</t>
  </si>
  <si>
    <t>HMNF</t>
  </si>
  <si>
    <t>HMST</t>
  </si>
  <si>
    <t>HMSY</t>
  </si>
  <si>
    <t>HMTV</t>
  </si>
  <si>
    <t>HNGR</t>
  </si>
  <si>
    <t>HNI</t>
  </si>
  <si>
    <t>HNRG</t>
  </si>
  <si>
    <t>HOFT</t>
  </si>
  <si>
    <t>HOG</t>
  </si>
  <si>
    <t>HOLX</t>
  </si>
  <si>
    <t>HOMB</t>
  </si>
  <si>
    <t>HOME</t>
  </si>
  <si>
    <t>HON</t>
  </si>
  <si>
    <t>HONE</t>
  </si>
  <si>
    <t>HOPE</t>
  </si>
  <si>
    <t>HOV</t>
  </si>
  <si>
    <t>HP</t>
  </si>
  <si>
    <t>HPE</t>
  </si>
  <si>
    <t>HPP</t>
  </si>
  <si>
    <t>HPQ</t>
  </si>
  <si>
    <t>HPR</t>
  </si>
  <si>
    <t>HQY</t>
  </si>
  <si>
    <t>HR</t>
  </si>
  <si>
    <t>HRB</t>
  </si>
  <si>
    <t>HRC</t>
  </si>
  <si>
    <t>HRI</t>
  </si>
  <si>
    <t>HRL</t>
  </si>
  <si>
    <t>HROW</t>
  </si>
  <si>
    <t>HRTG</t>
  </si>
  <si>
    <t>HRTX</t>
  </si>
  <si>
    <t>HSC</t>
  </si>
  <si>
    <t>HSDT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</si>
  <si>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</si>
  <si>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</si>
  <si>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</si>
  <si>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</si>
  <si>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</si>
  <si>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</si>
  <si>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</si>
  <si>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</si>
  <si>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</si>
  <si>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</si>
  <si>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</si>
  <si>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</si>
  <si>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HTGM</t>
  </si>
  <si>
    <t>HTH</t>
  </si>
  <si>
    <t>HTLD</t>
  </si>
  <si>
    <t>HTLF</t>
  </si>
  <si>
    <t>HTZ</t>
  </si>
  <si>
    <t>HUBB</t>
  </si>
  <si>
    <t>HUBG</t>
  </si>
  <si>
    <t>HUBS</t>
  </si>
  <si>
    <t>HUM</t>
  </si>
  <si>
    <t>HUN</t>
  </si>
  <si>
    <t>HURC</t>
  </si>
  <si>
    <t>HURN</t>
  </si>
  <si>
    <t>HUSA</t>
  </si>
  <si>
    <t>HVT</t>
  </si>
  <si>
    <t>HWBK</t>
  </si>
  <si>
    <t>HWC</t>
  </si>
  <si>
    <t>HWCC</t>
  </si>
  <si>
    <t>HWKN</t>
  </si>
  <si>
    <t>HXL</t>
  </si>
  <si>
    <t>HY</t>
  </si>
  <si>
    <t>HZN</t>
  </si>
  <si>
    <t>HZNP</t>
  </si>
  <si>
    <t>HZO</t>
  </si>
  <si>
    <t>IAA</t>
  </si>
  <si>
    <t>IAC</t>
  </si>
  <si>
    <t>IART</t>
  </si>
  <si>
    <t>IBCP</t>
  </si>
  <si>
    <t>IBIO</t>
  </si>
  <si>
    <t>IBKR</t>
  </si>
  <si>
    <t>IBM</t>
  </si>
  <si>
    <t>IBOC</t>
  </si>
  <si>
    <t>IBP</t>
  </si>
  <si>
    <t>IBTX</t>
  </si>
  <si>
    <t>ICAD</t>
  </si>
  <si>
    <t>ICBK</t>
  </si>
  <si>
    <t>ICCC</t>
  </si>
  <si>
    <t>ICD</t>
  </si>
  <si>
    <t>ICE</t>
  </si>
  <si>
    <t>ICFI</t>
  </si>
  <si>
    <t>ICHR</t>
  </si>
  <si>
    <t>ICON</t>
  </si>
  <si>
    <t>ICPT</t>
  </si>
  <si>
    <t>ICUI</t>
  </si>
  <si>
    <t>IDA</t>
  </si>
  <si>
    <t>IDCC</t>
  </si>
  <si>
    <t>IDN</t>
  </si>
  <si>
    <t>IDRA</t>
  </si>
  <si>
    <t>IDT</t>
  </si>
  <si>
    <t>IDXG</t>
  </si>
  <si>
    <t>IDXX</t>
  </si>
  <si>
    <t>IEC</t>
  </si>
  <si>
    <t>IESC</t>
  </si>
  <si>
    <t>IEX</t>
  </si>
  <si>
    <t>IFF</t>
  </si>
  <si>
    <t>IHC</t>
  </si>
  <si>
    <t>III</t>
  </si>
  <si>
    <t>IIIN</t>
  </si>
  <si>
    <t>IIIV</t>
  </si>
  <si>
    <t>IIN</t>
  </si>
  <si>
    <t>IIPR</t>
  </si>
  <si>
    <t>IIVI</t>
  </si>
  <si>
    <t>ILMN</t>
  </si>
  <si>
    <t>ILPT</t>
  </si>
  <si>
    <t>IMBI</t>
  </si>
  <si>
    <t>IMGN</t>
  </si>
  <si>
    <t>IMH</t>
  </si>
  <si>
    <t>IMKTA</t>
  </si>
  <si>
    <t>IMMR</t>
  </si>
  <si>
    <t>IMUX</t>
  </si>
  <si>
    <t>IMXI</t>
  </si>
  <si>
    <t>INBK</t>
  </si>
  <si>
    <t>INCY</t>
  </si>
  <si>
    <t>INDB</t>
  </si>
  <si>
    <t>INFI</t>
  </si>
  <si>
    <t>INFN</t>
  </si>
  <si>
    <t>INFO</t>
  </si>
  <si>
    <t>INFU</t>
  </si>
  <si>
    <t>INGN</t>
  </si>
  <si>
    <t>INGR</t>
  </si>
  <si>
    <t>INN</t>
  </si>
  <si>
    <t>INO</t>
  </si>
  <si>
    <t>INOD</t>
  </si>
  <si>
    <t>INOV</t>
  </si>
  <si>
    <t>INPX</t>
  </si>
  <si>
    <t>INS</t>
  </si>
  <si>
    <t>INSE</t>
  </si>
  <si>
    <t>INSG</t>
  </si>
  <si>
    <t>INSM</t>
  </si>
  <si>
    <t>INSP</t>
  </si>
  <si>
    <t>INST</t>
  </si>
  <si>
    <t>INSW</t>
  </si>
  <si>
    <t>INT</t>
  </si>
  <si>
    <t>INTC</t>
  </si>
  <si>
    <t>INTG</t>
  </si>
  <si>
    <t>INTT</t>
  </si>
  <si>
    <t>INTU</t>
  </si>
  <si>
    <t>INUV</t>
  </si>
  <si>
    <t>INVA</t>
  </si>
  <si>
    <t>INVE</t>
  </si>
  <si>
    <t>INVH</t>
  </si>
  <si>
    <t>IO</t>
  </si>
  <si>
    <t>IONS</t>
  </si>
  <si>
    <t>IOR</t>
  </si>
  <si>
    <t>IOSP</t>
  </si>
  <si>
    <t>IOVA</t>
  </si>
  <si>
    <t>IP</t>
  </si>
  <si>
    <t>IPAR</t>
  </si>
  <si>
    <t>IPG</t>
  </si>
  <si>
    <t>IPGP</t>
  </si>
  <si>
    <t>IPHI</t>
  </si>
  <si>
    <t>IPI</t>
  </si>
  <si>
    <t>IPWR</t>
  </si>
  <si>
    <t>IQV</t>
  </si>
  <si>
    <t>IR</t>
  </si>
  <si>
    <t>IRBT</t>
  </si>
  <si>
    <t>IRDM</t>
  </si>
  <si>
    <t>IRET</t>
  </si>
  <si>
    <t>IRIX</t>
  </si>
  <si>
    <t>IRM</t>
  </si>
  <si>
    <t>IRMD</t>
  </si>
  <si>
    <t>IROQ</t>
  </si>
  <si>
    <t>IRT</t>
  </si>
  <si>
    <t>IRTC</t>
  </si>
  <si>
    <t>IRWD</t>
  </si>
  <si>
    <t>ISBC</t>
  </si>
  <si>
    <t>ISDR</t>
  </si>
  <si>
    <t>ISEE</t>
  </si>
  <si>
    <t>ISIG</t>
  </si>
  <si>
    <t>ISNS</t>
  </si>
  <si>
    <t>ISR</t>
  </si>
  <si>
    <t>ISRG</t>
  </si>
  <si>
    <t>ISSC</t>
  </si>
  <si>
    <t>ISTR</t>
  </si>
  <si>
    <t>IT</t>
  </si>
  <si>
    <t>ITCI</t>
  </si>
  <si>
    <t>ITGR</t>
  </si>
  <si>
    <t>ITI</t>
  </si>
  <si>
    <t>ITIC</t>
  </si>
  <si>
    <t>ITRI</t>
  </si>
  <si>
    <t>ITT</t>
  </si>
  <si>
    <t>ITW</t>
  </si>
  <si>
    <t>IVAC</t>
  </si>
  <si>
    <t>IVC</t>
  </si>
  <si>
    <t>IVR</t>
  </si>
  <si>
    <t>IVZ</t>
  </si>
  <si>
    <t>IZEA</t>
  </si>
  <si>
    <t>JACK</t>
  </si>
  <si>
    <t>JAGX</t>
  </si>
  <si>
    <t>JAKK</t>
  </si>
  <si>
    <t>JAX</t>
  </si>
  <si>
    <t>JAZZ</t>
  </si>
  <si>
    <t>JBGS</t>
  </si>
  <si>
    <t>JBHT</t>
  </si>
  <si>
    <t>JBL</t>
  </si>
  <si>
    <t>JBLU</t>
  </si>
  <si>
    <t>JBSS</t>
  </si>
  <si>
    <t>JBT</t>
  </si>
  <si>
    <t>JCI</t>
  </si>
  <si>
    <t>JCS</t>
  </si>
  <si>
    <t>JCTCF</t>
  </si>
  <si>
    <t>JEF</t>
  </si>
  <si>
    <t>JELD</t>
  </si>
  <si>
    <t>JHG</t>
  </si>
  <si>
    <t>JILL</t>
  </si>
  <si>
    <t>JJSF</t>
  </si>
  <si>
    <t>JKHY</t>
  </si>
  <si>
    <t>JLL</t>
  </si>
  <si>
    <t>JNCE</t>
  </si>
  <si>
    <t>JNJ</t>
  </si>
  <si>
    <t>JNPR</t>
  </si>
  <si>
    <t>JOB</t>
  </si>
  <si>
    <t>JOE</t>
  </si>
  <si>
    <t>JOUT</t>
  </si>
  <si>
    <t>JPM</t>
  </si>
  <si>
    <t>JRVR</t>
  </si>
  <si>
    <t>JVA</t>
  </si>
  <si>
    <t>JWN</t>
  </si>
  <si>
    <t>JYNT</t>
  </si>
  <si>
    <t>K</t>
  </si>
  <si>
    <t>KAI</t>
  </si>
  <si>
    <t>KALA</t>
  </si>
  <si>
    <t>KALU</t>
  </si>
  <si>
    <t>KALV</t>
  </si>
  <si>
    <t>KAMN</t>
  </si>
  <si>
    <t>KAR</t>
  </si>
  <si>
    <t>KBAL</t>
  </si>
  <si>
    <t>KBH</t>
  </si>
  <si>
    <t>KBR</t>
  </si>
  <si>
    <t>KDMN</t>
  </si>
  <si>
    <t>KDP</t>
  </si>
  <si>
    <t>KE</t>
  </si>
  <si>
    <t>KELYA</t>
  </si>
  <si>
    <t>KEQU</t>
  </si>
  <si>
    <t>KEX</t>
  </si>
  <si>
    <t>KEY</t>
  </si>
  <si>
    <t>KEYS</t>
  </si>
  <si>
    <t>KFFB</t>
  </si>
  <si>
    <t>KFRC</t>
  </si>
  <si>
    <t>KFY</t>
  </si>
  <si>
    <t>KHC</t>
  </si>
  <si>
    <t>KIDS</t>
  </si>
  <si>
    <t>KIM</t>
  </si>
  <si>
    <t>KIN</t>
  </si>
  <si>
    <t>KINS</t>
  </si>
  <si>
    <t>KIRK</t>
  </si>
  <si>
    <t>KKR</t>
  </si>
  <si>
    <t>KLAC</t>
  </si>
  <si>
    <t>KLIC</t>
  </si>
  <si>
    <t>KLXE</t>
  </si>
  <si>
    <t>KMB</t>
  </si>
  <si>
    <t>KMI</t>
  </si>
  <si>
    <t>KMPH</t>
  </si>
  <si>
    <t>KMPR</t>
  </si>
  <si>
    <t>KMT</t>
  </si>
  <si>
    <t>KMX</t>
  </si>
  <si>
    <t>KN</t>
  </si>
  <si>
    <t>KNL</t>
  </si>
  <si>
    <t>KNSA</t>
  </si>
  <si>
    <t>KNSL</t>
  </si>
  <si>
    <t>KNX</t>
  </si>
  <si>
    <t>KO</t>
  </si>
  <si>
    <t>KOD</t>
  </si>
  <si>
    <t>KODK</t>
  </si>
  <si>
    <t>KOOL</t>
  </si>
  <si>
    <t>KOP</t>
  </si>
  <si>
    <t>KOPN</t>
  </si>
  <si>
    <t>KOS</t>
  </si>
  <si>
    <t>KPTI</t>
  </si>
  <si>
    <t>KR</t>
  </si>
  <si>
    <t>KRA</t>
  </si>
  <si>
    <t>KRC</t>
  </si>
  <si>
    <t>KREF</t>
  </si>
  <si>
    <t>KRG</t>
  </si>
  <si>
    <t>KRNY</t>
  </si>
  <si>
    <t>KRO</t>
  </si>
  <si>
    <t>KRYS</t>
  </si>
  <si>
    <t>KSS</t>
  </si>
  <si>
    <t>KSU</t>
  </si>
  <si>
    <t>KTB</t>
  </si>
  <si>
    <t>KTCC</t>
  </si>
  <si>
    <t>KTOS</t>
  </si>
  <si>
    <t>KURA</t>
  </si>
  <si>
    <t>KVHI</t>
  </si>
  <si>
    <t>KW</t>
  </si>
  <si>
    <t>KWR</t>
  </si>
  <si>
    <t>KZR</t>
  </si>
  <si>
    <t>L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</si>
  <si>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</si>
  <si>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</si>
  <si>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</si>
  <si>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</si>
  <si>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</si>
  <si>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</si>
  <si>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</si>
  <si>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</si>
  <si>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</si>
  <si>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</si>
  <si>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</si>
  <si>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LB</t>
  </si>
  <si>
    <t>LBAI</t>
  </si>
  <si>
    <t>LBC</t>
  </si>
  <si>
    <t>LBRDA</t>
  </si>
  <si>
    <t>LBRDK</t>
  </si>
  <si>
    <t>LBRT</t>
  </si>
  <si>
    <t>LBTYA</t>
  </si>
  <si>
    <t>LBTYK</t>
  </si>
  <si>
    <t>LC</t>
  </si>
  <si>
    <t>LCI</t>
  </si>
  <si>
    <t>LCII</t>
  </si>
  <si>
    <t>LCNB</t>
  </si>
  <si>
    <t>LCTX</t>
  </si>
  <si>
    <t>LCUT</t>
  </si>
  <si>
    <t>LDL</t>
  </si>
  <si>
    <t>LDOS</t>
  </si>
  <si>
    <t>LE</t>
  </si>
  <si>
    <t>LEA</t>
  </si>
  <si>
    <t>LEAF</t>
  </si>
  <si>
    <t>LECO</t>
  </si>
  <si>
    <t>LEE</t>
  </si>
  <si>
    <t>LEG</t>
  </si>
  <si>
    <t>LEGH</t>
  </si>
  <si>
    <t>LEN</t>
  </si>
  <si>
    <t>LEU</t>
  </si>
  <si>
    <t>LEVI</t>
  </si>
  <si>
    <t>LFUS</t>
  </si>
  <si>
    <t>LFVN</t>
  </si>
  <si>
    <t>LGIH</t>
  </si>
  <si>
    <t>LGL</t>
  </si>
  <si>
    <t>LGND</t>
  </si>
  <si>
    <t>LH</t>
  </si>
  <si>
    <t>LHCG</t>
  </si>
  <si>
    <t>LHX</t>
  </si>
  <si>
    <t>LIFE</t>
  </si>
  <si>
    <t>LII</t>
  </si>
  <si>
    <t>LILA</t>
  </si>
  <si>
    <t>LILAK</t>
  </si>
  <si>
    <t>LIN</t>
  </si>
  <si>
    <t>LINC</t>
  </si>
  <si>
    <t>LIND</t>
  </si>
  <si>
    <t>LIQT</t>
  </si>
  <si>
    <t>LITE</t>
  </si>
  <si>
    <t>LIVE</t>
  </si>
  <si>
    <t>LIVN</t>
  </si>
  <si>
    <t>LIVX</t>
  </si>
  <si>
    <t>LJPC</t>
  </si>
  <si>
    <t>LKFN</t>
  </si>
  <si>
    <t>LKQ</t>
  </si>
  <si>
    <t>LL</t>
  </si>
  <si>
    <t>LLNW</t>
  </si>
  <si>
    <t>LLY</t>
  </si>
  <si>
    <t>LMAT</t>
  </si>
  <si>
    <t>LMFA</t>
  </si>
  <si>
    <t>LMNR</t>
  </si>
  <si>
    <t>LMNX</t>
  </si>
  <si>
    <t>LMST</t>
  </si>
  <si>
    <t>LMT</t>
  </si>
  <si>
    <t>LNC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</si>
  <si>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</si>
  <si>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</si>
  <si>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</si>
  <si>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</si>
  <si>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</si>
  <si>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</si>
  <si>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</si>
  <si>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</si>
  <si>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</si>
  <si>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LONE</t>
  </si>
  <si>
    <t>LOOP</t>
  </si>
  <si>
    <t>LOPE</t>
  </si>
  <si>
    <t>LORL</t>
  </si>
  <si>
    <t>LOVE</t>
  </si>
  <si>
    <t>LOW</t>
  </si>
  <si>
    <t>LPCN</t>
  </si>
  <si>
    <t>LPG</t>
  </si>
  <si>
    <t>LPI</t>
  </si>
  <si>
    <t>LPLA</t>
  </si>
  <si>
    <t>LPSN</t>
  </si>
  <si>
    <t>LPTH</t>
  </si>
  <si>
    <t>LPX</t>
  </si>
  <si>
    <t>LQDA</t>
  </si>
  <si>
    <t>LQDT</t>
  </si>
  <si>
    <t>LRCX</t>
  </si>
  <si>
    <t>LRN</t>
  </si>
  <si>
    <t>LSBK</t>
  </si>
  <si>
    <t>LSCC</t>
  </si>
  <si>
    <t>LSI</t>
  </si>
  <si>
    <t>LSTR</t>
  </si>
  <si>
    <t>LSXMA</t>
  </si>
  <si>
    <t>LSXMK</t>
  </si>
  <si>
    <t>LTBR</t>
  </si>
  <si>
    <t>LTC</t>
  </si>
  <si>
    <t>LTHM</t>
  </si>
  <si>
    <t>LTRPA</t>
  </si>
  <si>
    <t>LTRX</t>
  </si>
  <si>
    <t>LUB</t>
  </si>
  <si>
    <t>LULU</t>
  </si>
  <si>
    <t>LUNA</t>
  </si>
  <si>
    <t>LUV</t>
  </si>
  <si>
    <t>LVS</t>
  </si>
  <si>
    <t>LW</t>
  </si>
  <si>
    <t>LWAY</t>
  </si>
  <si>
    <t>LXP</t>
  </si>
  <si>
    <t>LXRX</t>
  </si>
  <si>
    <t>LXU</t>
  </si>
  <si>
    <t>LYB</t>
  </si>
  <si>
    <t>LYFT</t>
  </si>
  <si>
    <t>LYTS</t>
  </si>
  <si>
    <t>LYV</t>
  </si>
  <si>
    <t>LZB</t>
  </si>
  <si>
    <t>M</t>
  </si>
  <si>
    <t>MA</t>
  </si>
  <si>
    <t>MAA</t>
  </si>
  <si>
    <t>MAC</t>
  </si>
  <si>
    <t>MACK</t>
  </si>
  <si>
    <t>MAN</t>
  </si>
  <si>
    <t>MANH</t>
  </si>
  <si>
    <t>MANT</t>
  </si>
  <si>
    <t>MAR</t>
  </si>
  <si>
    <t>MARA</t>
  </si>
  <si>
    <t>MARK</t>
  </si>
  <si>
    <t>MAS</t>
  </si>
  <si>
    <t>MASI</t>
  </si>
  <si>
    <t>MAT</t>
  </si>
  <si>
    <t>MATW</t>
  </si>
  <si>
    <t>MATX</t>
  </si>
  <si>
    <t>MAYS</t>
  </si>
  <si>
    <t>MBCN</t>
  </si>
  <si>
    <t>MBI</t>
  </si>
  <si>
    <t>MBII</t>
  </si>
  <si>
    <t>MBIN</t>
  </si>
  <si>
    <t>MBIO</t>
  </si>
  <si>
    <t>MBOT</t>
  </si>
  <si>
    <t>MBUU</t>
  </si>
  <si>
    <t>MBWM</t>
  </si>
  <si>
    <t>MC</t>
  </si>
  <si>
    <t>MCB</t>
  </si>
  <si>
    <t>MCBC</t>
  </si>
  <si>
    <t>MCD</t>
  </si>
  <si>
    <t>MCF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</si>
  <si>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</si>
  <si>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</si>
  <si>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</si>
  <si>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</si>
  <si>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</si>
  <si>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</si>
  <si>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</si>
  <si>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</si>
  <si>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</si>
  <si>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</si>
  <si>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</si>
  <si>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MDC</t>
  </si>
  <si>
    <t>MDGL</t>
  </si>
  <si>
    <t>MDLY</t>
  </si>
  <si>
    <t>MDLZ</t>
  </si>
  <si>
    <t>MDP</t>
  </si>
  <si>
    <t>MDRX</t>
  </si>
  <si>
    <t>MDT</t>
  </si>
  <si>
    <t>MDU</t>
  </si>
  <si>
    <t>MED</t>
  </si>
  <si>
    <t>MEDP</t>
  </si>
  <si>
    <t>MEI</t>
  </si>
  <si>
    <t>MEIP</t>
  </si>
  <si>
    <t>MERC</t>
  </si>
  <si>
    <t>MESA</t>
  </si>
  <si>
    <t>MET</t>
  </si>
  <si>
    <t>MFA</t>
  </si>
  <si>
    <t>MFNC</t>
  </si>
  <si>
    <t>MG</t>
  </si>
  <si>
    <t>MGEE</t>
  </si>
  <si>
    <t>MGI</t>
  </si>
  <si>
    <t>MGLN</t>
  </si>
  <si>
    <t>MGM</t>
  </si>
  <si>
    <t>MGNX</t>
  </si>
  <si>
    <t>MGPI</t>
  </si>
  <si>
    <t>MGRC</t>
  </si>
  <si>
    <t>MGTA</t>
  </si>
  <si>
    <t>MGY</t>
  </si>
  <si>
    <t>MGYR</t>
  </si>
  <si>
    <t>MHH</t>
  </si>
  <si>
    <t>MHK</t>
  </si>
  <si>
    <t>MHLD</t>
  </si>
  <si>
    <t>MHO</t>
  </si>
  <si>
    <t>MIC</t>
  </si>
  <si>
    <t>MICR</t>
  </si>
  <si>
    <t>MICT</t>
  </si>
  <si>
    <t>MIDD</t>
  </si>
  <si>
    <t>MIK</t>
  </si>
  <si>
    <t>MIND</t>
  </si>
  <si>
    <t>MITK</t>
  </si>
  <si>
    <t>MITT</t>
  </si>
  <si>
    <t>MKC</t>
  </si>
  <si>
    <t>MKL</t>
  </si>
  <si>
    <t>MKSI</t>
  </si>
  <si>
    <t>MKTX</t>
  </si>
  <si>
    <t>MLAB</t>
  </si>
  <si>
    <t>MLHR</t>
  </si>
  <si>
    <t>MLI</t>
  </si>
  <si>
    <t>MLM</t>
  </si>
  <si>
    <t>MLP</t>
  </si>
  <si>
    <t>MLR</t>
  </si>
  <si>
    <t>MLSS</t>
  </si>
  <si>
    <t>MLVF</t>
  </si>
  <si>
    <t>MMAC</t>
  </si>
  <si>
    <t>MMC</t>
  </si>
  <si>
    <t>MMI</t>
  </si>
  <si>
    <t>MMM</t>
  </si>
  <si>
    <t>MMS</t>
  </si>
  <si>
    <t>MMSI</t>
  </si>
  <si>
    <t>MN</t>
  </si>
  <si>
    <t>MNKD</t>
  </si>
  <si>
    <t>MNOV</t>
  </si>
  <si>
    <t>MNR</t>
  </si>
  <si>
    <t>MNRL</t>
  </si>
  <si>
    <t>MNRO</t>
  </si>
  <si>
    <t>MNSB</t>
  </si>
  <si>
    <t>MNST</t>
  </si>
  <si>
    <t>MNTX</t>
  </si>
  <si>
    <t>MO</t>
  </si>
  <si>
    <t>MOBL</t>
  </si>
  <si>
    <t>MOD</t>
  </si>
  <si>
    <t>MODN</t>
  </si>
  <si>
    <t>MOFG</t>
  </si>
  <si>
    <t>MOH</t>
  </si>
  <si>
    <t>MORN</t>
  </si>
  <si>
    <t>MOS</t>
  </si>
  <si>
    <t>MOTS</t>
  </si>
  <si>
    <t>MOV</t>
  </si>
  <si>
    <t>MPAA</t>
  </si>
  <si>
    <t>MPB</t>
  </si>
  <si>
    <t>MPC</t>
  </si>
  <si>
    <t>MPW</t>
  </si>
  <si>
    <t>MPWR</t>
  </si>
  <si>
    <t>MPX</t>
  </si>
  <si>
    <t>MRAM</t>
  </si>
  <si>
    <t>MRBK</t>
  </si>
  <si>
    <t>MRC</t>
  </si>
  <si>
    <t>MRCY</t>
  </si>
  <si>
    <t>MRIN</t>
  </si>
  <si>
    <t>MRK</t>
  </si>
  <si>
    <t>MRKR</t>
  </si>
  <si>
    <t>MRLN</t>
  </si>
  <si>
    <t>MRNS</t>
  </si>
  <si>
    <t>MRO</t>
  </si>
  <si>
    <t>MRSN</t>
  </si>
  <si>
    <t>MRTN</t>
  </si>
  <si>
    <t>MRTX</t>
  </si>
  <si>
    <t>MRVL</t>
  </si>
  <si>
    <t>MS</t>
  </si>
  <si>
    <t>MSA</t>
  </si>
  <si>
    <t>MSBI</t>
  </si>
  <si>
    <t>MSCI</t>
  </si>
  <si>
    <t>MSEX</t>
  </si>
  <si>
    <t>MSFT</t>
  </si>
  <si>
    <t>MSGN</t>
  </si>
  <si>
    <t>MSI</t>
  </si>
  <si>
    <t>MSM</t>
  </si>
  <si>
    <t>MSN</t>
  </si>
  <si>
    <t>MSON</t>
  </si>
  <si>
    <t>MSTR</t>
  </si>
  <si>
    <t>MTB</t>
  </si>
  <si>
    <t>MTCH</t>
  </si>
  <si>
    <t>MTD</t>
  </si>
  <si>
    <t>MTDR</t>
  </si>
  <si>
    <t>MTEM</t>
  </si>
  <si>
    <t>MTEX</t>
  </si>
  <si>
    <t>MTG</t>
  </si>
  <si>
    <t>MTH</t>
  </si>
  <si>
    <t>MTN</t>
  </si>
  <si>
    <t>MTNB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</si>
  <si>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</si>
  <si>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</si>
  <si>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</si>
  <si>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</si>
  <si>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</si>
  <si>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</si>
  <si>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</si>
  <si>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</si>
  <si>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</si>
  <si>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MUR</t>
  </si>
  <si>
    <t>MUSA</t>
  </si>
  <si>
    <t>MUX</t>
  </si>
  <si>
    <t>MVBF</t>
  </si>
  <si>
    <t>MVIS</t>
  </si>
  <si>
    <t>MWA</t>
  </si>
  <si>
    <t>MXIM</t>
  </si>
  <si>
    <t>MXL</t>
  </si>
  <si>
    <t>MYE</t>
  </si>
  <si>
    <t>MYGN</t>
  </si>
  <si>
    <t>MYRG</t>
  </si>
  <si>
    <t>NAII</t>
  </si>
  <si>
    <t>NATH</t>
  </si>
  <si>
    <t>NATI</t>
  </si>
  <si>
    <t>NATR</t>
  </si>
  <si>
    <t>NAV</t>
  </si>
  <si>
    <t>NAVB</t>
  </si>
  <si>
    <t>NAVI</t>
  </si>
  <si>
    <t>NBEV</t>
  </si>
  <si>
    <t>NBHC</t>
  </si>
  <si>
    <t>NBIX</t>
  </si>
  <si>
    <t>NBN</t>
  </si>
  <si>
    <t>NBR</t>
  </si>
  <si>
    <t>NBSE</t>
  </si>
  <si>
    <t>NBTB</t>
  </si>
  <si>
    <t>NBY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</si>
  <si>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</si>
  <si>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</si>
  <si>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</si>
  <si>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</si>
  <si>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</si>
  <si>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</si>
  <si>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</si>
  <si>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</si>
  <si>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</si>
  <si>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</t>
  </si>
  <si>
    <t>NEE</t>
  </si>
  <si>
    <t>NEM</t>
  </si>
  <si>
    <t>NEO</t>
  </si>
  <si>
    <t>NEOG</t>
  </si>
  <si>
    <t>NEON</t>
  </si>
  <si>
    <t>NEOS</t>
  </si>
  <si>
    <t>NERV</t>
  </si>
  <si>
    <t>NETE</t>
  </si>
  <si>
    <t>NEU</t>
  </si>
  <si>
    <t>NEWR</t>
  </si>
  <si>
    <t>NFBK</t>
  </si>
  <si>
    <t>NFG</t>
  </si>
  <si>
    <t>NFLX</t>
  </si>
  <si>
    <t>NGHC</t>
  </si>
  <si>
    <t>NGS</t>
  </si>
  <si>
    <t>NGVC</t>
  </si>
  <si>
    <t>NGVT</t>
  </si>
  <si>
    <t>NHC</t>
  </si>
  <si>
    <t>NHI</t>
  </si>
  <si>
    <t>NHTC</t>
  </si>
  <si>
    <t>NI</t>
  </si>
  <si>
    <t>NICK</t>
  </si>
  <si>
    <t>NINE</t>
  </si>
  <si>
    <t>NJR</t>
  </si>
  <si>
    <t>NKE</t>
  </si>
  <si>
    <t>NKSH</t>
  </si>
  <si>
    <t>NKTR</t>
  </si>
  <si>
    <t>NL</t>
  </si>
  <si>
    <t>NLS</t>
  </si>
  <si>
    <t>NLSN</t>
  </si>
  <si>
    <t>NLTX</t>
  </si>
  <si>
    <t>NLY</t>
  </si>
  <si>
    <t>NMIH</t>
  </si>
  <si>
    <t>NMRK</t>
  </si>
  <si>
    <t>NNBR</t>
  </si>
  <si>
    <t>NNI</t>
  </si>
  <si>
    <t>NNN</t>
  </si>
  <si>
    <t>NNVC</t>
  </si>
  <si>
    <t>NOC</t>
  </si>
  <si>
    <t>NODK</t>
  </si>
  <si>
    <t>NOG</t>
  </si>
  <si>
    <t>NOV</t>
  </si>
  <si>
    <t>NOVT</t>
  </si>
  <si>
    <t>NOW</t>
  </si>
  <si>
    <t>NP</t>
  </si>
  <si>
    <t>NPK</t>
  </si>
  <si>
    <t>NPO</t>
  </si>
  <si>
    <t>NPTN</t>
  </si>
  <si>
    <t>NR</t>
  </si>
  <si>
    <t>NRC</t>
  </si>
  <si>
    <t>NRG</t>
  </si>
  <si>
    <t>NRIM</t>
  </si>
  <si>
    <t>NRZ</t>
  </si>
  <si>
    <t>NSA</t>
  </si>
  <si>
    <t>NSC</t>
  </si>
  <si>
    <t>NSEC</t>
  </si>
  <si>
    <t>NSIT</t>
  </si>
  <si>
    <t>NSP</t>
  </si>
  <si>
    <t>NSSC</t>
  </si>
  <si>
    <t>NSTG</t>
  </si>
  <si>
    <t>NTAP</t>
  </si>
  <si>
    <t>NTCT</t>
  </si>
  <si>
    <t>NTGR</t>
  </si>
  <si>
    <t>NTIC</t>
  </si>
  <si>
    <t>NTIP</t>
  </si>
  <si>
    <t>NTLA</t>
  </si>
  <si>
    <t>NTNX</t>
  </si>
  <si>
    <t>NTRA</t>
  </si>
  <si>
    <t>NTRS</t>
  </si>
  <si>
    <t>NTUS</t>
  </si>
  <si>
    <t>NTWK</t>
  </si>
  <si>
    <t>NUAN</t>
  </si>
  <si>
    <t>NUE</t>
  </si>
  <si>
    <t>NURO</t>
  </si>
  <si>
    <t>NUS</t>
  </si>
  <si>
    <t>NUVA</t>
  </si>
  <si>
    <t>NVAX</t>
  </si>
  <si>
    <t>NVDA</t>
  </si>
  <si>
    <t>NVEC</t>
  </si>
  <si>
    <t>NVEE</t>
  </si>
  <si>
    <t>NVFY</t>
  </si>
  <si>
    <t>NVIV</t>
  </si>
  <si>
    <t>NVR</t>
  </si>
  <si>
    <t>NVRO</t>
  </si>
  <si>
    <t>NVT</t>
  </si>
  <si>
    <t>NVTA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</si>
  <si>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</si>
  <si>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</si>
  <si>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</si>
  <si>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</si>
  <si>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</si>
  <si>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</si>
  <si>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</si>
  <si>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</si>
  <si>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</si>
  <si>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</si>
  <si>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NX</t>
  </si>
  <si>
    <t>NXGN</t>
  </si>
  <si>
    <t>NXRT</t>
  </si>
  <si>
    <t>NXST</t>
  </si>
  <si>
    <t>NXTD</t>
  </si>
  <si>
    <t>NYCB</t>
  </si>
  <si>
    <t>NYMT</t>
  </si>
  <si>
    <t>NYT</t>
  </si>
  <si>
    <t>O</t>
  </si>
  <si>
    <t>OAS</t>
  </si>
  <si>
    <t>OBCI</t>
  </si>
  <si>
    <t>OBNK</t>
  </si>
  <si>
    <t>OC</t>
  </si>
  <si>
    <t>OCC</t>
  </si>
  <si>
    <t>OCFC</t>
  </si>
  <si>
    <t>OCN</t>
  </si>
  <si>
    <t>OCUL</t>
  </si>
  <si>
    <t>OCX</t>
  </si>
  <si>
    <t>ODC</t>
  </si>
  <si>
    <t>ODFL</t>
  </si>
  <si>
    <t>ODP</t>
  </si>
  <si>
    <t>ODT</t>
  </si>
  <si>
    <t>OESX</t>
  </si>
  <si>
    <t>OFC</t>
  </si>
  <si>
    <t>OFED</t>
  </si>
  <si>
    <t>OFG</t>
  </si>
  <si>
    <t>OFIX</t>
  </si>
  <si>
    <t>OFLX</t>
  </si>
  <si>
    <t>OGE</t>
  </si>
  <si>
    <t>OGEN</t>
  </si>
  <si>
    <t>OGS</t>
  </si>
  <si>
    <t>OHI</t>
  </si>
  <si>
    <t>OI</t>
  </si>
  <si>
    <t>OII</t>
  </si>
  <si>
    <t>OIS</t>
  </si>
  <si>
    <t>OKE</t>
  </si>
  <si>
    <t>OKTA</t>
  </si>
  <si>
    <t>OLED</t>
  </si>
  <si>
    <t>OLLI</t>
  </si>
  <si>
    <t>OLN</t>
  </si>
  <si>
    <t>OLP</t>
  </si>
  <si>
    <t>OMC</t>
  </si>
  <si>
    <t>OMCL</t>
  </si>
  <si>
    <t>OMER</t>
  </si>
  <si>
    <t>OMEX</t>
  </si>
  <si>
    <t>OMF</t>
  </si>
  <si>
    <t>OMI</t>
  </si>
  <si>
    <t>ON</t>
  </si>
  <si>
    <t>ONB</t>
  </si>
  <si>
    <t>ONCS</t>
  </si>
  <si>
    <t>ONCT</t>
  </si>
  <si>
    <t>ONTX</t>
  </si>
  <si>
    <t>ONVO</t>
  </si>
  <si>
    <t>OOMA</t>
  </si>
  <si>
    <t>OPGN</t>
  </si>
  <si>
    <t>OPI</t>
  </si>
  <si>
    <t>OPK</t>
  </si>
  <si>
    <t>OPOF</t>
  </si>
  <si>
    <t>OPRX</t>
  </si>
  <si>
    <t>OPTN</t>
  </si>
  <si>
    <t>OPTT</t>
  </si>
  <si>
    <t>OPY</t>
  </si>
  <si>
    <t>ORA</t>
  </si>
  <si>
    <t>ORBC</t>
  </si>
  <si>
    <t>ORC</t>
  </si>
  <si>
    <t>ORCL</t>
  </si>
  <si>
    <t>ORGO</t>
  </si>
  <si>
    <t>ORI</t>
  </si>
  <si>
    <t>ORLY</t>
  </si>
  <si>
    <t>ORN</t>
  </si>
  <si>
    <t>ORRF</t>
  </si>
  <si>
    <t>OSBC</t>
  </si>
  <si>
    <t>OSG</t>
  </si>
  <si>
    <t>OSIS</t>
  </si>
  <si>
    <t>OSK</t>
  </si>
  <si>
    <t>OSPN</t>
  </si>
  <si>
    <t>OSTK</t>
  </si>
  <si>
    <t>OSUR</t>
  </si>
  <si>
    <t>OSW</t>
  </si>
  <si>
    <t>OTEL</t>
  </si>
  <si>
    <t>OTIC</t>
  </si>
  <si>
    <t>OTTR</t>
  </si>
  <si>
    <t>OUT</t>
  </si>
  <si>
    <t>OVBC</t>
  </si>
  <si>
    <t>OVLY</t>
  </si>
  <si>
    <t>OXM</t>
  </si>
  <si>
    <t>OXY</t>
  </si>
  <si>
    <t>OZK</t>
  </si>
  <si>
    <t>PACB</t>
  </si>
  <si>
    <t>PACW</t>
  </si>
  <si>
    <t>PAG</t>
  </si>
  <si>
    <t>PAHC</t>
  </si>
  <si>
    <t>PANL</t>
  </si>
  <si>
    <t>PANW</t>
  </si>
  <si>
    <t>PAR</t>
  </si>
  <si>
    <t>PARR</t>
  </si>
  <si>
    <t>PATI</t>
  </si>
  <si>
    <t>PATK</t>
  </si>
  <si>
    <t>PAYC</t>
  </si>
  <si>
    <t>PAYS</t>
  </si>
  <si>
    <t>PAYX</t>
  </si>
  <si>
    <t>PB</t>
  </si>
  <si>
    <t>PBCT</t>
  </si>
  <si>
    <t>PBF</t>
  </si>
  <si>
    <t>PBH</t>
  </si>
  <si>
    <t>PBHC</t>
  </si>
  <si>
    <t>PBI</t>
  </si>
  <si>
    <t>PBIP</t>
  </si>
  <si>
    <t>PBPB</t>
  </si>
  <si>
    <t>PBYI</t>
  </si>
  <si>
    <t>PCAR</t>
  </si>
  <si>
    <t>PCH</t>
  </si>
  <si>
    <t>PCRX</t>
  </si>
  <si>
    <t>PCSB</t>
  </si>
  <si>
    <t>PCTI</t>
  </si>
  <si>
    <t>PCTY</t>
  </si>
  <si>
    <t>PCYG</t>
  </si>
  <si>
    <t>PCYO</t>
  </si>
  <si>
    <t>PD</t>
  </si>
  <si>
    <t>PDCE</t>
  </si>
  <si>
    <t>PDCO</t>
  </si>
  <si>
    <t>PDEX</t>
  </si>
  <si>
    <t>PDFS</t>
  </si>
  <si>
    <t>PDLB</t>
  </si>
  <si>
    <t>PDLI</t>
  </si>
  <si>
    <t>PDM</t>
  </si>
  <si>
    <t>PDSB</t>
  </si>
  <si>
    <t>PE</t>
  </si>
  <si>
    <t>PEB</t>
  </si>
  <si>
    <t>PEBK</t>
  </si>
  <si>
    <t>PEBO</t>
  </si>
  <si>
    <t>PED</t>
  </si>
  <si>
    <t>PEG</t>
  </si>
  <si>
    <t>PEGA</t>
  </si>
  <si>
    <t>PEI</t>
  </si>
  <si>
    <t>PEN</t>
  </si>
  <si>
    <t>PENN</t>
  </si>
  <si>
    <t>PEP</t>
  </si>
  <si>
    <t>PESI</t>
  </si>
  <si>
    <t>PETQ</t>
  </si>
  <si>
    <t>PETS</t>
  </si>
  <si>
    <t>PFBC</t>
  </si>
  <si>
    <t>PFBI</t>
  </si>
  <si>
    <t>PFE</t>
  </si>
  <si>
    <t>PFG</t>
  </si>
  <si>
    <t>PFGC</t>
  </si>
  <si>
    <t>PFIE</t>
  </si>
  <si>
    <t>PFIN</t>
  </si>
  <si>
    <t>PFIS</t>
  </si>
  <si>
    <t>PFMT</t>
  </si>
  <si>
    <t>PFPT</t>
  </si>
  <si>
    <t>PFS</t>
  </si>
  <si>
    <t>PFSW</t>
  </si>
  <si>
    <t>PG</t>
  </si>
  <si>
    <t>PGC</t>
  </si>
  <si>
    <t>PGR</t>
  </si>
  <si>
    <t>PGRE</t>
  </si>
  <si>
    <t>PGTI</t>
  </si>
  <si>
    <t>PH</t>
  </si>
  <si>
    <t>PHAS</t>
  </si>
  <si>
    <t>PHIO</t>
  </si>
  <si>
    <t>PHM</t>
  </si>
  <si>
    <t>PHX</t>
  </si>
  <si>
    <t>PI</t>
  </si>
  <si>
    <t>PII</t>
  </si>
  <si>
    <t>PINC</t>
  </si>
  <si>
    <t>PINS</t>
  </si>
  <si>
    <t>PJT</t>
  </si>
  <si>
    <t>PK</t>
  </si>
  <si>
    <t>PKBK</t>
  </si>
  <si>
    <t>PKE</t>
  </si>
  <si>
    <t>PKG</t>
  </si>
  <si>
    <t>PKI</t>
  </si>
  <si>
    <t>PKOH</t>
  </si>
  <si>
    <t>PLAB</t>
  </si>
  <si>
    <t>PLAN</t>
  </si>
  <si>
    <t>PLAY</t>
  </si>
  <si>
    <t>PLBC</t>
  </si>
  <si>
    <t>PLCE</t>
  </si>
  <si>
    <t>PLD</t>
  </si>
  <si>
    <t>PLNT</t>
  </si>
  <si>
    <t>PLOW</t>
  </si>
  <si>
    <t>PLPC</t>
  </si>
  <si>
    <t>PLSE</t>
  </si>
  <si>
    <t>PLUG</t>
  </si>
  <si>
    <t>PLUS</t>
  </si>
  <si>
    <t>PLXP</t>
  </si>
  <si>
    <t>PLXS</t>
  </si>
  <si>
    <t>PLYA</t>
  </si>
  <si>
    <t>PLYM</t>
  </si>
  <si>
    <t>PM</t>
  </si>
  <si>
    <t>PMBC</t>
  </si>
  <si>
    <t>PMD</t>
  </si>
  <si>
    <t>PMT</t>
  </si>
  <si>
    <t>PMTS</t>
  </si>
  <si>
    <t>PNBK</t>
  </si>
  <si>
    <t>PNC</t>
  </si>
  <si>
    <t>PNFP</t>
  </si>
  <si>
    <t>PNM</t>
  </si>
  <si>
    <t>PNR</t>
  </si>
  <si>
    <t>PNRG</t>
  </si>
  <si>
    <t>PNW</t>
  </si>
  <si>
    <t>POAI</t>
  </si>
  <si>
    <t>PODD</t>
  </si>
  <si>
    <t>POOL</t>
  </si>
  <si>
    <t>POR</t>
  </si>
  <si>
    <t>POST</t>
  </si>
  <si>
    <t>POWI</t>
  </si>
  <si>
    <t>POWL</t>
  </si>
  <si>
    <t>PPBI</t>
  </si>
  <si>
    <t>PPC</t>
  </si>
  <si>
    <t>PPG</t>
  </si>
  <si>
    <t>PPIH</t>
  </si>
  <si>
    <t>PPL</t>
  </si>
  <si>
    <t>PPSI</t>
  </si>
  <si>
    <t>PRA</t>
  </si>
  <si>
    <t>PRAA</t>
  </si>
  <si>
    <t>PRAH</t>
  </si>
  <si>
    <t>PRCP</t>
  </si>
  <si>
    <t>PRFT</t>
  </si>
  <si>
    <t>PRGO</t>
  </si>
  <si>
    <t>PRGS</t>
  </si>
  <si>
    <t>PRGX</t>
  </si>
  <si>
    <t>PRI</t>
  </si>
  <si>
    <t>PRIM</t>
  </si>
  <si>
    <t>PRK</t>
  </si>
  <si>
    <t>PRLB</t>
  </si>
  <si>
    <t>PRMW</t>
  </si>
  <si>
    <t>PRO</t>
  </si>
  <si>
    <t>PROV</t>
  </si>
  <si>
    <t>PRPH</t>
  </si>
  <si>
    <t>PRSC</t>
  </si>
  <si>
    <t>PRSP</t>
  </si>
  <si>
    <t>PRTA</t>
  </si>
  <si>
    <t>PRTK</t>
  </si>
  <si>
    <t>PRTS</t>
  </si>
  <si>
    <t>PRTY</t>
  </si>
  <si>
    <t>PRU</t>
  </si>
  <si>
    <t>PRVB</t>
  </si>
  <si>
    <t>PS</t>
  </si>
  <si>
    <t>PSA</t>
  </si>
  <si>
    <t>PSB</t>
  </si>
  <si>
    <t>PSMT</t>
  </si>
  <si>
    <t>PSN</t>
  </si>
  <si>
    <t>PSTG</t>
  </si>
  <si>
    <t>PSTV</t>
  </si>
  <si>
    <t>PSX</t>
  </si>
  <si>
    <t>PTC</t>
  </si>
  <si>
    <t>PTCT</t>
  </si>
  <si>
    <t>PTE</t>
  </si>
  <si>
    <t>PTEN</t>
  </si>
  <si>
    <t>PTGX</t>
  </si>
  <si>
    <t>PTI</t>
  </si>
  <si>
    <t>PTN</t>
  </si>
  <si>
    <t>PTSI</t>
  </si>
  <si>
    <t>PTVCA</t>
  </si>
  <si>
    <t>PTVCB</t>
  </si>
  <si>
    <t>PULM</t>
  </si>
  <si>
    <t>PUMP</t>
  </si>
  <si>
    <t>PVAC</t>
  </si>
  <si>
    <t>PVBC</t>
  </si>
  <si>
    <t>PVH</t>
  </si>
  <si>
    <t>PW</t>
  </si>
  <si>
    <t>PWOD</t>
  </si>
  <si>
    <t>PWR</t>
  </si>
  <si>
    <t>PXD</t>
  </si>
  <si>
    <t>PXLW</t>
  </si>
  <si>
    <t>PYPL</t>
  </si>
  <si>
    <t>PZG</t>
  </si>
  <si>
    <t>PZN</t>
  </si>
  <si>
    <t>PZZA</t>
  </si>
  <si>
    <t>QADA</t>
  </si>
  <si>
    <t>QADB</t>
  </si>
  <si>
    <t>QCOM</t>
  </si>
  <si>
    <t>QCRH</t>
  </si>
  <si>
    <t>QDEL</t>
  </si>
  <si>
    <t>QEP</t>
  </si>
  <si>
    <t>QLYS</t>
  </si>
  <si>
    <t>QNST</t>
  </si>
  <si>
    <t>QRHC</t>
  </si>
  <si>
    <t>QRTEA</t>
  </si>
  <si>
    <t>QRVO</t>
  </si>
  <si>
    <t>QTRX</t>
  </si>
  <si>
    <t>QTS</t>
  </si>
  <si>
    <t>QTWO</t>
  </si>
  <si>
    <t>QUAD</t>
  </si>
  <si>
    <t>QUIK</t>
  </si>
  <si>
    <t>QUMU</t>
  </si>
  <si>
    <t>QUOT</t>
  </si>
  <si>
    <t>R</t>
  </si>
  <si>
    <t>RAD</t>
  </si>
  <si>
    <t>RAIL</t>
  </si>
  <si>
    <t>RAMP</t>
  </si>
  <si>
    <t>RARE</t>
  </si>
  <si>
    <t>RAVE</t>
  </si>
  <si>
    <t>RAVN</t>
  </si>
  <si>
    <t>RBB</t>
  </si>
  <si>
    <t>RBBN</t>
  </si>
  <si>
    <t>RBC</t>
  </si>
  <si>
    <t>RBCAA</t>
  </si>
  <si>
    <t>RBCN</t>
  </si>
  <si>
    <t>RBNC</t>
  </si>
  <si>
    <t>RC</t>
  </si>
  <si>
    <t>RCII</t>
  </si>
  <si>
    <t>RCKT</t>
  </si>
  <si>
    <t>RCKY</t>
  </si>
  <si>
    <t>RCL</t>
  </si>
  <si>
    <t>RCM</t>
  </si>
  <si>
    <t>RCMT</t>
  </si>
  <si>
    <t>RCUS</t>
  </si>
  <si>
    <t>RDFN</t>
  </si>
  <si>
    <t>RDI</t>
  </si>
  <si>
    <t>RDN</t>
  </si>
  <si>
    <t>RDNT</t>
  </si>
  <si>
    <t>RDUS</t>
  </si>
  <si>
    <t>RDVT</t>
  </si>
  <si>
    <t>RE</t>
  </si>
  <si>
    <t>REED</t>
  </si>
  <si>
    <t>REFR</t>
  </si>
  <si>
    <t>REG</t>
  </si>
  <si>
    <t>REGI</t>
  </si>
  <si>
    <t>REGN</t>
  </si>
  <si>
    <t>REI</t>
  </si>
  <si>
    <t>RELL</t>
  </si>
  <si>
    <t>RELV</t>
  </si>
  <si>
    <t>REPL</t>
  </si>
  <si>
    <t>RES</t>
  </si>
  <si>
    <t>RESI</t>
  </si>
  <si>
    <t>RESN</t>
  </si>
  <si>
    <t>RETA</t>
  </si>
  <si>
    <t>REV</t>
  </si>
  <si>
    <t>REVG</t>
  </si>
  <si>
    <t>REX</t>
  </si>
  <si>
    <t>REXR</t>
  </si>
  <si>
    <t>REZI</t>
  </si>
  <si>
    <t>RF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</si>
  <si>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</si>
  <si>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</si>
  <si>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</si>
  <si>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</si>
  <si>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</si>
  <si>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</si>
  <si>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</si>
  <si>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</si>
  <si>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</si>
  <si>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</si>
  <si>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</si>
  <si>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RH</t>
  </si>
  <si>
    <t>RHE</t>
  </si>
  <si>
    <t>RHI</t>
  </si>
  <si>
    <t>RHP</t>
  </si>
  <si>
    <t>RIBT</t>
  </si>
  <si>
    <t>RICK</t>
  </si>
  <si>
    <t>RIG</t>
  </si>
  <si>
    <t>RIGL</t>
  </si>
  <si>
    <t>RILY</t>
  </si>
  <si>
    <t>RIOT</t>
  </si>
  <si>
    <t>RJF</t>
  </si>
  <si>
    <t>RKDA</t>
  </si>
  <si>
    <t>RL</t>
  </si>
  <si>
    <t>RLGT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</si>
  <si>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</si>
  <si>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</si>
  <si>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</si>
  <si>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</si>
  <si>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</si>
  <si>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</si>
  <si>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</si>
  <si>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</si>
  <si>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</si>
  <si>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RMR</t>
  </si>
  <si>
    <t>RMTI</t>
  </si>
  <si>
    <t>RNDB</t>
  </si>
  <si>
    <t>RNET</t>
  </si>
  <si>
    <t>RNG</t>
  </si>
  <si>
    <t>RNR</t>
  </si>
  <si>
    <t>RNST</t>
  </si>
  <si>
    <t>RNWK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</si>
  <si>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</si>
  <si>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</si>
  <si>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</si>
  <si>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</si>
  <si>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</si>
  <si>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</si>
  <si>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</si>
  <si>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</si>
  <si>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</si>
  <si>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ROST</t>
  </si>
  <si>
    <t>RP</t>
  </si>
  <si>
    <t>RPAI</t>
  </si>
  <si>
    <t>RPD</t>
  </si>
  <si>
    <t>RPM</t>
  </si>
  <si>
    <t>RPT</t>
  </si>
  <si>
    <t>RRC</t>
  </si>
  <si>
    <t>RRD</t>
  </si>
  <si>
    <t>RRGB</t>
  </si>
  <si>
    <t>RRR</t>
  </si>
  <si>
    <t>RRTS</t>
  </si>
  <si>
    <t>RS</t>
  </si>
  <si>
    <t>RSG</t>
  </si>
  <si>
    <t>RUBY</t>
  </si>
  <si>
    <t>RUN</t>
  </si>
  <si>
    <t>RUSHA</t>
  </si>
  <si>
    <t>RUSHB</t>
  </si>
  <si>
    <t>RUTH</t>
  </si>
  <si>
    <t>RVI</t>
  </si>
  <si>
    <t>RVNC</t>
  </si>
  <si>
    <t>RVP</t>
  </si>
  <si>
    <t>RVSB</t>
  </si>
  <si>
    <t>RWT</t>
  </si>
  <si>
    <t>RYAM</t>
  </si>
  <si>
    <t>RYI</t>
  </si>
  <si>
    <t>RYN</t>
  </si>
  <si>
    <t>RYTM</t>
  </si>
  <si>
    <t>S</t>
  </si>
  <si>
    <t>SABR</t>
  </si>
  <si>
    <t>SACH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</si>
  <si>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</si>
  <si>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</si>
  <si>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</si>
  <si>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</si>
  <si>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</si>
  <si>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</si>
  <si>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</si>
  <si>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</si>
  <si>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</si>
  <si>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</si>
  <si>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SAM</t>
  </si>
  <si>
    <t>SAMG</t>
  </si>
  <si>
    <t>SANM</t>
  </si>
  <si>
    <t>SANW</t>
  </si>
  <si>
    <t>SASR</t>
  </si>
  <si>
    <t>SATS</t>
  </si>
  <si>
    <t>SAVA</t>
  </si>
  <si>
    <t>SAVE</t>
  </si>
  <si>
    <t>SBAC</t>
  </si>
  <si>
    <t>SBCF</t>
  </si>
  <si>
    <t>SBFG</t>
  </si>
  <si>
    <t>SBGI</t>
  </si>
  <si>
    <t>SBH</t>
  </si>
  <si>
    <t>SBNY</t>
  </si>
  <si>
    <t>SBOW</t>
  </si>
  <si>
    <t>SBRA</t>
  </si>
  <si>
    <t>SBSI</t>
  </si>
  <si>
    <t>SBT</t>
  </si>
  <si>
    <t>SBUX</t>
  </si>
  <si>
    <t>SC</t>
  </si>
  <si>
    <t>SCHL</t>
  </si>
  <si>
    <t>SCHN</t>
  </si>
  <si>
    <t>SCHW</t>
  </si>
  <si>
    <t>SCI</t>
  </si>
  <si>
    <t>SCL</t>
  </si>
  <si>
    <t>SCON</t>
  </si>
  <si>
    <t>SCOR</t>
  </si>
  <si>
    <t>SCPL</t>
  </si>
  <si>
    <t>SCS</t>
  </si>
  <si>
    <t>SCSC</t>
  </si>
  <si>
    <t>SCVL</t>
  </si>
  <si>
    <t>SCWX</t>
  </si>
  <si>
    <t>SCX</t>
  </si>
  <si>
    <t>SCYX</t>
  </si>
  <si>
    <t>SD</t>
  </si>
  <si>
    <t>SDPI</t>
  </si>
  <si>
    <t>SEAC</t>
  </si>
  <si>
    <t>SEAS</t>
  </si>
  <si>
    <t>SEB</t>
  </si>
  <si>
    <t>SEDG</t>
  </si>
  <si>
    <t>SEE</t>
  </si>
  <si>
    <t>SEEL</t>
  </si>
  <si>
    <t>SEIC</t>
  </si>
  <si>
    <t>SELB</t>
  </si>
  <si>
    <t>SELF</t>
  </si>
  <si>
    <t>SEM</t>
  </si>
  <si>
    <t>SENEA</t>
  </si>
  <si>
    <t>SENEB</t>
  </si>
  <si>
    <t>SENS</t>
  </si>
  <si>
    <t>SES</t>
  </si>
  <si>
    <t>SESN</t>
  </si>
  <si>
    <t>SF</t>
  </si>
  <si>
    <t>SFBC</t>
  </si>
  <si>
    <t>SFBS</t>
  </si>
  <si>
    <t>SFE</t>
  </si>
  <si>
    <t>SFIX</t>
  </si>
  <si>
    <t>SFM</t>
  </si>
  <si>
    <t>SFNC</t>
  </si>
  <si>
    <t>SFST</t>
  </si>
  <si>
    <t>SGA</t>
  </si>
  <si>
    <t>SGC</t>
  </si>
  <si>
    <t>SGEN</t>
  </si>
  <si>
    <t>SGH</t>
  </si>
  <si>
    <t>SGMA</t>
  </si>
  <si>
    <t>SGMO</t>
  </si>
  <si>
    <t>SGMS</t>
  </si>
  <si>
    <t>SGRP</t>
  </si>
  <si>
    <t>SGRY</t>
  </si>
  <si>
    <t>SHAK</t>
  </si>
  <si>
    <t>SHBI</t>
  </si>
  <si>
    <t>SHEN</t>
  </si>
  <si>
    <t>SHO</t>
  </si>
  <si>
    <t>SHOO</t>
  </si>
  <si>
    <t>SHSP</t>
  </si>
  <si>
    <t>SHW</t>
  </si>
  <si>
    <t>SIBN</t>
  </si>
  <si>
    <t>SIEB</t>
  </si>
  <si>
    <t>SIEN</t>
  </si>
  <si>
    <t>SIF</t>
  </si>
  <si>
    <t>SIG</t>
  </si>
  <si>
    <t>SIGA</t>
  </si>
  <si>
    <t>SIGI</t>
  </si>
  <si>
    <t>SILK</t>
  </si>
  <si>
    <t>SINT</t>
  </si>
  <si>
    <t>SIRI</t>
  </si>
  <si>
    <t>SITC</t>
  </si>
  <si>
    <t>SITE</t>
  </si>
  <si>
    <t>SIVB</t>
  </si>
  <si>
    <t>SIX</t>
  </si>
  <si>
    <t>SJI</t>
  </si>
  <si>
    <t>SJM</t>
  </si>
  <si>
    <t>SJW</t>
  </si>
  <si>
    <t>SKT</t>
  </si>
  <si>
    <t>SKX</t>
  </si>
  <si>
    <t>SKY</t>
  </si>
  <si>
    <t>SKYW</t>
  </si>
  <si>
    <t>SLAB</t>
  </si>
  <si>
    <t>SLB</t>
  </si>
  <si>
    <t>SLCA</t>
  </si>
  <si>
    <t>SLCT</t>
  </si>
  <si>
    <t>SLDB</t>
  </si>
  <si>
    <t>SLG</t>
  </si>
  <si>
    <t>SLGN</t>
  </si>
  <si>
    <t>SLM</t>
  </si>
  <si>
    <t>SLNG</t>
  </si>
  <si>
    <t>SLNO</t>
  </si>
  <si>
    <t>SLP</t>
  </si>
  <si>
    <t>SLRX</t>
  </si>
  <si>
    <t>SLS</t>
  </si>
  <si>
    <t>SM</t>
  </si>
  <si>
    <t>SMAR</t>
  </si>
  <si>
    <t>SMBC</t>
  </si>
  <si>
    <t>SMBK</t>
  </si>
  <si>
    <t>SMED</t>
  </si>
  <si>
    <t>SMG</t>
  </si>
  <si>
    <t>SMHI</t>
  </si>
  <si>
    <t>SMIT</t>
  </si>
  <si>
    <t>SMMF</t>
  </si>
  <si>
    <t>SMP</t>
  </si>
  <si>
    <t>SMPL</t>
  </si>
  <si>
    <t>SMRT</t>
  </si>
  <si>
    <t>SMSI</t>
  </si>
  <si>
    <t>SMTC</t>
  </si>
  <si>
    <t>SNA</t>
  </si>
  <si>
    <t>SNAP</t>
  </si>
  <si>
    <t>SNBR</t>
  </si>
  <si>
    <t>SNCR</t>
  </si>
  <si>
    <t>SND</t>
  </si>
  <si>
    <t>SNDR</t>
  </si>
  <si>
    <t>SNDX</t>
  </si>
  <si>
    <t>SNFCA</t>
  </si>
  <si>
    <t>SNOA</t>
  </si>
  <si>
    <t>SNPS</t>
  </si>
  <si>
    <t>SNR</t>
  </si>
  <si>
    <t>SNV</t>
  </si>
  <si>
    <t>SNX</t>
  </si>
  <si>
    <t>SO</t>
  </si>
  <si>
    <t>SOHO</t>
  </si>
  <si>
    <t>SOI</t>
  </si>
  <si>
    <t>SOLY</t>
  </si>
  <si>
    <t>SON</t>
  </si>
  <si>
    <t>SONO</t>
  </si>
  <si>
    <t>SP</t>
  </si>
  <si>
    <t>SPB</t>
  </si>
  <si>
    <t>SPG</t>
  </si>
  <si>
    <t>SPGI</t>
  </si>
  <si>
    <t>SPLK</t>
  </si>
  <si>
    <t>SPNE</t>
  </si>
  <si>
    <t>SPOK</t>
  </si>
  <si>
    <t>SPPI</t>
  </si>
  <si>
    <t>SPR</t>
  </si>
  <si>
    <t>SPRO</t>
  </si>
  <si>
    <t>SPRT</t>
  </si>
  <si>
    <t>SPSC</t>
  </si>
  <si>
    <t>SPTN</t>
  </si>
  <si>
    <t>SPWH</t>
  </si>
  <si>
    <t>SPWR</t>
  </si>
  <si>
    <t>SPXC</t>
  </si>
  <si>
    <t>SQ</t>
  </si>
  <si>
    <t>SQBG</t>
  </si>
  <si>
    <t>SR</t>
  </si>
  <si>
    <t>SRC</t>
  </si>
  <si>
    <t>SRCE</t>
  </si>
  <si>
    <t>SRCL</t>
  </si>
  <si>
    <t>SRDX</t>
  </si>
  <si>
    <t>SRE</t>
  </si>
  <si>
    <t>SREV</t>
  </si>
  <si>
    <t>SRG</t>
  </si>
  <si>
    <t>SRI</t>
  </si>
  <si>
    <t>SRNE</t>
  </si>
  <si>
    <t>SRPT</t>
  </si>
  <si>
    <t>SRRK</t>
  </si>
  <si>
    <t>SRT</t>
  </si>
  <si>
    <t>SRTS</t>
  </si>
  <si>
    <t>SSB</t>
  </si>
  <si>
    <t>SSBI</t>
  </si>
  <si>
    <t>SSD</t>
  </si>
  <si>
    <t>SSKN</t>
  </si>
  <si>
    <t>SSNC</t>
  </si>
  <si>
    <t>SSP</t>
  </si>
  <si>
    <t>SSTI</t>
  </si>
  <si>
    <t>SSTK</t>
  </si>
  <si>
    <t>ST</t>
  </si>
  <si>
    <t>STAA</t>
  </si>
  <si>
    <t>STAG</t>
  </si>
  <si>
    <t>STAR</t>
  </si>
  <si>
    <t>STAY</t>
  </si>
  <si>
    <t>STBA</t>
  </si>
  <si>
    <t>STC</t>
  </si>
  <si>
    <t>STCN</t>
  </si>
  <si>
    <t>STE</t>
  </si>
  <si>
    <t>STFC</t>
  </si>
  <si>
    <t>STIM</t>
  </si>
  <si>
    <t>STKS</t>
  </si>
  <si>
    <t>STL</t>
  </si>
  <si>
    <t>STLD</t>
  </si>
  <si>
    <t>STMP</t>
  </si>
  <si>
    <t>STND</t>
  </si>
  <si>
    <t>STOR</t>
  </si>
  <si>
    <t>STRA</t>
  </si>
  <si>
    <t>STRL</t>
  </si>
  <si>
    <t>STRM</t>
  </si>
  <si>
    <t>STRS</t>
  </si>
  <si>
    <t>STRT</t>
  </si>
  <si>
    <t>STT</t>
  </si>
  <si>
    <t>STWD</t>
  </si>
  <si>
    <t>STX</t>
  </si>
  <si>
    <t>STXB</t>
  </si>
  <si>
    <t>STZ</t>
  </si>
  <si>
    <t>SUI</t>
  </si>
  <si>
    <t>SUM</t>
  </si>
  <si>
    <t>SUMR</t>
  </si>
  <si>
    <t>SUNW</t>
  </si>
  <si>
    <t>SUP</t>
  </si>
  <si>
    <t>SUPN</t>
  </si>
  <si>
    <t>SVBI</t>
  </si>
  <si>
    <t>SVRA</t>
  </si>
  <si>
    <t>SVT</t>
  </si>
  <si>
    <t>SWAV</t>
  </si>
  <si>
    <t>SWCH</t>
  </si>
  <si>
    <t>SWK</t>
  </si>
  <si>
    <t>SWKS</t>
  </si>
  <si>
    <t>SWM</t>
  </si>
  <si>
    <t>SWN</t>
  </si>
  <si>
    <t>SWX</t>
  </si>
  <si>
    <t>SXC</t>
  </si>
  <si>
    <t>SXI</t>
  </si>
  <si>
    <t>SXT</t>
  </si>
  <si>
    <t>SYBT</t>
  </si>
  <si>
    <t>SYBX</t>
  </si>
  <si>
    <t>SYF</t>
  </si>
  <si>
    <t>SYK</t>
  </si>
  <si>
    <t>SYKE</t>
  </si>
  <si>
    <t>SYN</t>
  </si>
  <si>
    <t>SYNA</t>
  </si>
  <si>
    <t>SYNC</t>
  </si>
  <si>
    <t>SYNH</t>
  </si>
  <si>
    <t>SYNL</t>
  </si>
  <si>
    <t>SYPR</t>
  </si>
  <si>
    <t>SYRS</t>
  </si>
  <si>
    <t>SYY</t>
  </si>
  <si>
    <t>T</t>
  </si>
  <si>
    <t>TACO</t>
  </si>
  <si>
    <t>TACT</t>
  </si>
  <si>
    <t>TAIT</t>
  </si>
  <si>
    <t>TALO</t>
  </si>
  <si>
    <t>TAP</t>
  </si>
  <si>
    <t>TAST</t>
  </si>
  <si>
    <t>TAT</t>
  </si>
  <si>
    <t>TAYD</t>
  </si>
  <si>
    <t>TBBK</t>
  </si>
  <si>
    <t>TBI</t>
  </si>
  <si>
    <t>TBIO</t>
  </si>
  <si>
    <t>TBK</t>
  </si>
  <si>
    <t>TBNK</t>
  </si>
  <si>
    <t>TBPH</t>
  </si>
  <si>
    <t>TCBI</t>
  </si>
  <si>
    <t>TCBK</t>
  </si>
  <si>
    <t>TCDA</t>
  </si>
  <si>
    <t>TCF</t>
  </si>
  <si>
    <t>TCFC</t>
  </si>
  <si>
    <t>TCI</t>
  </si>
  <si>
    <t>TCMD</t>
  </si>
  <si>
    <t>TCO</t>
  </si>
  <si>
    <t>TCON</t>
  </si>
  <si>
    <t>TCS</t>
  </si>
  <si>
    <t>TDC</t>
  </si>
  <si>
    <t>TDG</t>
  </si>
  <si>
    <t>TDOC</t>
  </si>
  <si>
    <t>TDS</t>
  </si>
  <si>
    <t>TDW</t>
  </si>
  <si>
    <t>TDY</t>
  </si>
  <si>
    <t>TECD</t>
  </si>
  <si>
    <t>TECH</t>
  </si>
  <si>
    <t>TEL</t>
  </si>
  <si>
    <t>TELL</t>
  </si>
  <si>
    <t>TEN</t>
  </si>
  <si>
    <t>TENB</t>
  </si>
  <si>
    <t>TENX</t>
  </si>
  <si>
    <t>TER</t>
  </si>
  <si>
    <t>TESS</t>
  </si>
  <si>
    <t>TEUM</t>
  </si>
  <si>
    <t>TEX</t>
  </si>
  <si>
    <t>TFSL</t>
  </si>
  <si>
    <t>TFX</t>
  </si>
  <si>
    <t>TG</t>
  </si>
  <si>
    <t>TGEN</t>
  </si>
  <si>
    <t>TGI</t>
  </si>
  <si>
    <t>TGLS</t>
  </si>
  <si>
    <t>TGNA</t>
  </si>
  <si>
    <t>TGT</t>
  </si>
  <si>
    <t>TGTX</t>
  </si>
  <si>
    <t>TH</t>
  </si>
  <si>
    <t>THC</t>
  </si>
  <si>
    <t>THFF</t>
  </si>
  <si>
    <t>THG</t>
  </si>
  <si>
    <t>THO</t>
  </si>
  <si>
    <t>THR</t>
  </si>
  <si>
    <t>THRM</t>
  </si>
  <si>
    <t>THS</t>
  </si>
  <si>
    <t>TIF</t>
  </si>
  <si>
    <t>TILE</t>
  </si>
  <si>
    <t>TIPT</t>
  </si>
  <si>
    <t>TISI</t>
  </si>
  <si>
    <t>TITN</t>
  </si>
  <si>
    <t>TJX</t>
  </si>
  <si>
    <t>TKR</t>
  </si>
  <si>
    <t>TLF</t>
  </si>
  <si>
    <t>TLGT</t>
  </si>
  <si>
    <t>TLYS</t>
  </si>
  <si>
    <t>TMDX</t>
  </si>
  <si>
    <t>TMHC</t>
  </si>
  <si>
    <t>TMO</t>
  </si>
  <si>
    <t>TMP</t>
  </si>
  <si>
    <t>TMST</t>
  </si>
  <si>
    <t>TMUS</t>
  </si>
  <si>
    <t>TNAV</t>
  </si>
  <si>
    <t>TNC</t>
  </si>
  <si>
    <t>TNDM</t>
  </si>
  <si>
    <t>TNET</t>
  </si>
  <si>
    <t>TNXP</t>
  </si>
  <si>
    <t>TOL</t>
  </si>
  <si>
    <t>TOWN</t>
  </si>
  <si>
    <t>TPB</t>
  </si>
  <si>
    <t>TPC</t>
  </si>
  <si>
    <t>TPCO</t>
  </si>
  <si>
    <t>TPH</t>
  </si>
  <si>
    <t>TPHS</t>
  </si>
  <si>
    <t>TPIC</t>
  </si>
  <si>
    <t>TPR</t>
  </si>
  <si>
    <t>TPTX</t>
  </si>
  <si>
    <t>TPX</t>
  </si>
  <si>
    <t>TR</t>
  </si>
  <si>
    <t>TRC</t>
  </si>
  <si>
    <t>TRCH</t>
  </si>
  <si>
    <t>TREC</t>
  </si>
  <si>
    <t>TREE</t>
  </si>
  <si>
    <t>TREX</t>
  </si>
  <si>
    <t>TRGP</t>
  </si>
  <si>
    <t>TRHC</t>
  </si>
  <si>
    <t>TRIP</t>
  </si>
  <si>
    <t>TRMB</t>
  </si>
  <si>
    <t>TRMK</t>
  </si>
  <si>
    <t>TRN</t>
  </si>
  <si>
    <t>TRNO</t>
  </si>
  <si>
    <t>TRNS</t>
  </si>
  <si>
    <t>TROW</t>
  </si>
  <si>
    <t>TROX</t>
  </si>
  <si>
    <t>TRS</t>
  </si>
  <si>
    <t>TRST</t>
  </si>
  <si>
    <t>TRT</t>
  </si>
  <si>
    <t>TRTN</t>
  </si>
  <si>
    <t>TRTX</t>
  </si>
  <si>
    <t>TRU</t>
  </si>
  <si>
    <t>TRUP</t>
  </si>
  <si>
    <t>TRV</t>
  </si>
  <si>
    <t>TRVN</t>
  </si>
  <si>
    <t>TRXC</t>
  </si>
  <si>
    <t>TSBK</t>
  </si>
  <si>
    <t>TSC</t>
  </si>
  <si>
    <t>TSCO</t>
  </si>
  <si>
    <t>TSE</t>
  </si>
  <si>
    <t>TSLA</t>
  </si>
  <si>
    <t>TSN</t>
  </si>
  <si>
    <t>TSQ</t>
  </si>
  <si>
    <t>TTC</t>
  </si>
  <si>
    <t>TTD</t>
  </si>
  <si>
    <t>TTEC</t>
  </si>
  <si>
    <t>TTEK</t>
  </si>
  <si>
    <t>TTGT</t>
  </si>
  <si>
    <t>TTI</t>
  </si>
  <si>
    <t>TTMI</t>
  </si>
  <si>
    <t>TTNP</t>
  </si>
  <si>
    <t>TTOO</t>
  </si>
  <si>
    <t>TTS</t>
  </si>
  <si>
    <t>TTWO</t>
  </si>
  <si>
    <t>TUP</t>
  </si>
  <si>
    <t>TUSK</t>
  </si>
  <si>
    <t>TVTY</t>
  </si>
  <si>
    <t>TW</t>
  </si>
  <si>
    <t>TWI</t>
  </si>
  <si>
    <t>TWIN</t>
  </si>
  <si>
    <t>TWLO</t>
  </si>
  <si>
    <t>TWNK</t>
  </si>
  <si>
    <t>TWO</t>
  </si>
  <si>
    <t>TWOU</t>
  </si>
  <si>
    <t>TWST</t>
  </si>
  <si>
    <t>TWTR</t>
  </si>
  <si>
    <t>TXMD</t>
  </si>
  <si>
    <t>TXN</t>
  </si>
  <si>
    <t>TXRH</t>
  </si>
  <si>
    <t>TXT</t>
  </si>
  <si>
    <t>TYL</t>
  </si>
  <si>
    <t>TYME</t>
  </si>
  <si>
    <t>TZOO</t>
  </si>
  <si>
    <t>UA</t>
  </si>
  <si>
    <t>UAA</t>
  </si>
  <si>
    <t>UAL</t>
  </si>
  <si>
    <t>UAMY</t>
  </si>
  <si>
    <t>UBA</t>
  </si>
  <si>
    <t>UBCP</t>
  </si>
  <si>
    <t>UBER</t>
  </si>
  <si>
    <t>UBFO</t>
  </si>
  <si>
    <t>UBOH</t>
  </si>
  <si>
    <t>UBSI</t>
  </si>
  <si>
    <t>UCBI</t>
  </si>
  <si>
    <t>UCTT</t>
  </si>
  <si>
    <t>UDR</t>
  </si>
  <si>
    <t>UE</t>
  </si>
  <si>
    <t>UEC</t>
  </si>
  <si>
    <t>UEIC</t>
  </si>
  <si>
    <t>UFAB</t>
  </si>
  <si>
    <t>UFCS</t>
  </si>
  <si>
    <t>UFI</t>
  </si>
  <si>
    <t>UFPI</t>
  </si>
  <si>
    <t>UFPT</t>
  </si>
  <si>
    <t>UFS</t>
  </si>
  <si>
    <t>UG</t>
  </si>
  <si>
    <t>UGI</t>
  </si>
  <si>
    <t>UHAL</t>
  </si>
  <si>
    <t>UHS</t>
  </si>
  <si>
    <t>UHT</t>
  </si>
  <si>
    <t>UI</t>
  </si>
  <si>
    <t>UIHC</t>
  </si>
  <si>
    <t>UIS</t>
  </si>
  <si>
    <t>ULBI</t>
  </si>
  <si>
    <t>ULH</t>
  </si>
  <si>
    <t>ULTA</t>
  </si>
  <si>
    <t>UMBF</t>
  </si>
  <si>
    <t>UMH</t>
  </si>
  <si>
    <t>UMPQ</t>
  </si>
  <si>
    <t>UNAM</t>
  </si>
  <si>
    <t>UNB</t>
  </si>
  <si>
    <t>UNF</t>
  </si>
  <si>
    <t>UNFI</t>
  </si>
  <si>
    <t>UNH</t>
  </si>
  <si>
    <t>UNIT</t>
  </si>
  <si>
    <t>UNM</t>
  </si>
  <si>
    <t>UNP</t>
  </si>
  <si>
    <t>UNTY</t>
  </si>
  <si>
    <t>UNVR</t>
  </si>
  <si>
    <t>UONE</t>
  </si>
  <si>
    <t>UONEK</t>
  </si>
  <si>
    <t>UPLD</t>
  </si>
  <si>
    <t>UPS</t>
  </si>
  <si>
    <t>UPWK</t>
  </si>
  <si>
    <t>URBN</t>
  </si>
  <si>
    <t>URI</t>
  </si>
  <si>
    <t>UROV</t>
  </si>
  <si>
    <t>USAK</t>
  </si>
  <si>
    <t>USAP</t>
  </si>
  <si>
    <t>USAT</t>
  </si>
  <si>
    <t>USB</t>
  </si>
  <si>
    <t>USCR</t>
  </si>
  <si>
    <t>USD</t>
  </si>
  <si>
    <t>USEG</t>
  </si>
  <si>
    <t>USFD</t>
  </si>
  <si>
    <t>USIO</t>
  </si>
  <si>
    <t>USLM</t>
  </si>
  <si>
    <t>USM</t>
  </si>
  <si>
    <t>USNA</t>
  </si>
  <si>
    <t>USPH</t>
  </si>
  <si>
    <t>USWS</t>
  </si>
  <si>
    <t>USX</t>
  </si>
  <si>
    <t>UTHR</t>
  </si>
  <si>
    <t>UTI</t>
  </si>
  <si>
    <t>UTL</t>
  </si>
  <si>
    <t>UTMD</t>
  </si>
  <si>
    <t>UUU</t>
  </si>
  <si>
    <t>UVE</t>
  </si>
  <si>
    <t>UVSP</t>
  </si>
  <si>
    <t>UVV</t>
  </si>
  <si>
    <t>V</t>
  </si>
  <si>
    <t>VAC</t>
  </si>
  <si>
    <t>VAL</t>
  </si>
  <si>
    <t>VALU</t>
  </si>
  <si>
    <t>VAPO</t>
  </si>
  <si>
    <t>VAR</t>
  </si>
  <si>
    <t>VBFC</t>
  </si>
  <si>
    <t>VBIV</t>
  </si>
  <si>
    <t>VBTX</t>
  </si>
  <si>
    <t>VC</t>
  </si>
  <si>
    <t>VCEL</t>
  </si>
  <si>
    <t>VCRA</t>
  </si>
  <si>
    <t>VCTR</t>
  </si>
  <si>
    <t>VCYT</t>
  </si>
  <si>
    <t>VEC</t>
  </si>
  <si>
    <t>VECO</t>
  </si>
  <si>
    <t>VEEV</t>
  </si>
  <si>
    <t>VER</t>
  </si>
  <si>
    <t>VERI</t>
  </si>
  <si>
    <t>VERU</t>
  </si>
  <si>
    <t>VFC</t>
  </si>
  <si>
    <t>VG</t>
  </si>
  <si>
    <t>VGR</t>
  </si>
  <si>
    <t>VHC</t>
  </si>
  <si>
    <t>VIA</t>
  </si>
  <si>
    <t>VIAV</t>
  </si>
  <si>
    <t>VICI</t>
  </si>
  <si>
    <t>VICR</t>
  </si>
  <si>
    <t>VIRC</t>
  </si>
  <si>
    <t>VIRT</t>
  </si>
  <si>
    <t>VISL</t>
  </si>
  <si>
    <t>VIVO</t>
  </si>
  <si>
    <t>VKTX</t>
  </si>
  <si>
    <t>VLGEA</t>
  </si>
  <si>
    <t>VLO</t>
  </si>
  <si>
    <t>VLY</t>
  </si>
  <si>
    <t>VMC</t>
  </si>
  <si>
    <t>VMI</t>
  </si>
  <si>
    <t>VMW</t>
  </si>
  <si>
    <t>VNCE</t>
  </si>
  <si>
    <t>VNDA</t>
  </si>
  <si>
    <t>VNE</t>
  </si>
  <si>
    <t>VNO</t>
  </si>
  <si>
    <t>VNRX</t>
  </si>
  <si>
    <t>VNTR</t>
  </si>
  <si>
    <t>VOXX</t>
  </si>
  <si>
    <t>VOYA</t>
  </si>
  <si>
    <t>VPG</t>
  </si>
  <si>
    <t>VRA</t>
  </si>
  <si>
    <t>VRAY</t>
  </si>
  <si>
    <t>VREX</t>
  </si>
  <si>
    <t>VRNS</t>
  </si>
  <si>
    <t>VRNT</t>
  </si>
  <si>
    <t>VRRM</t>
  </si>
  <si>
    <t>VRS</t>
  </si>
  <si>
    <t>VRSK</t>
  </si>
  <si>
    <t>VRSN</t>
  </si>
  <si>
    <t>VRTS</t>
  </si>
  <si>
    <t>VRTU</t>
  </si>
  <si>
    <t>VRTV</t>
  </si>
  <si>
    <t>VRTX</t>
  </si>
  <si>
    <t>VSAT</t>
  </si>
  <si>
    <t>VSEC</t>
  </si>
  <si>
    <t>VSH</t>
  </si>
  <si>
    <t>VST</t>
  </si>
  <si>
    <t>VSTM</t>
  </si>
  <si>
    <t>VSTO</t>
  </si>
  <si>
    <t>VTNR</t>
  </si>
  <si>
    <t>VTR</t>
  </si>
  <si>
    <t>VTVT</t>
  </si>
  <si>
    <t>VUZI</t>
  </si>
  <si>
    <t>VVI</t>
  </si>
  <si>
    <t>VVV</t>
  </si>
  <si>
    <t>VXRT</t>
  </si>
  <si>
    <t>VYGR</t>
  </si>
  <si>
    <t>VZ</t>
  </si>
  <si>
    <t>W</t>
  </si>
  <si>
    <t>WAB</t>
  </si>
  <si>
    <t>WABC</t>
  </si>
  <si>
    <t>WAFD</t>
  </si>
  <si>
    <t>WAL</t>
  </si>
  <si>
    <t>WASH</t>
  </si>
  <si>
    <t>WAT</t>
  </si>
  <si>
    <t>WATT</t>
  </si>
  <si>
    <t>WBA</t>
  </si>
  <si>
    <t>WBS</t>
  </si>
  <si>
    <t>WBT</t>
  </si>
  <si>
    <t>WCC</t>
  </si>
  <si>
    <t>WD</t>
  </si>
  <si>
    <t>WDAY</t>
  </si>
  <si>
    <t>WDC</t>
  </si>
  <si>
    <t>WDFC</t>
  </si>
  <si>
    <t>WDR</t>
  </si>
  <si>
    <t>WEC</t>
  </si>
  <si>
    <t>WELL</t>
  </si>
  <si>
    <t>WEN</t>
  </si>
  <si>
    <t>WERN</t>
  </si>
  <si>
    <t>WETF</t>
  </si>
  <si>
    <t>WEX</t>
  </si>
  <si>
    <t>WEYS</t>
  </si>
  <si>
    <t>WFC</t>
  </si>
  <si>
    <t>WGO</t>
  </si>
  <si>
    <t>WH</t>
  </si>
  <si>
    <t>WHD</t>
  </si>
  <si>
    <t>WHG</t>
  </si>
  <si>
    <t>WHLM</t>
  </si>
  <si>
    <t>WHLR</t>
  </si>
  <si>
    <t>WHR</t>
  </si>
  <si>
    <t>WIFI</t>
  </si>
  <si>
    <t>WINA</t>
  </si>
  <si>
    <t>WING</t>
  </si>
  <si>
    <t>WIRE</t>
  </si>
  <si>
    <t>WK</t>
  </si>
  <si>
    <t>WKHS</t>
  </si>
  <si>
    <t>WLDN</t>
  </si>
  <si>
    <t>WLFC</t>
  </si>
  <si>
    <t>WLK</t>
  </si>
  <si>
    <t>WLL</t>
  </si>
  <si>
    <t>WM</t>
  </si>
  <si>
    <t>WMB</t>
  </si>
  <si>
    <t>WMC</t>
  </si>
  <si>
    <t>WMK</t>
  </si>
  <si>
    <t>WMS</t>
  </si>
  <si>
    <t>WMT</t>
  </si>
  <si>
    <t>WNC</t>
  </si>
  <si>
    <t>WNEB</t>
  </si>
  <si>
    <t>WOR</t>
  </si>
  <si>
    <t>WOW</t>
  </si>
  <si>
    <t>WPC</t>
  </si>
  <si>
    <t>WPG</t>
  </si>
  <si>
    <t>WPX</t>
  </si>
  <si>
    <t>WRB</t>
  </si>
  <si>
    <t>WRE</t>
  </si>
  <si>
    <t>WRI</t>
  </si>
  <si>
    <t>WRK</t>
  </si>
  <si>
    <t>WRLD</t>
  </si>
  <si>
    <t>WRTC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</si>
  <si>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</si>
  <si>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</si>
  <si>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</si>
  <si>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</si>
  <si>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</si>
  <si>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</si>
  <si>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</si>
  <si>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</si>
  <si>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</si>
  <si>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WSTL</t>
  </si>
  <si>
    <t>WTBA</t>
  </si>
  <si>
    <t>WTER</t>
  </si>
  <si>
    <t>WTFC</t>
  </si>
  <si>
    <t>WTI</t>
  </si>
  <si>
    <t>WTM</t>
  </si>
  <si>
    <t>WTRH</t>
  </si>
  <si>
    <t>WTS</t>
  </si>
  <si>
    <t>WTT</t>
  </si>
  <si>
    <t>WTTR</t>
  </si>
  <si>
    <t>WU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</si>
  <si>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</si>
  <si>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</si>
  <si>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</si>
  <si>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</si>
  <si>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</si>
  <si>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</si>
  <si>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</si>
  <si>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</si>
  <si>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</si>
  <si>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</si>
  <si>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</si>
  <si>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</si>
  <si>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XBIT</t>
  </si>
  <si>
    <t>XEC</t>
  </si>
  <si>
    <t>XEL</t>
  </si>
  <si>
    <t>XELA</t>
  </si>
  <si>
    <t>XELB</t>
  </si>
  <si>
    <t>XENT</t>
  </si>
  <si>
    <t>XERS</t>
  </si>
  <si>
    <t>XFOR</t>
  </si>
  <si>
    <t>XHR</t>
  </si>
  <si>
    <t>XLNX</t>
  </si>
  <si>
    <t>XLRN</t>
  </si>
  <si>
    <t>XNCR</t>
  </si>
  <si>
    <t>XOG</t>
  </si>
  <si>
    <t>XOM</t>
  </si>
  <si>
    <t>XOMA</t>
  </si>
  <si>
    <t>XONE</t>
  </si>
  <si>
    <t>XPER</t>
  </si>
  <si>
    <t>XPL</t>
  </si>
  <si>
    <t>XPO</t>
  </si>
  <si>
    <t>XRAY</t>
  </si>
  <si>
    <t>XRX</t>
  </si>
  <si>
    <t>XSPA</t>
  </si>
  <si>
    <t>XTNT</t>
  </si>
  <si>
    <t>XXII</t>
  </si>
  <si>
    <t>XYL</t>
  </si>
  <si>
    <t>Y</t>
  </si>
  <si>
    <t>YELP</t>
  </si>
  <si>
    <t>YETI</t>
  </si>
  <si>
    <t>YEXT</t>
  </si>
  <si>
    <t>YMAB</t>
  </si>
  <si>
    <t>YORW</t>
  </si>
  <si>
    <t>YTEN</t>
  </si>
  <si>
    <t>YUM</t>
  </si>
  <si>
    <t>Z</t>
  </si>
  <si>
    <t>ZAGG</t>
  </si>
  <si>
    <t>ZBH</t>
  </si>
  <si>
    <t>ZBRA</t>
  </si>
  <si>
    <t>ZDGE</t>
  </si>
  <si>
    <t>ZEN</t>
  </si>
  <si>
    <t>ZEUS</t>
  </si>
  <si>
    <t>ZG</t>
  </si>
  <si>
    <t>ZGNX</t>
  </si>
  <si>
    <t>ZION</t>
  </si>
  <si>
    <t>ZIOP</t>
  </si>
  <si>
    <t>ZIXI</t>
  </si>
  <si>
    <t>ZM</t>
  </si>
  <si>
    <t>ZNGA</t>
  </si>
  <si>
    <t>ZS</t>
  </si>
  <si>
    <t>ZSAN</t>
  </si>
  <si>
    <t>ZTS</t>
  </si>
  <si>
    <t>ZUMZ</t>
  </si>
  <si>
    <t>ZUO</t>
  </si>
  <si>
    <t>ZVO</t>
  </si>
  <si>
    <t>ZYNE</t>
  </si>
  <si>
    <t>ZYXI</t>
  </si>
  <si>
    <t>TRUE</t>
  </si>
  <si>
    <t>BRMK</t>
  </si>
  <si>
    <t>CRT</t>
  </si>
  <si>
    <t>DREUF</t>
  </si>
  <si>
    <t>GAIN</t>
  </si>
  <si>
    <t>GLAD</t>
  </si>
  <si>
    <t>HCAP</t>
  </si>
  <si>
    <t>HRZN</t>
  </si>
  <si>
    <t>MAIN</t>
  </si>
  <si>
    <t>OXSQ</t>
  </si>
  <si>
    <t>PBA</t>
  </si>
  <si>
    <t>PBT</t>
  </si>
  <si>
    <t>PFLT</t>
  </si>
  <si>
    <t>PRT</t>
  </si>
  <si>
    <t>PSEC</t>
  </si>
  <si>
    <t>SBR</t>
  </si>
  <si>
    <t>SUNS</t>
  </si>
  <si>
    <t>Healthcare</t>
  </si>
  <si>
    <t>Basic Materials</t>
  </si>
  <si>
    <t>N/A</t>
  </si>
  <si>
    <t>Industrials</t>
  </si>
  <si>
    <t>Financial Services</t>
  </si>
  <si>
    <t>Technology</t>
  </si>
  <si>
    <t>Consumer Cyclical</t>
  </si>
  <si>
    <t>Real Estate</t>
  </si>
  <si>
    <t>Consumer Defensive</t>
  </si>
  <si>
    <t>Energy</t>
  </si>
  <si>
    <t>Utilities</t>
  </si>
  <si>
    <t>Communication Services</t>
  </si>
  <si>
    <t>One Month Price Return</t>
  </si>
  <si>
    <t>Three Month Price Return</t>
  </si>
  <si>
    <t>Six Month Price Return</t>
  </si>
  <si>
    <t>Year-To-Date Price Return</t>
  </si>
  <si>
    <t>One Year Price Return</t>
  </si>
  <si>
    <t>Two Year Price Return</t>
  </si>
  <si>
    <t>Five Year Price Return</t>
  </si>
  <si>
    <t>Notes</t>
  </si>
  <si>
    <t>Data Provided by IEX Cloud</t>
  </si>
  <si>
    <t>Data updated on 2022-04-17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</si>
</sst>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</font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$#,##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#,##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$#,##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8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9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10.7109375" customWidth="1"/>
    <col min="5" max="5" width="18.7109375" customWidth="1"/>
    <col min="6" max="6" width="25.7109375" customWidth="1"/>
    <col min="7" max="7" width="34.7109375" customWidth="1"/>
    <col min="8" max="8" width="22.7109375" customWidth="1"/>
    <col min="9" max="9" width="22.7109375" customWidth="1"/>
    <col min="10" max="10" width="22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f>HYPERLINK("https://www.suredividend.com/sure-analysis-research-database/","Agilent Technologies Inc.")</f>
        <v>0</v>
      </c>
      <c r="C2" t="s">
        <v>3217</v>
      </c>
      <c r="D2">
        <v>126.44</v>
      </c>
      <c r="E2">
        <v>0.006377036203869001</v>
      </c>
      <c r="F2">
        <v>0.08247422680412364</v>
      </c>
      <c r="G2">
        <v>0.09730933214999515</v>
      </c>
      <c r="H2">
        <v>0.806312457617226</v>
      </c>
      <c r="I2">
        <v>37978.290948</v>
      </c>
      <c r="J2">
        <v>31.51725389908713</v>
      </c>
      <c r="K2">
        <v>0.2046478318825447</v>
      </c>
      <c r="L2">
        <v>1.067641381497291</v>
      </c>
      <c r="M2">
        <v>178.83</v>
      </c>
      <c r="N2">
        <v>122.87</v>
      </c>
    </row>
    <row r="3" spans="1:14">
      <c r="A3" s="1" t="s">
        <v>15</v>
      </c>
      <c r="B3">
        <f>HYPERLINK("https://www.suredividend.com/sure-analysis-research-database/","Alcoa Corp")</f>
        <v>0</v>
      </c>
      <c r="C3" t="s">
        <v>3218</v>
      </c>
      <c r="D3">
        <v>87.77</v>
      </c>
      <c r="E3">
        <v>0.002277427104125</v>
      </c>
      <c r="H3">
        <v>0.199889776929074</v>
      </c>
      <c r="I3">
        <v>16184.423579</v>
      </c>
      <c r="J3">
        <v>37.72592908848485</v>
      </c>
      <c r="K3">
        <v>0.08844680395091771</v>
      </c>
      <c r="L3">
        <v>1.156159274896994</v>
      </c>
      <c r="M3">
        <v>98.09</v>
      </c>
      <c r="N3">
        <v>30.89</v>
      </c>
    </row>
    <row r="4" spans="1:14">
      <c r="A4" s="1" t="s">
        <v>16</v>
      </c>
      <c r="B4">
        <f>HYPERLINK("https://www.suredividend.com/sure-analysis-research-database/","Ares Acquisition Corporation")</f>
        <v>0</v>
      </c>
      <c r="C4" t="s">
        <v>3219</v>
      </c>
      <c r="D4">
        <v>9.82</v>
      </c>
      <c r="E4">
        <v>0</v>
      </c>
      <c r="H4">
        <v>0</v>
      </c>
      <c r="I4">
        <v>982</v>
      </c>
      <c r="J4">
        <v>0</v>
      </c>
      <c r="K4" t="s">
        <v>3219</v>
      </c>
      <c r="L4">
        <v>-0.002425374309453</v>
      </c>
      <c r="M4">
        <v>10</v>
      </c>
      <c r="N4">
        <v>9.66</v>
      </c>
    </row>
    <row r="5" spans="1:14">
      <c r="A5" s="1" t="s">
        <v>17</v>
      </c>
      <c r="B5">
        <f>HYPERLINK("https://www.suredividend.com/sure-analysis-research-database/","American Airlines Group Inc")</f>
        <v>0</v>
      </c>
      <c r="C5" t="s">
        <v>3220</v>
      </c>
      <c r="D5">
        <v>19</v>
      </c>
      <c r="E5">
        <v>0</v>
      </c>
      <c r="H5">
        <v>0</v>
      </c>
      <c r="I5">
        <v>12334.042223</v>
      </c>
      <c r="J5" t="s">
        <v>3219</v>
      </c>
      <c r="K5">
        <v>-0</v>
      </c>
      <c r="L5">
        <v>1.687806324197321</v>
      </c>
      <c r="M5">
        <v>26.04</v>
      </c>
      <c r="N5">
        <v>12.44</v>
      </c>
    </row>
    <row r="6" spans="1:14">
      <c r="A6" s="1" t="s">
        <v>18</v>
      </c>
      <c r="B6">
        <f>HYPERLINK("https://www.suredividend.com/sure-analysis-research-database/","Atlantic American Corp.")</f>
        <v>0</v>
      </c>
      <c r="C6" t="s">
        <v>3221</v>
      </c>
      <c r="D6">
        <v>3.43</v>
      </c>
      <c r="E6">
        <v>0.005830903659756001</v>
      </c>
      <c r="H6">
        <v>0.019999999552965</v>
      </c>
      <c r="I6">
        <v>69.898516</v>
      </c>
      <c r="J6">
        <v>0</v>
      </c>
      <c r="K6" t="s">
        <v>3219</v>
      </c>
      <c r="M6">
        <v>5.67</v>
      </c>
      <c r="N6">
        <v>2.11</v>
      </c>
    </row>
    <row r="7" spans="1:14">
      <c r="A7" s="1" t="s">
        <v>19</v>
      </c>
      <c r="B7">
        <f>HYPERLINK("https://www.suredividend.com/sure-analysis-research-database/","Aarons Company Inc (The)")</f>
        <v>0</v>
      </c>
      <c r="C7" t="s">
        <v>3220</v>
      </c>
      <c r="D7">
        <v>21.38</v>
      </c>
      <c r="E7">
        <v>0.019164570451983</v>
      </c>
      <c r="H7">
        <v>0.40973851626341</v>
      </c>
      <c r="I7">
        <v>662.316567</v>
      </c>
      <c r="J7">
        <v>0</v>
      </c>
      <c r="K7" t="s">
        <v>3219</v>
      </c>
      <c r="L7">
        <v>1.248993839143176</v>
      </c>
      <c r="M7">
        <v>36.89</v>
      </c>
      <c r="N7">
        <v>18.16</v>
      </c>
    </row>
    <row r="8" spans="1:14">
      <c r="A8" s="1" t="s">
        <v>20</v>
      </c>
      <c r="B8">
        <f>HYPERLINK("https://www.suredividend.com/sure-analysis-research-database/","Applied Optoelectronics Inc")</f>
        <v>0</v>
      </c>
      <c r="C8" t="s">
        <v>3222</v>
      </c>
      <c r="D8">
        <v>3.03</v>
      </c>
      <c r="E8">
        <v>0</v>
      </c>
      <c r="H8">
        <v>0</v>
      </c>
      <c r="I8">
        <v>83.349846</v>
      </c>
      <c r="J8" t="s">
        <v>3219</v>
      </c>
      <c r="K8">
        <v>-0</v>
      </c>
      <c r="L8">
        <v>1.104975561630072</v>
      </c>
      <c r="M8">
        <v>9.25</v>
      </c>
      <c r="N8">
        <v>3</v>
      </c>
    </row>
    <row r="9" spans="1:14">
      <c r="A9" s="1" t="s">
        <v>21</v>
      </c>
      <c r="B9">
        <f>HYPERLINK("https://www.suredividend.com/sure-analysis-research-database/","AAON Inc.")</f>
        <v>0</v>
      </c>
      <c r="C9" t="s">
        <v>3220</v>
      </c>
      <c r="D9">
        <v>51.98</v>
      </c>
      <c r="E9">
        <v>0.007301644122459001</v>
      </c>
      <c r="H9">
        <v>0.379539461485445</v>
      </c>
      <c r="I9">
        <v>2732.614538</v>
      </c>
      <c r="J9">
        <v>46.50625511453759</v>
      </c>
      <c r="K9">
        <v>0.3482013408123349</v>
      </c>
      <c r="L9">
        <v>0.8727453024710681</v>
      </c>
      <c r="M9">
        <v>83.79000000000001</v>
      </c>
      <c r="N9">
        <v>51.18</v>
      </c>
    </row>
    <row r="10" spans="1:14">
      <c r="A10" s="1" t="s">
        <v>22</v>
      </c>
      <c r="B10">
        <f>HYPERLINK("https://www.suredividend.com/sure-analysis-AAP/","Advance Auto Parts Inc")</f>
        <v>0</v>
      </c>
      <c r="C10" t="s">
        <v>3223</v>
      </c>
      <c r="D10">
        <v>218.68</v>
      </c>
      <c r="E10">
        <v>0.02743735138101335</v>
      </c>
      <c r="F10">
        <v>5</v>
      </c>
      <c r="G10">
        <v>0.9036539387158786</v>
      </c>
      <c r="H10">
        <v>4.465218653322427</v>
      </c>
      <c r="I10">
        <v>13359.411151</v>
      </c>
      <c r="J10">
        <v>21.68355410291702</v>
      </c>
      <c r="K10">
        <v>0.467562162651563</v>
      </c>
      <c r="L10">
        <v>0.8642231655137521</v>
      </c>
      <c r="M10">
        <v>242.78</v>
      </c>
      <c r="N10">
        <v>183.2</v>
      </c>
    </row>
    <row r="11" spans="1:14">
      <c r="A11" s="1" t="s">
        <v>23</v>
      </c>
      <c r="B11">
        <f>HYPERLINK("https://www.suredividend.com/sure-analysis-AAPL/","Apple Inc")</f>
        <v>0</v>
      </c>
      <c r="C11" t="s">
        <v>3222</v>
      </c>
      <c r="D11">
        <v>165.29</v>
      </c>
      <c r="E11">
        <v>0.005323976042107811</v>
      </c>
      <c r="F11">
        <v>0.07317073170731692</v>
      </c>
      <c r="G11">
        <v>-0.1897548757831332</v>
      </c>
      <c r="H11">
        <v>0.8781914221688171</v>
      </c>
      <c r="I11">
        <v>2697440.40289</v>
      </c>
      <c r="J11">
        <v>26.8255223796927</v>
      </c>
      <c r="K11">
        <v>0.1458789737821955</v>
      </c>
      <c r="L11">
        <v>1.256088622405545</v>
      </c>
      <c r="M11">
        <v>182.71</v>
      </c>
      <c r="N11">
        <v>121.73</v>
      </c>
    </row>
    <row r="12" spans="1:14">
      <c r="A12" s="1" t="s">
        <v>24</v>
      </c>
      <c r="B12">
        <f>HYPERLINK("https://www.suredividend.com/sure-analysis-AAT/","American Assets Trust Inc")</f>
        <v>0</v>
      </c>
      <c r="C12" t="s">
        <v>3224</v>
      </c>
      <c r="D12">
        <v>36.09</v>
      </c>
      <c r="E12">
        <v>0.03546688833471875</v>
      </c>
      <c r="F12">
        <v>0.1428571428571428</v>
      </c>
      <c r="G12">
        <v>0.0424022162772979</v>
      </c>
      <c r="H12">
        <v>1.185589009126859</v>
      </c>
      <c r="I12">
        <v>2184.305061</v>
      </c>
      <c r="J12">
        <v>76.97720118374684</v>
      </c>
      <c r="K12">
        <v>3.182789286246602</v>
      </c>
      <c r="L12">
        <v>0.8353664065905261</v>
      </c>
      <c r="M12">
        <v>40.14</v>
      </c>
      <c r="N12">
        <v>32.19</v>
      </c>
    </row>
    <row r="13" spans="1:14">
      <c r="A13" s="1" t="s">
        <v>25</v>
      </c>
      <c r="B13">
        <f>HYPERLINK("https://www.suredividend.com/sure-analysis-research-database/","Atlas Air Worldwide Holdings Inc.")</f>
        <v>0</v>
      </c>
      <c r="C13" t="s">
        <v>3220</v>
      </c>
      <c r="D13">
        <v>68.45</v>
      </c>
      <c r="E13">
        <v>0</v>
      </c>
      <c r="H13">
        <v>0</v>
      </c>
      <c r="I13">
        <v>1986.986519</v>
      </c>
      <c r="J13">
        <v>4.027808729376852</v>
      </c>
      <c r="K13">
        <v>0</v>
      </c>
      <c r="L13">
        <v>0.9484115962469841</v>
      </c>
      <c r="M13">
        <v>97.13</v>
      </c>
      <c r="N13">
        <v>62.13</v>
      </c>
    </row>
    <row r="14" spans="1:14">
      <c r="A14" s="1" t="s">
        <v>26</v>
      </c>
      <c r="B14">
        <f>HYPERLINK("https://www.suredividend.com/sure-analysis-ABBV/","Abbvie Inc")</f>
        <v>0</v>
      </c>
      <c r="C14" t="s">
        <v>3217</v>
      </c>
      <c r="D14">
        <v>162.31</v>
      </c>
      <c r="E14">
        <v>0.03474832111391781</v>
      </c>
      <c r="F14">
        <v>0.08461538461538476</v>
      </c>
      <c r="G14">
        <v>0.1711373391720785</v>
      </c>
      <c r="H14">
        <v>5.344447160181316</v>
      </c>
      <c r="I14">
        <v>286685.706014</v>
      </c>
      <c r="J14">
        <v>24.99875357642484</v>
      </c>
      <c r="K14">
        <v>0.8285964589428396</v>
      </c>
      <c r="L14">
        <v>0.34763536226361</v>
      </c>
      <c r="M14">
        <v>174.43</v>
      </c>
      <c r="N14">
        <v>102.35</v>
      </c>
    </row>
    <row r="15" spans="1:14">
      <c r="A15" s="1" t="s">
        <v>27</v>
      </c>
      <c r="B15">
        <f>HYPERLINK("https://www.suredividend.com/sure-analysis-ABC/","Amerisource Bergen Corp.")</f>
        <v>0</v>
      </c>
      <c r="C15" t="s">
        <v>3217</v>
      </c>
      <c r="D15">
        <v>161.21</v>
      </c>
      <c r="E15">
        <v>0.01141368401463929</v>
      </c>
      <c r="F15">
        <v>0.04545454545454541</v>
      </c>
      <c r="G15">
        <v>0.04735278879354632</v>
      </c>
      <c r="H15">
        <v>1.790832937969899</v>
      </c>
      <c r="I15">
        <v>33715.044929</v>
      </c>
      <c r="J15">
        <v>20.88663859633179</v>
      </c>
      <c r="K15">
        <v>0.232575706229857</v>
      </c>
      <c r="L15">
        <v>0.459635124897125</v>
      </c>
      <c r="M15">
        <v>166.9</v>
      </c>
      <c r="N15">
        <v>110.17</v>
      </c>
    </row>
    <row r="16" spans="1:14">
      <c r="A16" s="1" t="s">
        <v>28</v>
      </c>
      <c r="B16">
        <f>HYPERLINK("https://www.suredividend.com/sure-analysis-research-database/","Ameris Bancorp")</f>
        <v>0</v>
      </c>
      <c r="C16" t="s">
        <v>3221</v>
      </c>
      <c r="D16">
        <v>40.77</v>
      </c>
      <c r="E16">
        <v>0.014648585185461</v>
      </c>
      <c r="F16">
        <v>0</v>
      </c>
      <c r="G16">
        <v>0.08447177119769855</v>
      </c>
      <c r="H16">
        <v>0.5972228180112651</v>
      </c>
      <c r="I16">
        <v>2840.726805</v>
      </c>
      <c r="J16">
        <v>7.536823631182793</v>
      </c>
      <c r="K16">
        <v>0.1105968181502343</v>
      </c>
      <c r="L16">
        <v>1.104599304058336</v>
      </c>
      <c r="M16">
        <v>59.14</v>
      </c>
      <c r="N16">
        <v>39.74</v>
      </c>
    </row>
    <row r="17" spans="1:14">
      <c r="A17" s="1" t="s">
        <v>29</v>
      </c>
      <c r="B17">
        <f>HYPERLINK("https://www.suredividend.com/sure-analysis-research-database/","Abeona Therapeutics Inc")</f>
        <v>0</v>
      </c>
      <c r="C17" t="s">
        <v>3217</v>
      </c>
      <c r="D17">
        <v>0.2725</v>
      </c>
      <c r="E17">
        <v>0</v>
      </c>
      <c r="H17">
        <v>0</v>
      </c>
      <c r="I17">
        <v>40.160511</v>
      </c>
      <c r="J17">
        <v>0</v>
      </c>
      <c r="K17" t="s">
        <v>3219</v>
      </c>
      <c r="L17">
        <v>1.267847455245699</v>
      </c>
      <c r="M17">
        <v>2.04</v>
      </c>
      <c r="N17">
        <v>0.2058</v>
      </c>
    </row>
    <row r="18" spans="1:14">
      <c r="A18" s="1" t="s">
        <v>30</v>
      </c>
      <c r="B18">
        <f>HYPERLINK("https://www.suredividend.com/sure-analysis-research-database/","Asbury Automotive Group Inc")</f>
        <v>0</v>
      </c>
      <c r="C18" t="s">
        <v>3223</v>
      </c>
      <c r="D18">
        <v>153.66</v>
      </c>
      <c r="E18">
        <v>0</v>
      </c>
      <c r="H18">
        <v>0</v>
      </c>
      <c r="I18">
        <v>3563.133539</v>
      </c>
      <c r="J18">
        <v>6.692587413899323</v>
      </c>
      <c r="K18">
        <v>0</v>
      </c>
      <c r="L18">
        <v>0.9948613166415121</v>
      </c>
      <c r="M18">
        <v>230.97</v>
      </c>
      <c r="N18">
        <v>146.43</v>
      </c>
    </row>
    <row r="19" spans="1:14">
      <c r="A19" s="1" t="s">
        <v>31</v>
      </c>
      <c r="B19">
        <f>HYPERLINK("https://www.suredividend.com/sure-analysis-research-database/","ARCA biopharma Inc")</f>
        <v>0</v>
      </c>
      <c r="C19" t="s">
        <v>3217</v>
      </c>
      <c r="D19">
        <v>2.34</v>
      </c>
      <c r="E19">
        <v>0</v>
      </c>
      <c r="H19">
        <v>0</v>
      </c>
      <c r="I19">
        <v>33.719735</v>
      </c>
      <c r="J19">
        <v>0</v>
      </c>
      <c r="K19" t="s">
        <v>3219</v>
      </c>
      <c r="L19">
        <v>0.57411126639562</v>
      </c>
      <c r="M19">
        <v>3.9</v>
      </c>
      <c r="N19">
        <v>1.71</v>
      </c>
    </row>
    <row r="20" spans="1:14">
      <c r="A20" s="1" t="s">
        <v>32</v>
      </c>
      <c r="B20">
        <f>HYPERLINK("https://www.suredividend.com/sure-analysis-ABM/","ABM Industries Inc.")</f>
        <v>0</v>
      </c>
      <c r="C20" t="s">
        <v>3220</v>
      </c>
      <c r="D20">
        <v>49.3</v>
      </c>
      <c r="E20">
        <v>0.01582150101419878</v>
      </c>
      <c r="F20">
        <v>0.02631578947368429</v>
      </c>
      <c r="G20">
        <v>0.02782017460330755</v>
      </c>
      <c r="H20">
        <v>0.7650413752491371</v>
      </c>
      <c r="I20">
        <v>3296.64451</v>
      </c>
      <c r="J20">
        <v>25.83577202272727</v>
      </c>
      <c r="K20">
        <v>0.4091130348925867</v>
      </c>
      <c r="L20">
        <v>0.6879679310435201</v>
      </c>
      <c r="M20">
        <v>53.53</v>
      </c>
      <c r="N20">
        <v>38.1</v>
      </c>
    </row>
    <row r="21" spans="1:14">
      <c r="A21" s="1" t="s">
        <v>33</v>
      </c>
      <c r="B21">
        <f>HYPERLINK("https://www.suredividend.com/sure-analysis-research-database/","Abiomed Inc.")</f>
        <v>0</v>
      </c>
      <c r="C21" t="s">
        <v>3217</v>
      </c>
      <c r="D21">
        <v>306.08</v>
      </c>
      <c r="E21">
        <v>0</v>
      </c>
      <c r="H21">
        <v>0</v>
      </c>
      <c r="I21">
        <v>13931.598496</v>
      </c>
      <c r="J21">
        <v>104.720515469497</v>
      </c>
      <c r="K21">
        <v>0</v>
      </c>
      <c r="L21">
        <v>1.387853845604355</v>
      </c>
      <c r="M21">
        <v>379.3</v>
      </c>
      <c r="N21">
        <v>261.27</v>
      </c>
    </row>
    <row r="22" spans="1:14">
      <c r="A22" s="1" t="s">
        <v>34</v>
      </c>
      <c r="B22">
        <f>HYPERLINK("https://www.suredividend.com/sure-analysis-ABR/","Arbor Realty Trust Inc.")</f>
        <v>0</v>
      </c>
      <c r="C22" t="s">
        <v>3224</v>
      </c>
      <c r="D22">
        <v>17.53</v>
      </c>
      <c r="E22">
        <v>0.08442669709070165</v>
      </c>
      <c r="F22">
        <v>0.1212121212121211</v>
      </c>
      <c r="G22">
        <v>0.1550102645027227</v>
      </c>
      <c r="H22">
        <v>1.380157352820833</v>
      </c>
      <c r="I22">
        <v>2677.949169</v>
      </c>
      <c r="J22">
        <v>8.43682396563457</v>
      </c>
      <c r="K22">
        <v>0.6798804693698686</v>
      </c>
      <c r="L22">
        <v>0.831966813644045</v>
      </c>
      <c r="M22">
        <v>19.95</v>
      </c>
      <c r="N22">
        <v>14.77</v>
      </c>
    </row>
    <row r="23" spans="1:14">
      <c r="A23" s="1" t="s">
        <v>35</v>
      </c>
      <c r="B23">
        <f>HYPERLINK("https://www.suredividend.com/sure-analysis-ABT/","Abbott Laboratories")</f>
        <v>0</v>
      </c>
      <c r="C23" t="s">
        <v>3217</v>
      </c>
      <c r="D23">
        <v>117.69</v>
      </c>
      <c r="E23">
        <v>0.01597416942815872</v>
      </c>
      <c r="F23">
        <v>0.04444444444444451</v>
      </c>
      <c r="G23">
        <v>0.1214254213452666</v>
      </c>
      <c r="H23">
        <v>1.829692870108188</v>
      </c>
      <c r="I23">
        <v>207544.228003</v>
      </c>
      <c r="J23">
        <v>29.35146768536699</v>
      </c>
      <c r="K23">
        <v>0.463213384837516</v>
      </c>
      <c r="L23">
        <v>0.689917895897859</v>
      </c>
      <c r="M23">
        <v>141.53</v>
      </c>
      <c r="N23">
        <v>103.78</v>
      </c>
    </row>
    <row r="24" spans="1:14">
      <c r="A24" s="1" t="s">
        <v>36</v>
      </c>
      <c r="B24">
        <f>HYPERLINK("https://www.suredividend.com/sure-analysis-research-database/","Allegiance Bancshares Inc")</f>
        <v>0</v>
      </c>
      <c r="C24" t="s">
        <v>3221</v>
      </c>
      <c r="D24">
        <v>40.91</v>
      </c>
      <c r="E24">
        <v>0.012166974531472</v>
      </c>
      <c r="H24">
        <v>0.4977509280825561</v>
      </c>
      <c r="I24">
        <v>833.223461</v>
      </c>
      <c r="J24">
        <v>10.21695659411671</v>
      </c>
      <c r="K24">
        <v>0.1241274134869217</v>
      </c>
      <c r="L24">
        <v>0.6842222715721631</v>
      </c>
      <c r="M24">
        <v>46</v>
      </c>
      <c r="N24">
        <v>33.98</v>
      </c>
    </row>
    <row r="25" spans="1:14">
      <c r="A25" s="1" t="s">
        <v>37</v>
      </c>
      <c r="B25">
        <f>HYPERLINK("https://www.suredividend.com/sure-analysis-research-database/","Associated Capital Group Inc")</f>
        <v>0</v>
      </c>
      <c r="C25" t="s">
        <v>3221</v>
      </c>
      <c r="D25">
        <v>38.57</v>
      </c>
      <c r="E25">
        <v>0.005178919434201</v>
      </c>
      <c r="H25">
        <v>0.199750922577151</v>
      </c>
      <c r="I25">
        <v>119.111758</v>
      </c>
      <c r="J25">
        <v>0</v>
      </c>
      <c r="K25" t="s">
        <v>3219</v>
      </c>
      <c r="L25">
        <v>0.7386738556512971</v>
      </c>
      <c r="M25">
        <v>47.5</v>
      </c>
      <c r="N25">
        <v>32.24</v>
      </c>
    </row>
    <row r="26" spans="1:14">
      <c r="A26" s="1" t="s">
        <v>38</v>
      </c>
      <c r="B26">
        <f>HYPERLINK("https://www.suredividend.com/sure-analysis-research-database/","Arcosa Inc")</f>
        <v>0</v>
      </c>
      <c r="C26" t="s">
        <v>3220</v>
      </c>
      <c r="D26">
        <v>54.44</v>
      </c>
      <c r="E26">
        <v>0.004585245549129</v>
      </c>
      <c r="H26">
        <v>0.249620767694606</v>
      </c>
      <c r="I26">
        <v>2630.152098</v>
      </c>
      <c r="J26">
        <v>0</v>
      </c>
      <c r="K26" t="s">
        <v>3219</v>
      </c>
      <c r="L26">
        <v>1.074032265091514</v>
      </c>
      <c r="M26">
        <v>65.53</v>
      </c>
      <c r="N26">
        <v>43.38</v>
      </c>
    </row>
    <row r="27" spans="1:14">
      <c r="A27" s="1" t="s">
        <v>39</v>
      </c>
      <c r="B27">
        <f>HYPERLINK("https://www.suredividend.com/sure-analysis-research-database/","Acadia Pharmaceuticals Inc")</f>
        <v>0</v>
      </c>
      <c r="C27" t="s">
        <v>3217</v>
      </c>
      <c r="D27">
        <v>23.47</v>
      </c>
      <c r="E27">
        <v>0</v>
      </c>
      <c r="H27">
        <v>0</v>
      </c>
      <c r="I27">
        <v>3783.451966</v>
      </c>
      <c r="J27" t="s">
        <v>3219</v>
      </c>
      <c r="K27">
        <v>-0</v>
      </c>
      <c r="L27">
        <v>1.06016482429</v>
      </c>
      <c r="M27">
        <v>28.06</v>
      </c>
      <c r="N27">
        <v>15.68</v>
      </c>
    </row>
    <row r="28" spans="1:14">
      <c r="A28" s="1" t="s">
        <v>40</v>
      </c>
      <c r="B28">
        <f>HYPERLINK("https://www.suredividend.com/sure-analysis-research-database/","Atlantic Capital Bancshares Inc")</f>
        <v>0</v>
      </c>
      <c r="C28" t="s">
        <v>3221</v>
      </c>
      <c r="D28">
        <v>32.34</v>
      </c>
      <c r="E28">
        <v>0</v>
      </c>
      <c r="H28">
        <v>0</v>
      </c>
      <c r="I28">
        <v>0</v>
      </c>
      <c r="J28">
        <v>0</v>
      </c>
      <c r="K28">
        <v>0</v>
      </c>
    </row>
    <row r="29" spans="1:14">
      <c r="A29" s="1" t="s">
        <v>41</v>
      </c>
      <c r="B29">
        <f>HYPERLINK("https://www.suredividend.com/sure-analysis-ACC/","American Campus Communities Inc.")</f>
        <v>0</v>
      </c>
      <c r="C29" t="s">
        <v>3224</v>
      </c>
      <c r="D29">
        <v>57.95</v>
      </c>
      <c r="E29">
        <v>0.03244176013805004</v>
      </c>
      <c r="F29">
        <v>0</v>
      </c>
      <c r="G29">
        <v>0.01327898648986037</v>
      </c>
      <c r="H29">
        <v>1.854883478621049</v>
      </c>
      <c r="I29">
        <v>8064.143108</v>
      </c>
      <c r="J29">
        <v>242.8666157194916</v>
      </c>
      <c r="K29">
        <v>7.803464361047745</v>
      </c>
      <c r="L29">
        <v>0.611305951727602</v>
      </c>
      <c r="M29">
        <v>58.66</v>
      </c>
      <c r="N29">
        <v>41.88</v>
      </c>
    </row>
    <row r="30" spans="1:14">
      <c r="A30" s="1" t="s">
        <v>42</v>
      </c>
      <c r="B30">
        <f>HYPERLINK("https://www.suredividend.com/sure-analysis-research-database/","Acco Brands Corporation")</f>
        <v>0</v>
      </c>
      <c r="C30" t="s">
        <v>3220</v>
      </c>
      <c r="D30">
        <v>7.68</v>
      </c>
      <c r="E30">
        <v>0.036016902025717</v>
      </c>
      <c r="H30">
        <v>0.276609807557512</v>
      </c>
      <c r="I30">
        <v>743.726423</v>
      </c>
      <c r="J30">
        <v>7.298591001373897</v>
      </c>
      <c r="K30">
        <v>0.2634379119595353</v>
      </c>
      <c r="L30">
        <v>0.94169013797498</v>
      </c>
      <c r="M30">
        <v>9.59</v>
      </c>
      <c r="N30">
        <v>7.51</v>
      </c>
    </row>
    <row r="31" spans="1:14">
      <c r="A31" s="1" t="s">
        <v>43</v>
      </c>
      <c r="B31">
        <f>HYPERLINK("https://www.suredividend.com/sure-analysis-research-database/","Acer Therapeutics Inc")</f>
        <v>0</v>
      </c>
      <c r="C31" t="s">
        <v>3217</v>
      </c>
      <c r="D31">
        <v>2.3</v>
      </c>
      <c r="E31">
        <v>0</v>
      </c>
      <c r="H31">
        <v>0</v>
      </c>
      <c r="I31">
        <v>32.913561</v>
      </c>
      <c r="J31">
        <v>0</v>
      </c>
      <c r="K31" t="s">
        <v>3219</v>
      </c>
      <c r="L31">
        <v>0.8390096823327701</v>
      </c>
      <c r="M31">
        <v>3.77</v>
      </c>
      <c r="N31">
        <v>1.68</v>
      </c>
    </row>
    <row r="32" spans="1:14">
      <c r="A32" s="1" t="s">
        <v>44</v>
      </c>
      <c r="B32">
        <f>HYPERLINK("https://www.suredividend.com/sure-analysis-research-database/","Arch Capital Group Ltd")</f>
        <v>0</v>
      </c>
      <c r="C32" t="s">
        <v>3221</v>
      </c>
      <c r="D32">
        <v>48.98</v>
      </c>
      <c r="E32">
        <v>0</v>
      </c>
      <c r="H32">
        <v>0</v>
      </c>
      <c r="I32">
        <v>18565.482009</v>
      </c>
      <c r="J32">
        <v>8.868557211347063</v>
      </c>
      <c r="K32">
        <v>0</v>
      </c>
      <c r="L32">
        <v>0.803790392776715</v>
      </c>
      <c r="M32">
        <v>49.51</v>
      </c>
      <c r="N32">
        <v>36.53</v>
      </c>
    </row>
    <row r="33" spans="1:14">
      <c r="A33" s="1" t="s">
        <v>45</v>
      </c>
      <c r="B33">
        <f>HYPERLINK("https://www.suredividend.com/sure-analysis-research-database/","Acadia Healthcare Company Inc")</f>
        <v>0</v>
      </c>
      <c r="C33" t="s">
        <v>3217</v>
      </c>
      <c r="D33">
        <v>75.02</v>
      </c>
      <c r="E33">
        <v>0</v>
      </c>
      <c r="H33">
        <v>0</v>
      </c>
      <c r="I33">
        <v>6795.196294</v>
      </c>
      <c r="J33">
        <v>35.64506147486033</v>
      </c>
      <c r="K33">
        <v>0</v>
      </c>
      <c r="L33">
        <v>1.033337013093719</v>
      </c>
      <c r="M33">
        <v>76.62</v>
      </c>
      <c r="N33">
        <v>50.07</v>
      </c>
    </row>
    <row r="34" spans="1:14">
      <c r="A34" s="1" t="s">
        <v>46</v>
      </c>
      <c r="B34">
        <f>HYPERLINK("https://www.suredividend.com/sure-analysis-research-database/","Achison Inc")</f>
        <v>0</v>
      </c>
      <c r="C34" t="s">
        <v>3219</v>
      </c>
      <c r="D34">
        <v>0.41</v>
      </c>
      <c r="E34">
        <v>0</v>
      </c>
      <c r="H34">
        <v>0</v>
      </c>
      <c r="I34">
        <v>12.29795</v>
      </c>
      <c r="J34">
        <v>0</v>
      </c>
      <c r="K34" t="s">
        <v>3219</v>
      </c>
      <c r="M34">
        <v>0.52</v>
      </c>
      <c r="N34">
        <v>0.06</v>
      </c>
    </row>
    <row r="35" spans="1:14">
      <c r="A35" s="1" t="s">
        <v>47</v>
      </c>
      <c r="B35">
        <f>HYPERLINK("https://www.suredividend.com/sure-analysis-research-database/","Achieve Life Sciences Inc.")</f>
        <v>0</v>
      </c>
      <c r="C35" t="s">
        <v>3217</v>
      </c>
      <c r="D35">
        <v>7.64</v>
      </c>
      <c r="E35">
        <v>0</v>
      </c>
      <c r="H35">
        <v>0</v>
      </c>
      <c r="I35">
        <v>72.280779</v>
      </c>
      <c r="J35">
        <v>0</v>
      </c>
      <c r="K35" t="s">
        <v>3219</v>
      </c>
      <c r="L35">
        <v>0.8440561308423301</v>
      </c>
      <c r="M35">
        <v>11.75</v>
      </c>
      <c r="N35">
        <v>6.05</v>
      </c>
    </row>
    <row r="36" spans="1:14">
      <c r="A36" s="1" t="s">
        <v>48</v>
      </c>
      <c r="B36">
        <f>HYPERLINK("https://www.suredividend.com/sure-analysis-research-database/","Acacia Communications Inc")</f>
        <v>0</v>
      </c>
      <c r="C36" t="s">
        <v>3222</v>
      </c>
      <c r="D36">
        <v>114.99</v>
      </c>
      <c r="E36">
        <v>0</v>
      </c>
      <c r="H36">
        <v>0</v>
      </c>
      <c r="I36">
        <v>0</v>
      </c>
      <c r="J36">
        <v>0</v>
      </c>
      <c r="K36">
        <v>0</v>
      </c>
    </row>
    <row r="37" spans="1:14">
      <c r="A37" s="1" t="s">
        <v>49</v>
      </c>
      <c r="B37">
        <f>HYPERLINK("https://www.suredividend.com/sure-analysis-research-database/","ACI Worldwide Inc")</f>
        <v>0</v>
      </c>
      <c r="C37" t="s">
        <v>3222</v>
      </c>
      <c r="D37">
        <v>27.49</v>
      </c>
      <c r="E37">
        <v>0</v>
      </c>
      <c r="H37">
        <v>0</v>
      </c>
      <c r="I37">
        <v>3163.099931</v>
      </c>
      <c r="J37">
        <v>24.75213380386725</v>
      </c>
      <c r="K37">
        <v>0</v>
      </c>
      <c r="L37">
        <v>1.16443630168221</v>
      </c>
      <c r="M37">
        <v>41.16</v>
      </c>
      <c r="N37">
        <v>25.93</v>
      </c>
    </row>
    <row r="38" spans="1:14">
      <c r="A38" s="1" t="s">
        <v>50</v>
      </c>
      <c r="B38">
        <f>HYPERLINK("https://www.suredividend.com/sure-analysis-research-database/","Axcelis Technologies Inc")</f>
        <v>0</v>
      </c>
      <c r="C38" t="s">
        <v>3222</v>
      </c>
      <c r="D38">
        <v>56.43</v>
      </c>
      <c r="E38">
        <v>0</v>
      </c>
      <c r="H38">
        <v>0</v>
      </c>
      <c r="I38">
        <v>1872.491127</v>
      </c>
      <c r="J38">
        <v>18.98115689011657</v>
      </c>
      <c r="K38">
        <v>0</v>
      </c>
      <c r="L38">
        <v>2.554196570103978</v>
      </c>
      <c r="M38">
        <v>83.73999999999999</v>
      </c>
      <c r="N38">
        <v>33.36</v>
      </c>
    </row>
    <row r="39" spans="1:14">
      <c r="A39" s="1" t="s">
        <v>51</v>
      </c>
      <c r="B39">
        <f>HYPERLINK("https://www.suredividend.com/sure-analysis-research-database/","AECOM")</f>
        <v>0</v>
      </c>
      <c r="C39" t="s">
        <v>3220</v>
      </c>
      <c r="D39">
        <v>76.28</v>
      </c>
      <c r="E39">
        <v>0.003928992609831</v>
      </c>
      <c r="H39">
        <v>0.299703556277968</v>
      </c>
      <c r="I39">
        <v>10781.62703</v>
      </c>
      <c r="J39">
        <v>51.68441326698785</v>
      </c>
      <c r="K39">
        <v>0.2110588424492733</v>
      </c>
      <c r="L39">
        <v>1.089860321054615</v>
      </c>
      <c r="M39">
        <v>79.81</v>
      </c>
      <c r="N39">
        <v>58.13</v>
      </c>
    </row>
    <row r="40" spans="1:14">
      <c r="A40" s="1" t="s">
        <v>52</v>
      </c>
      <c r="B40">
        <f>HYPERLINK("https://www.suredividend.com/sure-analysis-research-database/","ACM Research Inc")</f>
        <v>0</v>
      </c>
      <c r="C40" t="s">
        <v>3222</v>
      </c>
      <c r="D40">
        <v>16.64</v>
      </c>
      <c r="E40">
        <v>0</v>
      </c>
      <c r="H40">
        <v>0</v>
      </c>
      <c r="I40">
        <v>297.576315</v>
      </c>
      <c r="J40">
        <v>7.881354844929417</v>
      </c>
      <c r="K40">
        <v>0</v>
      </c>
      <c r="L40">
        <v>1.986306046727231</v>
      </c>
      <c r="M40">
        <v>39.71</v>
      </c>
      <c r="N40">
        <v>14.07</v>
      </c>
    </row>
    <row r="41" spans="1:14">
      <c r="A41" s="1" t="s">
        <v>53</v>
      </c>
      <c r="B41">
        <f>HYPERLINK("https://www.suredividend.com/sure-analysis-ACN/","Accenture plc")</f>
        <v>0</v>
      </c>
      <c r="C41" t="s">
        <v>3222</v>
      </c>
      <c r="D41">
        <v>319.47</v>
      </c>
      <c r="E41">
        <v>0.01214511534729395</v>
      </c>
      <c r="H41">
        <v>3.774267943305276</v>
      </c>
      <c r="I41">
        <v>211627.890613</v>
      </c>
      <c r="J41">
        <v>33.11010798684688</v>
      </c>
      <c r="K41">
        <v>0.3808544846927625</v>
      </c>
      <c r="L41">
        <v>1.109248098991624</v>
      </c>
      <c r="M41">
        <v>415.05</v>
      </c>
      <c r="N41">
        <v>273.76</v>
      </c>
    </row>
    <row r="42" spans="1:14">
      <c r="A42" s="1" t="s">
        <v>54</v>
      </c>
      <c r="B42">
        <f>HYPERLINK("https://www.suredividend.com/sure-analysis-research-database/","ACNB Corp.")</f>
        <v>0</v>
      </c>
      <c r="C42" t="s">
        <v>3221</v>
      </c>
      <c r="D42">
        <v>34.3</v>
      </c>
      <c r="E42">
        <v>0.029367346464975</v>
      </c>
      <c r="F42">
        <v>0.04000000000000004</v>
      </c>
      <c r="G42">
        <v>0.05387395206178347</v>
      </c>
      <c r="H42">
        <v>1.007299983748659</v>
      </c>
      <c r="I42">
        <v>297.696766</v>
      </c>
      <c r="J42">
        <v>0</v>
      </c>
      <c r="K42" t="s">
        <v>3219</v>
      </c>
      <c r="L42">
        <v>0.4222631492965611</v>
      </c>
      <c r="M42">
        <v>36.04</v>
      </c>
      <c r="N42">
        <v>26.31</v>
      </c>
    </row>
    <row r="43" spans="1:14">
      <c r="A43" s="1" t="s">
        <v>55</v>
      </c>
      <c r="B43">
        <f>HYPERLINK("https://www.suredividend.com/sure-analysis-research-database/","Acorda Therapeutics Inc")</f>
        <v>0</v>
      </c>
      <c r="C43" t="s">
        <v>3217</v>
      </c>
      <c r="D43">
        <v>1.55</v>
      </c>
      <c r="E43">
        <v>0</v>
      </c>
      <c r="H43">
        <v>0</v>
      </c>
      <c r="I43">
        <v>14.698962</v>
      </c>
      <c r="J43" t="s">
        <v>3219</v>
      </c>
      <c r="K43">
        <v>-0</v>
      </c>
      <c r="L43">
        <v>1.18047088041899</v>
      </c>
      <c r="M43">
        <v>6.36</v>
      </c>
      <c r="N43">
        <v>1.52</v>
      </c>
    </row>
    <row r="44" spans="1:14">
      <c r="A44" s="1" t="s">
        <v>56</v>
      </c>
      <c r="B44">
        <f>HYPERLINK("https://www.suredividend.com/sure-analysis-ACRE/","Ares Commercial Real Estate Corp")</f>
        <v>0</v>
      </c>
      <c r="C44" t="s">
        <v>3224</v>
      </c>
      <c r="D44">
        <v>16.3</v>
      </c>
      <c r="E44">
        <v>0.08098159509202454</v>
      </c>
      <c r="F44">
        <v>-0.9393939393939394</v>
      </c>
      <c r="G44">
        <v>-0.4142309793876822</v>
      </c>
      <c r="H44">
        <v>1.291511460150551</v>
      </c>
      <c r="I44">
        <v>770.4717900000001</v>
      </c>
      <c r="J44">
        <v>12.74349636784651</v>
      </c>
      <c r="K44">
        <v>0.9095151127820783</v>
      </c>
      <c r="L44">
        <v>0.731183992934033</v>
      </c>
      <c r="M44">
        <v>16.43</v>
      </c>
      <c r="N44">
        <v>13.15</v>
      </c>
    </row>
    <row r="45" spans="1:14">
      <c r="A45" s="1" t="s">
        <v>57</v>
      </c>
      <c r="B45">
        <f>HYPERLINK("https://www.suredividend.com/sure-analysis-research-database/","Aclaris Therapeutics Inc")</f>
        <v>0</v>
      </c>
      <c r="C45" t="s">
        <v>3217</v>
      </c>
      <c r="D45">
        <v>17.01</v>
      </c>
      <c r="E45">
        <v>0</v>
      </c>
      <c r="H45">
        <v>0</v>
      </c>
      <c r="I45">
        <v>1042.288311</v>
      </c>
      <c r="J45" t="s">
        <v>3219</v>
      </c>
      <c r="K45">
        <v>-0</v>
      </c>
      <c r="L45">
        <v>1.089375537259533</v>
      </c>
      <c r="M45">
        <v>28.25</v>
      </c>
      <c r="N45">
        <v>9.26</v>
      </c>
    </row>
    <row r="46" spans="1:14">
      <c r="A46" s="1" t="s">
        <v>58</v>
      </c>
      <c r="B46">
        <f>HYPERLINK("https://www.suredividend.com/sure-analysis-research-database/","Acelrx Pharmaceuticals Inc")</f>
        <v>0</v>
      </c>
      <c r="C46" t="s">
        <v>3217</v>
      </c>
      <c r="D46">
        <v>0.26</v>
      </c>
      <c r="E46">
        <v>0</v>
      </c>
      <c r="H46">
        <v>0</v>
      </c>
      <c r="I46">
        <v>31.022832</v>
      </c>
      <c r="J46">
        <v>0</v>
      </c>
      <c r="K46" t="s">
        <v>3219</v>
      </c>
      <c r="L46">
        <v>1.268244664457664</v>
      </c>
      <c r="M46">
        <v>1.67</v>
      </c>
      <c r="N46">
        <v>0.25</v>
      </c>
    </row>
    <row r="47" spans="1:14">
      <c r="A47" s="1" t="s">
        <v>59</v>
      </c>
      <c r="B47">
        <f>HYPERLINK("https://www.suredividend.com/sure-analysis-research-database/","Acacia Research Corp")</f>
        <v>0</v>
      </c>
      <c r="C47" t="s">
        <v>3220</v>
      </c>
      <c r="D47">
        <v>4.4</v>
      </c>
      <c r="E47">
        <v>0</v>
      </c>
      <c r="H47">
        <v>0</v>
      </c>
      <c r="I47">
        <v>204.488605</v>
      </c>
      <c r="J47">
        <v>1.721226601797919</v>
      </c>
      <c r="K47">
        <v>0</v>
      </c>
      <c r="L47">
        <v>1.36099110136735</v>
      </c>
      <c r="M47">
        <v>7.54</v>
      </c>
      <c r="N47">
        <v>3.3</v>
      </c>
    </row>
    <row r="48" spans="1:14">
      <c r="A48" s="1" t="s">
        <v>60</v>
      </c>
      <c r="B48">
        <f>HYPERLINK("https://www.suredividend.com/sure-analysis-research-database/","Acme United Corp.")</f>
        <v>0</v>
      </c>
      <c r="C48" t="s">
        <v>3225</v>
      </c>
      <c r="D48">
        <v>32.65</v>
      </c>
      <c r="E48">
        <v>0.01583332738153</v>
      </c>
      <c r="F48">
        <v>0</v>
      </c>
      <c r="G48">
        <v>0.03397522653195018</v>
      </c>
      <c r="H48">
        <v>0.5169581390069791</v>
      </c>
      <c r="I48">
        <v>114.949092</v>
      </c>
      <c r="J48">
        <v>0</v>
      </c>
      <c r="K48" t="s">
        <v>3219</v>
      </c>
      <c r="L48">
        <v>0.419540827961523</v>
      </c>
      <c r="M48">
        <v>47.6</v>
      </c>
      <c r="N48">
        <v>29.7</v>
      </c>
    </row>
    <row r="49" spans="1:14">
      <c r="A49" s="1" t="s">
        <v>61</v>
      </c>
      <c r="B49">
        <f>HYPERLINK("https://www.suredividend.com/sure-analysis-research-database/","Adobe Inc")</f>
        <v>0</v>
      </c>
      <c r="C49" t="s">
        <v>3222</v>
      </c>
      <c r="D49">
        <v>420.44</v>
      </c>
      <c r="E49">
        <v>0</v>
      </c>
      <c r="H49">
        <v>0</v>
      </c>
      <c r="I49">
        <v>198657.9</v>
      </c>
      <c r="J49">
        <v>41.155562461156</v>
      </c>
      <c r="K49">
        <v>0</v>
      </c>
      <c r="L49">
        <v>1.565779027719868</v>
      </c>
      <c r="M49">
        <v>699.54</v>
      </c>
      <c r="N49">
        <v>407.94</v>
      </c>
    </row>
    <row r="50" spans="1:14">
      <c r="A50" s="1" t="s">
        <v>62</v>
      </c>
      <c r="B50">
        <f>HYPERLINK("https://www.suredividend.com/sure-analysis-ADC/","Agree Realty Corp.")</f>
        <v>0</v>
      </c>
      <c r="C50" t="s">
        <v>3224</v>
      </c>
      <c r="D50">
        <v>69.95999999999999</v>
      </c>
      <c r="E50">
        <v>0.04016580903373357</v>
      </c>
      <c r="F50">
        <v>0</v>
      </c>
      <c r="G50">
        <v>-0.1724885756375036</v>
      </c>
      <c r="H50">
        <v>2.616574909791876</v>
      </c>
      <c r="I50">
        <v>4993.927815</v>
      </c>
      <c r="J50">
        <v>41.70085687030295</v>
      </c>
      <c r="K50">
        <v>1.469985904377458</v>
      </c>
      <c r="L50">
        <v>0.57430437980088</v>
      </c>
      <c r="M50">
        <v>73.97</v>
      </c>
      <c r="N50">
        <v>61.2</v>
      </c>
    </row>
    <row r="51" spans="1:14">
      <c r="A51" s="1" t="s">
        <v>63</v>
      </c>
      <c r="B51">
        <f>HYPERLINK("https://www.suredividend.com/sure-analysis-research-database/","Advanced Emissions Solutions Inc")</f>
        <v>0</v>
      </c>
      <c r="C51" t="s">
        <v>3220</v>
      </c>
      <c r="D51">
        <v>6.17</v>
      </c>
      <c r="E51">
        <v>0</v>
      </c>
      <c r="H51">
        <v>0</v>
      </c>
      <c r="I51">
        <v>116.24897</v>
      </c>
      <c r="J51">
        <v>0</v>
      </c>
      <c r="K51" t="s">
        <v>3219</v>
      </c>
      <c r="L51">
        <v>0.51463125859532</v>
      </c>
      <c r="M51">
        <v>8.41</v>
      </c>
      <c r="N51">
        <v>4.6</v>
      </c>
    </row>
    <row r="52" spans="1:14">
      <c r="A52" s="1" t="s">
        <v>64</v>
      </c>
      <c r="B52">
        <f>HYPERLINK("https://www.suredividend.com/sure-analysis-research-database/","Analog Devices Inc.")</f>
        <v>0</v>
      </c>
      <c r="C52" t="s">
        <v>3222</v>
      </c>
      <c r="D52">
        <v>156.5</v>
      </c>
      <c r="E52">
        <v>0.017966958644298</v>
      </c>
      <c r="F52">
        <v>0.1014492753623188</v>
      </c>
      <c r="G52">
        <v>0.110504226294369</v>
      </c>
      <c r="H52">
        <v>2.811829027832679</v>
      </c>
      <c r="I52">
        <v>81898.817845</v>
      </c>
      <c r="J52">
        <v>63.88462990452269</v>
      </c>
      <c r="K52">
        <v>0.9662642707328793</v>
      </c>
      <c r="L52">
        <v>1.404086906365363</v>
      </c>
      <c r="M52">
        <v>190.29</v>
      </c>
      <c r="N52">
        <v>141.62</v>
      </c>
    </row>
    <row r="53" spans="1:14">
      <c r="A53" s="1" t="s">
        <v>65</v>
      </c>
      <c r="B53">
        <f>HYPERLINK("https://www.suredividend.com/sure-analysis-ADM/","Archer Daniels Midland Co.")</f>
        <v>0</v>
      </c>
      <c r="C53" t="s">
        <v>3225</v>
      </c>
      <c r="D53">
        <v>96.91</v>
      </c>
      <c r="E53">
        <v>0.01651016406975545</v>
      </c>
      <c r="F53">
        <v>0.08108108108108114</v>
      </c>
      <c r="G53">
        <v>0.04563955259127317</v>
      </c>
      <c r="H53">
        <v>1.497907152717277</v>
      </c>
      <c r="I53">
        <v>54509.692393</v>
      </c>
      <c r="J53">
        <v>20.12170261830196</v>
      </c>
      <c r="K53">
        <v>0.3127154807342958</v>
      </c>
      <c r="L53">
        <v>0.414500324228295</v>
      </c>
      <c r="M53">
        <v>97.64</v>
      </c>
      <c r="N53">
        <v>55.96</v>
      </c>
    </row>
    <row r="54" spans="1:14">
      <c r="A54" s="1" t="s">
        <v>66</v>
      </c>
      <c r="B54">
        <f>HYPERLINK("https://www.suredividend.com/sure-analysis-research-database/","Adma Biologics Inc")</f>
        <v>0</v>
      </c>
      <c r="C54" t="s">
        <v>3217</v>
      </c>
      <c r="D54">
        <v>2.01</v>
      </c>
      <c r="E54">
        <v>0</v>
      </c>
      <c r="H54">
        <v>0</v>
      </c>
      <c r="I54">
        <v>393.79991</v>
      </c>
      <c r="J54">
        <v>0</v>
      </c>
      <c r="K54" t="s">
        <v>3219</v>
      </c>
      <c r="L54">
        <v>0.895302929928487</v>
      </c>
      <c r="M54">
        <v>2.63</v>
      </c>
      <c r="N54">
        <v>1.01</v>
      </c>
    </row>
    <row r="55" spans="1:14">
      <c r="A55" s="1" t="s">
        <v>67</v>
      </c>
      <c r="B55">
        <f>HYPERLINK("https://www.suredividend.com/sure-analysis-research-database/","Adamis Pharmaceuticals Corp")</f>
        <v>0</v>
      </c>
      <c r="C55" t="s">
        <v>3217</v>
      </c>
      <c r="D55">
        <v>0.4824</v>
      </c>
      <c r="E55">
        <v>0</v>
      </c>
      <c r="H55">
        <v>0</v>
      </c>
      <c r="I55">
        <v>71.82267400000001</v>
      </c>
      <c r="J55" t="s">
        <v>3219</v>
      </c>
      <c r="K55">
        <v>-0</v>
      </c>
      <c r="L55">
        <v>0.343833915278693</v>
      </c>
      <c r="M55">
        <v>1.48</v>
      </c>
      <c r="N55">
        <v>0.465</v>
      </c>
    </row>
    <row r="56" spans="1:14">
      <c r="A56" s="1" t="s">
        <v>68</v>
      </c>
      <c r="B56">
        <f>HYPERLINK("https://www.suredividend.com/sure-analysis-research-database/","Adamas Pharmaceuticals Inc")</f>
        <v>0</v>
      </c>
      <c r="C56" t="s">
        <v>3217</v>
      </c>
      <c r="D56">
        <v>8.220000000000001</v>
      </c>
      <c r="E56">
        <v>0</v>
      </c>
      <c r="H56">
        <v>0</v>
      </c>
      <c r="I56">
        <v>0</v>
      </c>
      <c r="J56">
        <v>0</v>
      </c>
      <c r="K56">
        <v>-0</v>
      </c>
    </row>
    <row r="57" spans="1:14">
      <c r="A57" s="1" t="s">
        <v>69</v>
      </c>
      <c r="B57">
        <f>HYPERLINK("https://www.suredividend.com/sure-analysis-research-database/","Adient plc")</f>
        <v>0</v>
      </c>
      <c r="C57" t="s">
        <v>3223</v>
      </c>
      <c r="D57">
        <v>33.4</v>
      </c>
      <c r="E57">
        <v>0</v>
      </c>
      <c r="H57">
        <v>0</v>
      </c>
      <c r="I57">
        <v>3165.197059</v>
      </c>
      <c r="J57">
        <v>3.501324179867256</v>
      </c>
      <c r="K57">
        <v>0</v>
      </c>
      <c r="L57">
        <v>2.019893623467175</v>
      </c>
      <c r="M57">
        <v>53.17</v>
      </c>
      <c r="N57">
        <v>30.53</v>
      </c>
    </row>
    <row r="58" spans="1:14">
      <c r="A58" s="1" t="s">
        <v>70</v>
      </c>
      <c r="B58">
        <f>HYPERLINK("https://www.suredividend.com/sure-analysis-ADP/","Automatic Data Processing Inc.")</f>
        <v>0</v>
      </c>
      <c r="C58" t="s">
        <v>3220</v>
      </c>
      <c r="D58">
        <v>229.2</v>
      </c>
      <c r="E58">
        <v>0.01815008726003491</v>
      </c>
      <c r="F58">
        <v>0.118279569892473</v>
      </c>
      <c r="G58">
        <v>0.1277989780675224</v>
      </c>
      <c r="H58">
        <v>3.913225307114813</v>
      </c>
      <c r="I58">
        <v>96274.374738</v>
      </c>
      <c r="J58">
        <v>35.08797096654275</v>
      </c>
      <c r="K58">
        <v>0.6057624314419215</v>
      </c>
      <c r="L58">
        <v>0.854149415002444</v>
      </c>
      <c r="M58">
        <v>247.73</v>
      </c>
      <c r="N58">
        <v>181.43</v>
      </c>
    </row>
    <row r="59" spans="1:14">
      <c r="A59" s="1" t="s">
        <v>71</v>
      </c>
      <c r="B59">
        <f>HYPERLINK("https://www.suredividend.com/sure-analysis-research-database/","Autodesk Inc.")</f>
        <v>0</v>
      </c>
      <c r="C59" t="s">
        <v>3222</v>
      </c>
      <c r="D59">
        <v>196.73</v>
      </c>
      <c r="E59">
        <v>0</v>
      </c>
      <c r="H59">
        <v>0</v>
      </c>
      <c r="I59">
        <v>42750.997725</v>
      </c>
      <c r="J59">
        <v>86.01810407448691</v>
      </c>
      <c r="K59">
        <v>0</v>
      </c>
      <c r="L59">
        <v>1.64415568380822</v>
      </c>
      <c r="M59">
        <v>344.39</v>
      </c>
      <c r="N59">
        <v>186.29</v>
      </c>
    </row>
    <row r="60" spans="1:14">
      <c r="A60" s="1" t="s">
        <v>72</v>
      </c>
      <c r="B60">
        <f>HYPERLINK("https://www.suredividend.com/sure-analysis-research-database/","ADT Inc")</f>
        <v>0</v>
      </c>
      <c r="C60" t="s">
        <v>3220</v>
      </c>
      <c r="D60">
        <v>6.99</v>
      </c>
      <c r="E60">
        <v>0.019893087064516</v>
      </c>
      <c r="H60">
        <v>0.13905267858097</v>
      </c>
      <c r="I60">
        <v>5950.619951</v>
      </c>
      <c r="J60" t="s">
        <v>3219</v>
      </c>
      <c r="K60" t="s">
        <v>3219</v>
      </c>
      <c r="L60">
        <v>1.293607142849024</v>
      </c>
      <c r="M60">
        <v>11.58</v>
      </c>
      <c r="N60">
        <v>6.65</v>
      </c>
    </row>
    <row r="61" spans="1:14">
      <c r="A61" s="1" t="s">
        <v>73</v>
      </c>
      <c r="B61">
        <f>HYPERLINK("https://www.suredividend.com/sure-analysis-research-database/","Adtran Inc.")</f>
        <v>0</v>
      </c>
      <c r="C61" t="s">
        <v>3222</v>
      </c>
      <c r="D61">
        <v>17.81</v>
      </c>
      <c r="E61">
        <v>0.020086605953913</v>
      </c>
      <c r="F61">
        <v>0</v>
      </c>
      <c r="G61">
        <v>0</v>
      </c>
      <c r="H61">
        <v>0.357742452039201</v>
      </c>
      <c r="I61">
        <v>878.297247</v>
      </c>
      <c r="J61" t="s">
        <v>3219</v>
      </c>
      <c r="K61" t="s">
        <v>3219</v>
      </c>
      <c r="L61">
        <v>1.183809905628914</v>
      </c>
      <c r="M61">
        <v>24.55</v>
      </c>
      <c r="N61">
        <v>16.51</v>
      </c>
    </row>
    <row r="62" spans="1:14">
      <c r="A62" s="1" t="s">
        <v>74</v>
      </c>
      <c r="B62">
        <f>HYPERLINK("https://www.suredividend.com/sure-analysis-research-database/","Addus HomeCare Corporation")</f>
        <v>0</v>
      </c>
      <c r="C62" t="s">
        <v>3217</v>
      </c>
      <c r="D62">
        <v>89.45999999999999</v>
      </c>
      <c r="E62">
        <v>0</v>
      </c>
      <c r="H62">
        <v>0</v>
      </c>
      <c r="I62">
        <v>1424.866188</v>
      </c>
      <c r="J62">
        <v>31.57528227762265</v>
      </c>
      <c r="K62">
        <v>0</v>
      </c>
      <c r="L62">
        <v>1.277965941896711</v>
      </c>
      <c r="M62">
        <v>111.59</v>
      </c>
      <c r="N62">
        <v>68.56999999999999</v>
      </c>
    </row>
    <row r="63" spans="1:14">
      <c r="A63" s="1" t="s">
        <v>75</v>
      </c>
      <c r="B63">
        <f>HYPERLINK("https://www.suredividend.com/sure-analysis-research-database/","Adverum Biotechnologies Inc")</f>
        <v>0</v>
      </c>
      <c r="C63" t="s">
        <v>3217</v>
      </c>
      <c r="D63">
        <v>1.2</v>
      </c>
      <c r="E63">
        <v>0</v>
      </c>
      <c r="H63">
        <v>0</v>
      </c>
      <c r="I63">
        <v>118.50086</v>
      </c>
      <c r="J63">
        <v>0</v>
      </c>
      <c r="K63" t="s">
        <v>3219</v>
      </c>
      <c r="L63">
        <v>0.7857409183703991</v>
      </c>
      <c r="M63">
        <v>10.33</v>
      </c>
      <c r="N63">
        <v>1.16</v>
      </c>
    </row>
    <row r="64" spans="1:14">
      <c r="A64" s="1" t="s">
        <v>76</v>
      </c>
      <c r="B64">
        <f>HYPERLINK("https://www.suredividend.com/sure-analysis-research-database/","Advaxis, Inc.")</f>
        <v>0</v>
      </c>
      <c r="C64" t="s">
        <v>3217</v>
      </c>
      <c r="D64">
        <v>0.0887</v>
      </c>
      <c r="E64">
        <v>0</v>
      </c>
      <c r="H64">
        <v>0</v>
      </c>
      <c r="I64">
        <v>12.918131</v>
      </c>
      <c r="J64" t="s">
        <v>3219</v>
      </c>
      <c r="K64">
        <v>-0</v>
      </c>
      <c r="M64">
        <v>0.2</v>
      </c>
      <c r="N64">
        <v>0.08</v>
      </c>
    </row>
    <row r="65" spans="1:14">
      <c r="A65" s="1" t="s">
        <v>77</v>
      </c>
      <c r="B65">
        <f>HYPERLINK("https://www.suredividend.com/sure-analysis-research-database/","Adams Resources &amp; Energy Inc.")</f>
        <v>0</v>
      </c>
      <c r="C65" t="s">
        <v>3226</v>
      </c>
      <c r="D65">
        <v>37.4</v>
      </c>
      <c r="E65">
        <v>0.025366902961761</v>
      </c>
      <c r="F65">
        <v>0</v>
      </c>
      <c r="G65">
        <v>0.01755457717558762</v>
      </c>
      <c r="H65">
        <v>0.9487221707698631</v>
      </c>
      <c r="I65">
        <v>163.358188</v>
      </c>
      <c r="J65">
        <v>0</v>
      </c>
      <c r="K65" t="s">
        <v>3219</v>
      </c>
      <c r="L65">
        <v>0.218360790944316</v>
      </c>
      <c r="M65">
        <v>39.59</v>
      </c>
      <c r="N65">
        <v>24.54</v>
      </c>
    </row>
    <row r="66" spans="1:14">
      <c r="A66" s="1" t="s">
        <v>78</v>
      </c>
      <c r="B66">
        <f>HYPERLINK("https://www.suredividend.com/sure-analysis-AEE/","Ameren Corp.")</f>
        <v>0</v>
      </c>
      <c r="C66" t="s">
        <v>3227</v>
      </c>
      <c r="D66">
        <v>96.25</v>
      </c>
      <c r="E66">
        <v>0.02451948051948052</v>
      </c>
      <c r="F66">
        <v>0.07272727272727253</v>
      </c>
      <c r="G66">
        <v>0.06042477819475911</v>
      </c>
      <c r="H66">
        <v>2.22213730220943</v>
      </c>
      <c r="I66">
        <v>24806.010364</v>
      </c>
      <c r="J66">
        <v>25.056576125</v>
      </c>
      <c r="K66">
        <v>0.578681589117039</v>
      </c>
      <c r="L66">
        <v>0.253489376510771</v>
      </c>
      <c r="M66">
        <v>97.61</v>
      </c>
      <c r="N66">
        <v>78.31999999999999</v>
      </c>
    </row>
    <row r="67" spans="1:14">
      <c r="A67" s="1" t="s">
        <v>79</v>
      </c>
      <c r="B67">
        <f>HYPERLINK("https://www.suredividend.com/sure-analysis-research-database/","Aegion Corp")</f>
        <v>0</v>
      </c>
      <c r="C67" t="s">
        <v>3220</v>
      </c>
      <c r="D67">
        <v>29.99</v>
      </c>
      <c r="E67">
        <v>0</v>
      </c>
      <c r="H67">
        <v>0</v>
      </c>
      <c r="I67">
        <v>0</v>
      </c>
      <c r="J67">
        <v>0</v>
      </c>
      <c r="K67">
        <v>-0</v>
      </c>
    </row>
    <row r="68" spans="1:14">
      <c r="A68" s="1" t="s">
        <v>80</v>
      </c>
      <c r="B68">
        <f>HYPERLINK("https://www.suredividend.com/sure-analysis-research-database/","Aehr Test Systems")</f>
        <v>0</v>
      </c>
      <c r="C68" t="s">
        <v>3222</v>
      </c>
      <c r="D68">
        <v>8.99</v>
      </c>
      <c r="E68">
        <v>0</v>
      </c>
      <c r="H68">
        <v>0</v>
      </c>
      <c r="I68">
        <v>242.036215</v>
      </c>
      <c r="J68">
        <v>0</v>
      </c>
      <c r="K68" t="s">
        <v>3219</v>
      </c>
      <c r="L68">
        <v>2.201376361255041</v>
      </c>
      <c r="M68">
        <v>27.09</v>
      </c>
      <c r="N68">
        <v>1.94</v>
      </c>
    </row>
    <row r="69" spans="1:14">
      <c r="A69" s="1" t="s">
        <v>81</v>
      </c>
      <c r="B69">
        <f>HYPERLINK("https://www.suredividend.com/sure-analysis-research-database/","Advanced Energy Industries Inc.")</f>
        <v>0</v>
      </c>
      <c r="C69" t="s">
        <v>3220</v>
      </c>
      <c r="D69">
        <v>73.98</v>
      </c>
      <c r="E69">
        <v>0.00539766731333</v>
      </c>
      <c r="H69">
        <v>0.399319427840199</v>
      </c>
      <c r="I69">
        <v>2778.591664</v>
      </c>
      <c r="J69">
        <v>20.62248889873531</v>
      </c>
      <c r="K69">
        <v>0.1137662187578915</v>
      </c>
      <c r="L69">
        <v>1.598270148928513</v>
      </c>
      <c r="M69">
        <v>120.41</v>
      </c>
      <c r="N69">
        <v>73.87</v>
      </c>
    </row>
    <row r="70" spans="1:14">
      <c r="A70" s="1" t="s">
        <v>82</v>
      </c>
      <c r="B70">
        <f>HYPERLINK("https://www.suredividend.com/sure-analysis-research-database/","American Equity Investment Life Holding Co")</f>
        <v>0</v>
      </c>
      <c r="C70" t="s">
        <v>3221</v>
      </c>
      <c r="D70">
        <v>39.14</v>
      </c>
      <c r="E70">
        <v>0.008686765548704001</v>
      </c>
      <c r="H70">
        <v>0.340000003576278</v>
      </c>
      <c r="I70">
        <v>3794.59067</v>
      </c>
      <c r="J70">
        <v>8.818128659476619</v>
      </c>
      <c r="K70">
        <v>0.0747252755112699</v>
      </c>
      <c r="L70">
        <v>0.9829879608744181</v>
      </c>
      <c r="M70">
        <v>44.49</v>
      </c>
      <c r="N70">
        <v>27.12</v>
      </c>
    </row>
    <row r="71" spans="1:14">
      <c r="A71" s="1" t="s">
        <v>83</v>
      </c>
      <c r="B71">
        <f>HYPERLINK("https://www.suredividend.com/sure-analysis-research-database/","Aethlon Medical Inc")</f>
        <v>0</v>
      </c>
      <c r="C71" t="s">
        <v>3217</v>
      </c>
      <c r="D71">
        <v>1.24</v>
      </c>
      <c r="E71">
        <v>0</v>
      </c>
      <c r="H71">
        <v>0</v>
      </c>
      <c r="I71">
        <v>19.106206</v>
      </c>
      <c r="J71">
        <v>0</v>
      </c>
      <c r="K71" t="s">
        <v>3219</v>
      </c>
      <c r="L71">
        <v>0.5078095572229731</v>
      </c>
      <c r="M71">
        <v>12.49</v>
      </c>
      <c r="N71">
        <v>1.12</v>
      </c>
    </row>
    <row r="72" spans="1:14">
      <c r="A72" s="1" t="s">
        <v>84</v>
      </c>
      <c r="B72">
        <f>HYPERLINK("https://www.suredividend.com/sure-analysis-research-database/","American Eagle Outfitters Inc.")</f>
        <v>0</v>
      </c>
      <c r="C72" t="s">
        <v>3223</v>
      </c>
      <c r="D72">
        <v>17.5</v>
      </c>
      <c r="E72">
        <v>0.040630096919001</v>
      </c>
      <c r="H72">
        <v>0.711026696082518</v>
      </c>
      <c r="I72">
        <v>2954.74235</v>
      </c>
      <c r="J72">
        <v>7.04132066658882</v>
      </c>
      <c r="K72">
        <v>0.3502594561982847</v>
      </c>
      <c r="L72">
        <v>1.485594064970992</v>
      </c>
      <c r="M72">
        <v>38.07</v>
      </c>
      <c r="N72">
        <v>15.12</v>
      </c>
    </row>
    <row r="73" spans="1:14">
      <c r="A73" s="1" t="s">
        <v>85</v>
      </c>
      <c r="B73">
        <f>HYPERLINK("https://www.suredividend.com/sure-analysis-AEP/","American Electric Power Company Inc.")</f>
        <v>0</v>
      </c>
      <c r="C73" t="s">
        <v>3227</v>
      </c>
      <c r="D73">
        <v>102.04</v>
      </c>
      <c r="E73">
        <v>0.03057624460995688</v>
      </c>
      <c r="F73">
        <v>0.05405405405405417</v>
      </c>
      <c r="G73">
        <v>0.05742242952918142</v>
      </c>
      <c r="H73">
        <v>3.000796702964701</v>
      </c>
      <c r="I73">
        <v>51483.959554</v>
      </c>
      <c r="J73">
        <v>20.69207811325911</v>
      </c>
      <c r="K73">
        <v>0.6049993352751413</v>
      </c>
      <c r="L73">
        <v>0.233966415515474</v>
      </c>
      <c r="M73">
        <v>104.81</v>
      </c>
      <c r="N73">
        <v>79.44</v>
      </c>
    </row>
    <row r="74" spans="1:14">
      <c r="A74" s="1" t="s">
        <v>86</v>
      </c>
      <c r="B74">
        <f>HYPERLINK("https://www.suredividend.com/sure-analysis-research-database/","Aerie Pharmaceuticals Inc")</f>
        <v>0</v>
      </c>
      <c r="C74" t="s">
        <v>3217</v>
      </c>
      <c r="D74">
        <v>9.16</v>
      </c>
      <c r="E74">
        <v>0</v>
      </c>
      <c r="H74">
        <v>0</v>
      </c>
      <c r="I74">
        <v>443.269566</v>
      </c>
      <c r="J74" t="s">
        <v>3219</v>
      </c>
      <c r="K74">
        <v>-0</v>
      </c>
      <c r="L74">
        <v>1.245385214816484</v>
      </c>
      <c r="M74">
        <v>19.26</v>
      </c>
      <c r="N74">
        <v>5.46</v>
      </c>
    </row>
    <row r="75" spans="1:14">
      <c r="A75" s="1" t="s">
        <v>87</v>
      </c>
      <c r="B75">
        <f>HYPERLINK("https://www.suredividend.com/sure-analysis-AES/","AES Corp.")</f>
        <v>0</v>
      </c>
      <c r="C75" t="s">
        <v>3227</v>
      </c>
      <c r="D75">
        <v>24.41</v>
      </c>
      <c r="E75">
        <v>0.02580909463334699</v>
      </c>
      <c r="F75">
        <v>0.04983388704318936</v>
      </c>
      <c r="G75">
        <v>0.05656244096870955</v>
      </c>
      <c r="H75">
        <v>0.603568003760341</v>
      </c>
      <c r="I75">
        <v>16291.115416</v>
      </c>
      <c r="J75" t="s">
        <v>3219</v>
      </c>
      <c r="K75" t="s">
        <v>3219</v>
      </c>
      <c r="L75">
        <v>0.9251116668903371</v>
      </c>
      <c r="M75">
        <v>28.15</v>
      </c>
      <c r="N75">
        <v>19.76</v>
      </c>
    </row>
    <row r="76" spans="1:14">
      <c r="A76" s="1" t="s">
        <v>88</v>
      </c>
      <c r="B76">
        <f>HYPERLINK("https://www.suredividend.com/sure-analysis-research-database/","Addvantage Technologies Group")</f>
        <v>0</v>
      </c>
      <c r="C76" t="s">
        <v>3222</v>
      </c>
      <c r="D76">
        <v>1.19</v>
      </c>
      <c r="E76">
        <v>0</v>
      </c>
      <c r="H76">
        <v>0</v>
      </c>
      <c r="I76">
        <v>15.504661</v>
      </c>
      <c r="J76">
        <v>0</v>
      </c>
      <c r="K76" t="s">
        <v>3219</v>
      </c>
      <c r="L76">
        <v>1.295864121362592</v>
      </c>
      <c r="M76">
        <v>2.91</v>
      </c>
      <c r="N76">
        <v>1.09</v>
      </c>
    </row>
    <row r="77" spans="1:14">
      <c r="A77" s="1" t="s">
        <v>89</v>
      </c>
      <c r="B77">
        <f>HYPERLINK("https://www.suredividend.com/sure-analysis-research-database/","American Financial Group Inc")</f>
        <v>0</v>
      </c>
      <c r="C77" t="s">
        <v>3221</v>
      </c>
      <c r="D77">
        <v>146.67</v>
      </c>
      <c r="E77">
        <v>0.014176697943536</v>
      </c>
      <c r="F77">
        <v>-0.86</v>
      </c>
      <c r="G77">
        <v>0.06961037572506878</v>
      </c>
      <c r="H77">
        <v>2.079296287378518</v>
      </c>
      <c r="I77">
        <v>12480.241969</v>
      </c>
      <c r="J77">
        <v>6.255760385338346</v>
      </c>
      <c r="K77">
        <v>0.08920189993043837</v>
      </c>
      <c r="L77">
        <v>0.8528029309374771</v>
      </c>
      <c r="M77">
        <v>150.41</v>
      </c>
      <c r="N77">
        <v>94.06999999999999</v>
      </c>
    </row>
    <row r="78" spans="1:14">
      <c r="A78" s="1" t="s">
        <v>90</v>
      </c>
      <c r="B78">
        <f>HYPERLINK("https://www.suredividend.com/sure-analysis-research-database/","Armstrong Flooring Inc")</f>
        <v>0</v>
      </c>
      <c r="C78" t="s">
        <v>3220</v>
      </c>
      <c r="D78">
        <v>1.72</v>
      </c>
      <c r="E78">
        <v>0</v>
      </c>
      <c r="H78">
        <v>0</v>
      </c>
      <c r="I78">
        <v>37.460869</v>
      </c>
      <c r="J78" t="s">
        <v>3219</v>
      </c>
      <c r="K78">
        <v>-0</v>
      </c>
      <c r="L78">
        <v>1.084204872377094</v>
      </c>
      <c r="M78">
        <v>6.74</v>
      </c>
      <c r="N78">
        <v>1.3</v>
      </c>
    </row>
    <row r="79" spans="1:14">
      <c r="A79" s="1" t="s">
        <v>91</v>
      </c>
      <c r="B79">
        <f>HYPERLINK("https://www.suredividend.com/sure-analysis-AFL/","Aflac Inc.")</f>
        <v>0</v>
      </c>
      <c r="C79" t="s">
        <v>3221</v>
      </c>
      <c r="D79">
        <v>65.33</v>
      </c>
      <c r="E79">
        <v>0.02449104546150314</v>
      </c>
      <c r="F79">
        <v>0.2121212121212122</v>
      </c>
      <c r="G79">
        <v>-0.01436002927853708</v>
      </c>
      <c r="H79">
        <v>1.378203720386017</v>
      </c>
      <c r="I79">
        <v>42455.410964</v>
      </c>
      <c r="J79">
        <v>9.816279991618496</v>
      </c>
      <c r="K79">
        <v>0.2156813333937429</v>
      </c>
      <c r="L79">
        <v>0.7834932979440841</v>
      </c>
      <c r="M79">
        <v>66.55</v>
      </c>
      <c r="N79">
        <v>50.46</v>
      </c>
    </row>
    <row r="80" spans="1:14">
      <c r="A80" s="1" t="s">
        <v>92</v>
      </c>
      <c r="B80">
        <f>HYPERLINK("https://www.suredividend.com/sure-analysis-research-database/","AGCO Corp.")</f>
        <v>0</v>
      </c>
      <c r="C80" t="s">
        <v>3220</v>
      </c>
      <c r="D80">
        <v>141.51</v>
      </c>
      <c r="E80">
        <v>0.033738580681915</v>
      </c>
      <c r="F80">
        <v>-0.95</v>
      </c>
      <c r="G80">
        <v>0.07394092378577932</v>
      </c>
      <c r="H80">
        <v>4.774346552297828</v>
      </c>
      <c r="I80">
        <v>10548.369505</v>
      </c>
      <c r="J80">
        <v>11.75960925822742</v>
      </c>
      <c r="K80">
        <v>0.4028984432318843</v>
      </c>
      <c r="L80">
        <v>1.070710590036336</v>
      </c>
      <c r="M80">
        <v>154.94</v>
      </c>
      <c r="N80">
        <v>108.39</v>
      </c>
    </row>
    <row r="81" spans="1:14">
      <c r="A81" s="1" t="s">
        <v>93</v>
      </c>
      <c r="B81">
        <f>HYPERLINK("https://www.suredividend.com/sure-analysis-research-database/","AgeX Therapeutics Inc")</f>
        <v>0</v>
      </c>
      <c r="C81" t="s">
        <v>3217</v>
      </c>
      <c r="D81">
        <v>0.8891</v>
      </c>
      <c r="E81">
        <v>0</v>
      </c>
      <c r="H81">
        <v>0</v>
      </c>
      <c r="I81">
        <v>33.735178</v>
      </c>
      <c r="J81">
        <v>0</v>
      </c>
      <c r="K81" t="s">
        <v>3219</v>
      </c>
      <c r="L81">
        <v>0.6188643957116271</v>
      </c>
      <c r="M81">
        <v>1.77</v>
      </c>
      <c r="N81">
        <v>0.5162</v>
      </c>
    </row>
    <row r="82" spans="1:14">
      <c r="A82" s="1" t="s">
        <v>94</v>
      </c>
      <c r="B82">
        <f>HYPERLINK("https://www.suredividend.com/sure-analysis-research-database/","Agenus Inc")</f>
        <v>0</v>
      </c>
      <c r="C82" t="s">
        <v>3217</v>
      </c>
      <c r="D82">
        <v>2.34</v>
      </c>
      <c r="E82">
        <v>0</v>
      </c>
      <c r="H82">
        <v>0</v>
      </c>
      <c r="I82">
        <v>601.740032</v>
      </c>
      <c r="J82" t="s">
        <v>3219</v>
      </c>
      <c r="K82">
        <v>-0</v>
      </c>
      <c r="L82">
        <v>1.398095077170101</v>
      </c>
      <c r="M82">
        <v>6.79</v>
      </c>
      <c r="N82">
        <v>2.28</v>
      </c>
    </row>
    <row r="83" spans="1:14">
      <c r="A83" s="1" t="s">
        <v>95</v>
      </c>
      <c r="B83">
        <f>HYPERLINK("https://www.suredividend.com/sure-analysis-research-database/","AgroFresh Solutions Inc")</f>
        <v>0</v>
      </c>
      <c r="C83" t="s">
        <v>3225</v>
      </c>
      <c r="D83">
        <v>1.84</v>
      </c>
      <c r="E83">
        <v>0</v>
      </c>
      <c r="H83">
        <v>0</v>
      </c>
      <c r="I83">
        <v>96.447998</v>
      </c>
      <c r="J83">
        <v>0</v>
      </c>
      <c r="K83" t="s">
        <v>3219</v>
      </c>
      <c r="L83">
        <v>0.511892183603471</v>
      </c>
      <c r="M83">
        <v>2.52</v>
      </c>
      <c r="N83">
        <v>1.64</v>
      </c>
    </row>
    <row r="84" spans="1:14">
      <c r="A84" s="1" t="s">
        <v>96</v>
      </c>
      <c r="B84">
        <f>HYPERLINK("https://www.suredividend.com/sure-analysis-research-database/","Agios Pharmaceuticals Inc")</f>
        <v>0</v>
      </c>
      <c r="C84" t="s">
        <v>3217</v>
      </c>
      <c r="D84">
        <v>27.9</v>
      </c>
      <c r="E84">
        <v>0</v>
      </c>
      <c r="H84">
        <v>0</v>
      </c>
      <c r="I84">
        <v>1524.386278</v>
      </c>
      <c r="J84">
        <v>0.951739123423144</v>
      </c>
      <c r="K84">
        <v>0</v>
      </c>
      <c r="L84">
        <v>0.9950186265467201</v>
      </c>
      <c r="M84">
        <v>62.16</v>
      </c>
      <c r="N84">
        <v>26.51</v>
      </c>
    </row>
    <row r="85" spans="1:14">
      <c r="A85" s="1" t="s">
        <v>97</v>
      </c>
      <c r="B85">
        <f>HYPERLINK("https://www.suredividend.com/sure-analysis-research-database/","Aeglea BioTherapeutics Inc")</f>
        <v>0</v>
      </c>
      <c r="C85" t="s">
        <v>3217</v>
      </c>
      <c r="D85">
        <v>1.98</v>
      </c>
      <c r="E85">
        <v>0</v>
      </c>
      <c r="H85">
        <v>0</v>
      </c>
      <c r="I85">
        <v>97.736918</v>
      </c>
      <c r="J85">
        <v>0</v>
      </c>
      <c r="K85" t="s">
        <v>3219</v>
      </c>
      <c r="L85">
        <v>0.614195603210244</v>
      </c>
      <c r="M85">
        <v>8.68</v>
      </c>
      <c r="N85">
        <v>1.8</v>
      </c>
    </row>
    <row r="86" spans="1:14">
      <c r="A86" s="1" t="s">
        <v>98</v>
      </c>
      <c r="B86">
        <f>HYPERLINK("https://www.suredividend.com/sure-analysis-AGM/","Federal Agricultural Mortgage Corp.")</f>
        <v>0</v>
      </c>
      <c r="C86" t="s">
        <v>3221</v>
      </c>
      <c r="D86">
        <v>109.61</v>
      </c>
      <c r="E86">
        <v>0.03466836967429979</v>
      </c>
      <c r="F86">
        <v>0.07954545454545459</v>
      </c>
      <c r="G86">
        <v>0.2141832039839868</v>
      </c>
      <c r="H86">
        <v>3.549983035872408</v>
      </c>
      <c r="I86">
        <v>1123.697791</v>
      </c>
      <c r="J86">
        <v>10.44493824656312</v>
      </c>
      <c r="K86">
        <v>0.3578611931322992</v>
      </c>
      <c r="L86">
        <v>0.7724736429319691</v>
      </c>
      <c r="M86">
        <v>135</v>
      </c>
      <c r="N86">
        <v>92</v>
      </c>
    </row>
    <row r="87" spans="1:14">
      <c r="A87" s="1" t="s">
        <v>99</v>
      </c>
      <c r="B87">
        <f>HYPERLINK("https://www.suredividend.com/sure-analysis-AGNC/","AGNC Investment Corp")</f>
        <v>0</v>
      </c>
      <c r="C87" t="s">
        <v>3224</v>
      </c>
      <c r="D87">
        <v>12.48</v>
      </c>
      <c r="E87">
        <v>0.1153846153846154</v>
      </c>
      <c r="F87">
        <v>0</v>
      </c>
      <c r="G87">
        <v>0</v>
      </c>
      <c r="H87">
        <v>1.37788115224083</v>
      </c>
      <c r="I87">
        <v>6517.352924</v>
      </c>
      <c r="J87">
        <v>10.04214626218798</v>
      </c>
      <c r="K87">
        <v>1.129410780525271</v>
      </c>
      <c r="L87">
        <v>0.64248216297033</v>
      </c>
      <c r="M87">
        <v>17.42</v>
      </c>
      <c r="N87">
        <v>11.95</v>
      </c>
    </row>
    <row r="88" spans="1:14">
      <c r="A88" s="1" t="s">
        <v>100</v>
      </c>
      <c r="B88">
        <f>HYPERLINK("https://www.suredividend.com/sure-analysis-research-database/","Assured Guaranty Ltd")</f>
        <v>0</v>
      </c>
      <c r="C88" t="s">
        <v>3221</v>
      </c>
      <c r="D88">
        <v>60.4</v>
      </c>
      <c r="E88">
        <v>0.014975093515176</v>
      </c>
      <c r="F88">
        <v>0.1363636363636365</v>
      </c>
      <c r="G88">
        <v>0.11898696853861</v>
      </c>
      <c r="H88">
        <v>0.9044956483166521</v>
      </c>
      <c r="I88">
        <v>3967.763157</v>
      </c>
      <c r="J88">
        <v>10.19990528843188</v>
      </c>
      <c r="K88">
        <v>0.1726136733428725</v>
      </c>
      <c r="L88">
        <v>1.124163650733257</v>
      </c>
      <c r="M88">
        <v>65.68000000000001</v>
      </c>
      <c r="N88">
        <v>43.69</v>
      </c>
    </row>
    <row r="89" spans="1:14">
      <c r="A89" s="1" t="s">
        <v>101</v>
      </c>
      <c r="B89">
        <f>HYPERLINK("https://www.suredividend.com/sure-analysis-research-database/","Avangrid Inc")</f>
        <v>0</v>
      </c>
      <c r="C89" t="s">
        <v>3227</v>
      </c>
      <c r="D89">
        <v>48.93</v>
      </c>
      <c r="E89">
        <v>0.035476077258594</v>
      </c>
      <c r="F89">
        <v>0</v>
      </c>
      <c r="G89">
        <v>0.003676569796316587</v>
      </c>
      <c r="H89">
        <v>1.735844460263018</v>
      </c>
      <c r="I89">
        <v>18915.236781</v>
      </c>
      <c r="J89">
        <v>26.75422458475247</v>
      </c>
      <c r="K89">
        <v>0.881139319930466</v>
      </c>
      <c r="L89">
        <v>0.271103591119767</v>
      </c>
      <c r="M89">
        <v>54.3</v>
      </c>
      <c r="N89">
        <v>41.79</v>
      </c>
    </row>
    <row r="90" spans="1:14">
      <c r="A90" s="1" t="s">
        <v>102</v>
      </c>
      <c r="B90">
        <f>HYPERLINK("https://www.suredividend.com/sure-analysis-research-database/","Agile Therapeutics Inc")</f>
        <v>0</v>
      </c>
      <c r="C90" t="s">
        <v>3217</v>
      </c>
      <c r="D90">
        <v>0.1625</v>
      </c>
      <c r="E90">
        <v>0</v>
      </c>
      <c r="H90">
        <v>0</v>
      </c>
      <c r="I90">
        <v>21.87524</v>
      </c>
      <c r="J90">
        <v>0</v>
      </c>
      <c r="K90" t="s">
        <v>3219</v>
      </c>
      <c r="L90">
        <v>1.832395906388053</v>
      </c>
      <c r="M90">
        <v>1.97</v>
      </c>
      <c r="N90">
        <v>0.1255</v>
      </c>
    </row>
    <row r="91" spans="1:14">
      <c r="A91" s="1" t="s">
        <v>103</v>
      </c>
      <c r="B91">
        <f>HYPERLINK("https://www.suredividend.com/sure-analysis-research-database/","PlayAGS Inc")</f>
        <v>0</v>
      </c>
      <c r="C91" t="s">
        <v>3223</v>
      </c>
      <c r="D91">
        <v>6.05</v>
      </c>
      <c r="E91">
        <v>0</v>
      </c>
      <c r="H91">
        <v>0</v>
      </c>
      <c r="I91">
        <v>223.655856</v>
      </c>
      <c r="J91">
        <v>0</v>
      </c>
      <c r="K91" t="s">
        <v>3219</v>
      </c>
      <c r="L91">
        <v>1.220845534415671</v>
      </c>
      <c r="M91">
        <v>11.32</v>
      </c>
      <c r="N91">
        <v>5.46</v>
      </c>
    </row>
    <row r="92" spans="1:14">
      <c r="A92" s="1" t="s">
        <v>104</v>
      </c>
      <c r="B92">
        <f>HYPERLINK("https://www.suredividend.com/sure-analysis-research-database/","Applied Genetic Technologies Corp")</f>
        <v>0</v>
      </c>
      <c r="C92" t="s">
        <v>3217</v>
      </c>
      <c r="D92">
        <v>1.1</v>
      </c>
      <c r="E92">
        <v>0</v>
      </c>
      <c r="H92">
        <v>0</v>
      </c>
      <c r="I92">
        <v>47.213451</v>
      </c>
      <c r="J92">
        <v>0</v>
      </c>
      <c r="K92" t="s">
        <v>3219</v>
      </c>
      <c r="L92">
        <v>1.309994425831005</v>
      </c>
      <c r="M92">
        <v>4.65</v>
      </c>
      <c r="N92">
        <v>0.96</v>
      </c>
    </row>
    <row r="93" spans="1:14">
      <c r="A93" s="1" t="s">
        <v>105</v>
      </c>
      <c r="B93">
        <f>HYPERLINK("https://www.suredividend.com/sure-analysis-research-database/","Argan, Inc.")</f>
        <v>0</v>
      </c>
      <c r="C93" t="s">
        <v>3220</v>
      </c>
      <c r="D93">
        <v>36.99</v>
      </c>
      <c r="E93">
        <v>0.026791645148557</v>
      </c>
      <c r="H93">
        <v>0.9910229540451511</v>
      </c>
      <c r="I93">
        <v>548.029377</v>
      </c>
      <c r="J93">
        <v>14.32981322325071</v>
      </c>
      <c r="K93">
        <v>0.4129262308521463</v>
      </c>
      <c r="L93">
        <v>0.4890872063169751</v>
      </c>
      <c r="M93">
        <v>53.38</v>
      </c>
      <c r="N93">
        <v>36.36</v>
      </c>
    </row>
    <row r="94" spans="1:14">
      <c r="A94" s="1" t="s">
        <v>106</v>
      </c>
      <c r="B94">
        <f>HYPERLINK("https://www.suredividend.com/sure-analysis-research-database/","Agilysys, Inc")</f>
        <v>0</v>
      </c>
      <c r="C94" t="s">
        <v>3222</v>
      </c>
      <c r="D94">
        <v>38.05</v>
      </c>
      <c r="E94">
        <v>0</v>
      </c>
      <c r="H94">
        <v>0</v>
      </c>
      <c r="I94">
        <v>940.380333</v>
      </c>
      <c r="J94" t="s">
        <v>3219</v>
      </c>
      <c r="K94">
        <v>-0</v>
      </c>
      <c r="L94">
        <v>1.60940510544794</v>
      </c>
      <c r="M94">
        <v>59.6</v>
      </c>
      <c r="N94">
        <v>33.63</v>
      </c>
    </row>
    <row r="95" spans="1:14">
      <c r="A95" s="1" t="s">
        <v>107</v>
      </c>
      <c r="B95">
        <f>HYPERLINK("https://www.suredividend.com/sure-analysis-research-database/","A.H. Belo Corp")</f>
        <v>0</v>
      </c>
      <c r="C95" t="s">
        <v>3228</v>
      </c>
      <c r="D95">
        <v>6.58</v>
      </c>
      <c r="E95">
        <v>0.08214878876362301</v>
      </c>
      <c r="H95">
        <v>0.62104484305299</v>
      </c>
      <c r="I95">
        <v>143.197135</v>
      </c>
      <c r="J95" t="s">
        <v>3219</v>
      </c>
      <c r="K95" t="s">
        <v>3219</v>
      </c>
      <c r="L95">
        <v>-0.07341366974298701</v>
      </c>
      <c r="M95">
        <v>12.18</v>
      </c>
      <c r="N95">
        <v>4.95</v>
      </c>
    </row>
    <row r="96" spans="1:14">
      <c r="A96" s="1" t="s">
        <v>108</v>
      </c>
      <c r="B96">
        <f>HYPERLINK("https://www.suredividend.com/sure-analysis-research-database/","Armada Hoffler Properties Inc")</f>
        <v>0</v>
      </c>
      <c r="C96" t="s">
        <v>3224</v>
      </c>
      <c r="D96">
        <v>14.23</v>
      </c>
      <c r="E96">
        <v>0.045603521999381</v>
      </c>
      <c r="H96">
        <v>0.6489381180512011</v>
      </c>
      <c r="I96">
        <v>958.024974</v>
      </c>
      <c r="J96">
        <v>92.6164901382444</v>
      </c>
      <c r="K96">
        <v>3.803857667357568</v>
      </c>
      <c r="L96">
        <v>0.7330916546250581</v>
      </c>
      <c r="M96">
        <v>15.62</v>
      </c>
      <c r="N96">
        <v>12.04</v>
      </c>
    </row>
    <row r="97" spans="1:14">
      <c r="A97" s="1" t="s">
        <v>109</v>
      </c>
      <c r="B97">
        <f>HYPERLINK("https://www.suredividend.com/sure-analysis-research-database/","Ashford Hospitality Trust Inc")</f>
        <v>0</v>
      </c>
      <c r="C97" t="s">
        <v>3224</v>
      </c>
      <c r="D97">
        <v>8.359999999999999</v>
      </c>
      <c r="E97">
        <v>0</v>
      </c>
      <c r="H97">
        <v>0</v>
      </c>
      <c r="I97">
        <v>288.244917</v>
      </c>
      <c r="J97" t="s">
        <v>3219</v>
      </c>
      <c r="K97">
        <v>-0</v>
      </c>
      <c r="L97">
        <v>2.126110774271663</v>
      </c>
      <c r="M97">
        <v>77.90000000000001</v>
      </c>
      <c r="N97">
        <v>6.56</v>
      </c>
    </row>
    <row r="98" spans="1:14">
      <c r="A98" s="1" t="s">
        <v>110</v>
      </c>
      <c r="B98">
        <f>HYPERLINK("https://www.suredividend.com/sure-analysis-research-database/","American International Group Inc")</f>
        <v>0</v>
      </c>
      <c r="C98" t="s">
        <v>3221</v>
      </c>
      <c r="D98">
        <v>63.03</v>
      </c>
      <c r="E98">
        <v>0.020135921417212</v>
      </c>
      <c r="F98">
        <v>0</v>
      </c>
      <c r="G98">
        <v>0</v>
      </c>
      <c r="H98">
        <v>1.269167126926875</v>
      </c>
      <c r="I98">
        <v>50817.78503</v>
      </c>
      <c r="J98">
        <v>5.42983064755102</v>
      </c>
      <c r="K98">
        <v>0.1172982557233711</v>
      </c>
      <c r="L98">
        <v>1.048563956147706</v>
      </c>
      <c r="M98">
        <v>64.90000000000001</v>
      </c>
      <c r="N98">
        <v>43.78</v>
      </c>
    </row>
    <row r="99" spans="1:14">
      <c r="A99" s="1" t="s">
        <v>111</v>
      </c>
      <c r="B99">
        <f>HYPERLINK("https://www.suredividend.com/sure-analysis-research-database/","Altra Industrial Motion Corp")</f>
        <v>0</v>
      </c>
      <c r="C99" t="s">
        <v>3220</v>
      </c>
      <c r="D99">
        <v>35.63</v>
      </c>
      <c r="E99">
        <v>0.008956957372296001</v>
      </c>
      <c r="F99">
        <v>0.3333333333333335</v>
      </c>
      <c r="G99">
        <v>-0.1399410628175578</v>
      </c>
      <c r="H99">
        <v>0.31913639117494</v>
      </c>
      <c r="I99">
        <v>2318.055626</v>
      </c>
      <c r="J99">
        <v>83.68431863212997</v>
      </c>
      <c r="K99">
        <v>0.7535688103304368</v>
      </c>
      <c r="L99">
        <v>1.432633735180203</v>
      </c>
      <c r="M99">
        <v>67.64</v>
      </c>
      <c r="N99">
        <v>33.88</v>
      </c>
    </row>
    <row r="100" spans="1:14">
      <c r="A100" s="1" t="s">
        <v>112</v>
      </c>
      <c r="B100">
        <f>HYPERLINK("https://www.suredividend.com/sure-analysis-research-database/","Aimmune Therapeutics Inc")</f>
        <v>0</v>
      </c>
      <c r="C100" t="s">
        <v>3217</v>
      </c>
      <c r="D100">
        <v>34.49</v>
      </c>
      <c r="E100">
        <v>0</v>
      </c>
      <c r="H100">
        <v>0</v>
      </c>
      <c r="I100">
        <v>0</v>
      </c>
      <c r="J100">
        <v>0</v>
      </c>
      <c r="K100" t="s">
        <v>3219</v>
      </c>
    </row>
    <row r="101" spans="1:14">
      <c r="A101" s="1" t="s">
        <v>113</v>
      </c>
      <c r="B101">
        <f>HYPERLINK("https://www.suredividend.com/sure-analysis-research-database/","Albany International Corp.")</f>
        <v>0</v>
      </c>
      <c r="C101" t="s">
        <v>3223</v>
      </c>
      <c r="D101">
        <v>81.75</v>
      </c>
      <c r="E101">
        <v>0.009994761236192001</v>
      </c>
      <c r="F101">
        <v>0.04999999999999982</v>
      </c>
      <c r="G101">
        <v>0.04316756381013498</v>
      </c>
      <c r="H101">
        <v>0.817071731058702</v>
      </c>
      <c r="I101">
        <v>2593.134607</v>
      </c>
      <c r="J101">
        <v>21.88705588168268</v>
      </c>
      <c r="K101">
        <v>0.223855268783206</v>
      </c>
      <c r="L101">
        <v>1.038697359453264</v>
      </c>
      <c r="M101">
        <v>92.75</v>
      </c>
      <c r="N101">
        <v>73.63</v>
      </c>
    </row>
    <row r="102" spans="1:14">
      <c r="A102" s="1" t="s">
        <v>114</v>
      </c>
      <c r="B102">
        <f>HYPERLINK("https://www.suredividend.com/sure-analysis-research-database/","Ashford Inc")</f>
        <v>0</v>
      </c>
      <c r="C102" t="s">
        <v>3221</v>
      </c>
      <c r="D102">
        <v>17.24</v>
      </c>
      <c r="E102">
        <v>0</v>
      </c>
      <c r="H102">
        <v>0</v>
      </c>
      <c r="I102">
        <v>52.000184</v>
      </c>
      <c r="J102">
        <v>0</v>
      </c>
      <c r="K102" t="s">
        <v>3219</v>
      </c>
      <c r="L102">
        <v>1.363716480502228</v>
      </c>
      <c r="M102">
        <v>28.27</v>
      </c>
      <c r="N102">
        <v>7.79</v>
      </c>
    </row>
    <row r="103" spans="1:14">
      <c r="A103" s="1" t="s">
        <v>115</v>
      </c>
      <c r="B103">
        <f>HYPERLINK("https://www.suredividend.com/sure-analysis-research-database/","AAR Corp.")</f>
        <v>0</v>
      </c>
      <c r="C103" t="s">
        <v>3220</v>
      </c>
      <c r="D103">
        <v>50.52</v>
      </c>
      <c r="E103">
        <v>0</v>
      </c>
      <c r="H103">
        <v>0</v>
      </c>
      <c r="I103">
        <v>1778.136122</v>
      </c>
      <c r="J103">
        <v>25.95819156262774</v>
      </c>
      <c r="K103">
        <v>0</v>
      </c>
      <c r="L103">
        <v>1.023398844231011</v>
      </c>
      <c r="M103">
        <v>51.4</v>
      </c>
      <c r="N103">
        <v>30.9</v>
      </c>
    </row>
    <row r="104" spans="1:14">
      <c r="A104" s="1" t="s">
        <v>116</v>
      </c>
      <c r="B104">
        <f>HYPERLINK("https://www.suredividend.com/sure-analysis-research-database/","Airgain Inc")</f>
        <v>0</v>
      </c>
      <c r="C104" t="s">
        <v>3222</v>
      </c>
      <c r="D104">
        <v>8.32</v>
      </c>
      <c r="E104">
        <v>0</v>
      </c>
      <c r="H104">
        <v>0</v>
      </c>
      <c r="I104">
        <v>84.7599</v>
      </c>
      <c r="J104" t="s">
        <v>3219</v>
      </c>
      <c r="K104">
        <v>-0</v>
      </c>
      <c r="L104">
        <v>0.820299032405654</v>
      </c>
      <c r="M104">
        <v>24.48</v>
      </c>
      <c r="N104">
        <v>6.79</v>
      </c>
    </row>
    <row r="105" spans="1:14">
      <c r="A105" s="1" t="s">
        <v>117</v>
      </c>
      <c r="B105">
        <f>HYPERLINK("https://www.suredividend.com/sure-analysis-research-database/","Air Industries Group")</f>
        <v>0</v>
      </c>
      <c r="C105" t="s">
        <v>3220</v>
      </c>
      <c r="D105">
        <v>0.8254</v>
      </c>
      <c r="E105">
        <v>0</v>
      </c>
      <c r="H105">
        <v>0</v>
      </c>
      <c r="I105">
        <v>26.564031</v>
      </c>
      <c r="J105">
        <v>0</v>
      </c>
      <c r="K105" t="s">
        <v>3219</v>
      </c>
      <c r="L105">
        <v>0.6867103337405791</v>
      </c>
      <c r="M105">
        <v>1.44</v>
      </c>
      <c r="N105">
        <v>0.756</v>
      </c>
    </row>
    <row r="106" spans="1:14">
      <c r="A106" s="1" t="s">
        <v>118</v>
      </c>
      <c r="B106">
        <f>HYPERLINK("https://www.suredividend.com/sure-analysis-research-database/","Air T Inc")</f>
        <v>0</v>
      </c>
      <c r="C106" t="s">
        <v>3220</v>
      </c>
      <c r="D106">
        <v>18.4124</v>
      </c>
      <c r="E106">
        <v>0</v>
      </c>
      <c r="H106">
        <v>0</v>
      </c>
      <c r="I106">
        <v>52.971609</v>
      </c>
      <c r="J106">
        <v>54.72273700123968</v>
      </c>
      <c r="K106">
        <v>0</v>
      </c>
      <c r="M106">
        <v>43.05</v>
      </c>
      <c r="N106">
        <v>17.02</v>
      </c>
    </row>
    <row r="107" spans="1:14">
      <c r="A107" s="1" t="s">
        <v>119</v>
      </c>
      <c r="B107">
        <f>HYPERLINK("https://www.suredividend.com/sure-analysis-research-database/","Applied Industrial Technologies Inc.")</f>
        <v>0</v>
      </c>
      <c r="C107" t="s">
        <v>3220</v>
      </c>
      <c r="D107">
        <v>97.92</v>
      </c>
      <c r="E107">
        <v>0.013512978351015</v>
      </c>
      <c r="F107">
        <v>0.03030303030303028</v>
      </c>
      <c r="G107">
        <v>0.03232437953530787</v>
      </c>
      <c r="H107">
        <v>1.323190840131438</v>
      </c>
      <c r="I107">
        <v>3765.66234</v>
      </c>
      <c r="J107">
        <v>16.71384337680092</v>
      </c>
      <c r="K107">
        <v>0.2313270699530486</v>
      </c>
      <c r="L107">
        <v>0.968702462093691</v>
      </c>
      <c r="M107">
        <v>109.48</v>
      </c>
      <c r="N107">
        <v>80.38</v>
      </c>
    </row>
    <row r="108" spans="1:14">
      <c r="A108" s="1" t="s">
        <v>120</v>
      </c>
      <c r="B108">
        <f>HYPERLINK("https://www.suredividend.com/sure-analysis-research-database/","Apartment Investment &amp; Management Co.")</f>
        <v>0</v>
      </c>
      <c r="C108" t="s">
        <v>3224</v>
      </c>
      <c r="D108">
        <v>6.92</v>
      </c>
      <c r="E108">
        <v>0</v>
      </c>
      <c r="H108">
        <v>0</v>
      </c>
      <c r="I108">
        <v>1055.689395</v>
      </c>
      <c r="J108" t="s">
        <v>3219</v>
      </c>
      <c r="K108">
        <v>-0</v>
      </c>
      <c r="L108">
        <v>1.118395572292659</v>
      </c>
      <c r="M108">
        <v>8.16</v>
      </c>
      <c r="N108">
        <v>6.26</v>
      </c>
    </row>
    <row r="109" spans="1:14">
      <c r="A109" s="1" t="s">
        <v>121</v>
      </c>
      <c r="B109">
        <f>HYPERLINK("https://www.suredividend.com/sure-analysis-AIZ/","Assurant Inc")</f>
        <v>0</v>
      </c>
      <c r="C109" t="s">
        <v>3221</v>
      </c>
      <c r="D109">
        <v>189.3</v>
      </c>
      <c r="E109">
        <v>0.01436872688853671</v>
      </c>
      <c r="F109">
        <v>0.03030303030303028</v>
      </c>
      <c r="G109">
        <v>0.05110622618577221</v>
      </c>
      <c r="H109">
        <v>2.669087700292698</v>
      </c>
      <c r="I109">
        <v>10924.200877</v>
      </c>
      <c r="J109">
        <v>7.98727855319149</v>
      </c>
      <c r="K109">
        <v>0.1173225362766021</v>
      </c>
      <c r="L109">
        <v>0.730061070313054</v>
      </c>
      <c r="M109">
        <v>190.19</v>
      </c>
      <c r="N109">
        <v>143.58</v>
      </c>
    </row>
    <row r="110" spans="1:14">
      <c r="A110" s="1" t="s">
        <v>122</v>
      </c>
      <c r="B110">
        <f>HYPERLINK("https://www.suredividend.com/sure-analysis-AJG/","Arthur J. Gallagher &amp; Co.")</f>
        <v>0</v>
      </c>
      <c r="C110" t="s">
        <v>3221</v>
      </c>
      <c r="D110">
        <v>180.61</v>
      </c>
      <c r="E110">
        <v>0.01129505564475943</v>
      </c>
      <c r="F110">
        <v>0.0625</v>
      </c>
      <c r="G110">
        <v>0.05511819868320456</v>
      </c>
      <c r="H110">
        <v>1.940959751157363</v>
      </c>
      <c r="I110">
        <v>37858.412173</v>
      </c>
      <c r="J110">
        <v>41.74946203499118</v>
      </c>
      <c r="K110">
        <v>0.4441555494639275</v>
      </c>
      <c r="L110">
        <v>0.882848974945396</v>
      </c>
      <c r="M110">
        <v>184.92</v>
      </c>
      <c r="N110">
        <v>133.13</v>
      </c>
    </row>
    <row r="111" spans="1:14">
      <c r="A111" s="1" t="s">
        <v>123</v>
      </c>
      <c r="B111">
        <f>HYPERLINK("https://www.suredividend.com/sure-analysis-research-database/","Aerojet Rocketdyne Holdings Inc")</f>
        <v>0</v>
      </c>
      <c r="C111" t="s">
        <v>3220</v>
      </c>
      <c r="D111">
        <v>43.17</v>
      </c>
      <c r="E111">
        <v>0</v>
      </c>
      <c r="H111">
        <v>0</v>
      </c>
      <c r="I111">
        <v>3477.092984</v>
      </c>
      <c r="J111">
        <v>24.34939064768908</v>
      </c>
      <c r="K111">
        <v>0</v>
      </c>
      <c r="L111">
        <v>0.11229486754067</v>
      </c>
      <c r="M111">
        <v>49.84</v>
      </c>
      <c r="N111">
        <v>35.47</v>
      </c>
    </row>
    <row r="112" spans="1:14">
      <c r="A112" s="1" t="s">
        <v>124</v>
      </c>
      <c r="B112">
        <f>HYPERLINK("https://www.suredividend.com/sure-analysis-research-database/","Great Ajax Corp")</f>
        <v>0</v>
      </c>
      <c r="C112" t="s">
        <v>3224</v>
      </c>
      <c r="D112">
        <v>10.4</v>
      </c>
      <c r="E112">
        <v>0.08381405559868901</v>
      </c>
      <c r="F112">
        <v>0.2380952380952381</v>
      </c>
      <c r="G112">
        <v>-0.0282144910993144</v>
      </c>
      <c r="H112">
        <v>0.871666178226368</v>
      </c>
      <c r="I112">
        <v>240.752533</v>
      </c>
      <c r="J112">
        <v>0</v>
      </c>
      <c r="K112" t="s">
        <v>3219</v>
      </c>
      <c r="L112">
        <v>0.593057500464066</v>
      </c>
      <c r="M112">
        <v>14.06</v>
      </c>
      <c r="N112">
        <v>10.17</v>
      </c>
    </row>
    <row r="113" spans="1:14">
      <c r="A113" s="1" t="s">
        <v>125</v>
      </c>
      <c r="B113">
        <f>HYPERLINK("https://www.suredividend.com/sure-analysis-research-database/","Akamai Technologies Inc")</f>
        <v>0</v>
      </c>
      <c r="C113" t="s">
        <v>3222</v>
      </c>
      <c r="D113">
        <v>118.99</v>
      </c>
      <c r="E113">
        <v>0</v>
      </c>
      <c r="H113">
        <v>0</v>
      </c>
      <c r="I113">
        <v>19145.320487</v>
      </c>
      <c r="J113">
        <v>29.38012050685806</v>
      </c>
      <c r="K113">
        <v>0</v>
      </c>
      <c r="L113">
        <v>0.732191558523796</v>
      </c>
      <c r="M113">
        <v>122.01</v>
      </c>
      <c r="N113">
        <v>96.86</v>
      </c>
    </row>
    <row r="114" spans="1:14">
      <c r="A114" s="1" t="s">
        <v>126</v>
      </c>
      <c r="B114">
        <f>HYPERLINK("https://www.suredividend.com/sure-analysis-research-database/","Akebia Therapeutics Inc.")</f>
        <v>0</v>
      </c>
      <c r="C114" t="s">
        <v>3217</v>
      </c>
      <c r="D114">
        <v>0.5382</v>
      </c>
      <c r="E114">
        <v>0</v>
      </c>
      <c r="H114">
        <v>0</v>
      </c>
      <c r="I114">
        <v>94.16369400000001</v>
      </c>
      <c r="J114">
        <v>0</v>
      </c>
      <c r="K114" t="s">
        <v>3219</v>
      </c>
      <c r="L114">
        <v>1.65213262496294</v>
      </c>
      <c r="M114">
        <v>4.33</v>
      </c>
      <c r="N114">
        <v>0.47</v>
      </c>
    </row>
    <row r="115" spans="1:14">
      <c r="A115" s="1" t="s">
        <v>127</v>
      </c>
      <c r="B115">
        <f>HYPERLINK("https://www.suredividend.com/sure-analysis-research-database/","Akcea Therapeutics Inc")</f>
        <v>0</v>
      </c>
      <c r="C115" t="s">
        <v>3217</v>
      </c>
      <c r="D115">
        <v>18.17</v>
      </c>
      <c r="E115">
        <v>0</v>
      </c>
      <c r="H115">
        <v>0</v>
      </c>
      <c r="I115">
        <v>0</v>
      </c>
      <c r="J115">
        <v>0</v>
      </c>
      <c r="K115" t="s">
        <v>3219</v>
      </c>
    </row>
    <row r="116" spans="1:14">
      <c r="A116" s="1" t="s">
        <v>128</v>
      </c>
      <c r="B116">
        <f>HYPERLINK("https://www.suredividend.com/sure-analysis-AKR/","Acadia Realty Trust")</f>
        <v>0</v>
      </c>
      <c r="C116" t="s">
        <v>3224</v>
      </c>
      <c r="D116">
        <v>21.19</v>
      </c>
      <c r="E116">
        <v>0.0339782916470033</v>
      </c>
      <c r="H116">
        <v>0.6232578061898351</v>
      </c>
      <c r="I116">
        <v>1983.781058</v>
      </c>
      <c r="J116">
        <v>86.53729969551563</v>
      </c>
      <c r="K116">
        <v>2.383395052351186</v>
      </c>
      <c r="L116">
        <v>0.9437897772622351</v>
      </c>
      <c r="M116">
        <v>22.98</v>
      </c>
      <c r="N116">
        <v>18.45</v>
      </c>
    </row>
    <row r="117" spans="1:14">
      <c r="A117" s="1" t="s">
        <v>129</v>
      </c>
      <c r="B117">
        <f>HYPERLINK("https://www.suredividend.com/sure-analysis-research-database/","Akoustis Technologies Inc")</f>
        <v>0</v>
      </c>
      <c r="C117" t="s">
        <v>3222</v>
      </c>
      <c r="D117">
        <v>5.56</v>
      </c>
      <c r="E117">
        <v>0</v>
      </c>
      <c r="H117">
        <v>0</v>
      </c>
      <c r="I117">
        <v>303.978355</v>
      </c>
      <c r="J117">
        <v>0</v>
      </c>
      <c r="K117" t="s">
        <v>3219</v>
      </c>
      <c r="L117">
        <v>2.151607634365056</v>
      </c>
      <c r="M117">
        <v>12.87</v>
      </c>
      <c r="N117">
        <v>4.58</v>
      </c>
    </row>
    <row r="118" spans="1:14">
      <c r="A118" s="1" t="s">
        <v>130</v>
      </c>
      <c r="B118">
        <f>HYPERLINK("https://www.suredividend.com/sure-analysis-research-database/","Air Lease Corp")</f>
        <v>0</v>
      </c>
      <c r="C118" t="s">
        <v>3220</v>
      </c>
      <c r="D118">
        <v>43.32</v>
      </c>
      <c r="E118">
        <v>0.015828641266143</v>
      </c>
      <c r="F118">
        <v>0.15625</v>
      </c>
      <c r="G118">
        <v>0.1979042148823589</v>
      </c>
      <c r="H118">
        <v>0.6856967396493251</v>
      </c>
      <c r="I118">
        <v>4949.270969</v>
      </c>
      <c r="J118">
        <v>12.12584058830015</v>
      </c>
      <c r="K118">
        <v>0.1920719158681583</v>
      </c>
      <c r="L118">
        <v>1.352050334074221</v>
      </c>
      <c r="M118">
        <v>50.54</v>
      </c>
      <c r="N118">
        <v>33.26</v>
      </c>
    </row>
    <row r="119" spans="1:14">
      <c r="A119" s="1" t="s">
        <v>131</v>
      </c>
      <c r="B119">
        <f>HYPERLINK("https://www.suredividend.com/sure-analysis-ALB/","Albemarle Corp.")</f>
        <v>0</v>
      </c>
      <c r="C119" t="s">
        <v>3218</v>
      </c>
      <c r="D119">
        <v>210.89</v>
      </c>
      <c r="E119">
        <v>0.007397221300203899</v>
      </c>
      <c r="F119">
        <v>0.01282051282051277</v>
      </c>
      <c r="G119">
        <v>0.04301228432069748</v>
      </c>
      <c r="H119">
        <v>1.560669914775504</v>
      </c>
      <c r="I119">
        <v>24697.832771</v>
      </c>
      <c r="J119">
        <v>199.704320870205</v>
      </c>
      <c r="K119">
        <v>1.472330108278777</v>
      </c>
      <c r="L119">
        <v>1.83788511305588</v>
      </c>
      <c r="M119">
        <v>290.4</v>
      </c>
      <c r="N119">
        <v>145.41</v>
      </c>
    </row>
    <row r="120" spans="1:14">
      <c r="A120" s="1" t="s">
        <v>132</v>
      </c>
      <c r="B120">
        <f>HYPERLINK("https://www.suredividend.com/sure-analysis-research-database/","Albireo Pharma Inc")</f>
        <v>0</v>
      </c>
      <c r="C120" t="s">
        <v>3217</v>
      </c>
      <c r="D120">
        <v>36.55</v>
      </c>
      <c r="E120">
        <v>0</v>
      </c>
      <c r="H120">
        <v>0</v>
      </c>
      <c r="I120">
        <v>707.677372</v>
      </c>
      <c r="J120" t="s">
        <v>3219</v>
      </c>
      <c r="K120">
        <v>-0</v>
      </c>
      <c r="L120">
        <v>0.7881398392791881</v>
      </c>
      <c r="M120">
        <v>37.86</v>
      </c>
      <c r="N120">
        <v>20.3</v>
      </c>
    </row>
    <row r="121" spans="1:14">
      <c r="A121" s="1" t="s">
        <v>133</v>
      </c>
      <c r="B121">
        <f>HYPERLINK("https://www.suredividend.com/sure-analysis-research-database/","Alico Inc.")</f>
        <v>0</v>
      </c>
      <c r="C121" t="s">
        <v>3225</v>
      </c>
      <c r="D121">
        <v>40.36</v>
      </c>
      <c r="E121">
        <v>0.048544518492619</v>
      </c>
      <c r="F121">
        <v>1.777777777777778</v>
      </c>
      <c r="G121">
        <v>0.5281421358157987</v>
      </c>
      <c r="H121">
        <v>1.959256766362126</v>
      </c>
      <c r="I121">
        <v>304.532869</v>
      </c>
      <c r="J121">
        <v>7.401455065743104</v>
      </c>
      <c r="K121">
        <v>0.3581822241978293</v>
      </c>
      <c r="L121">
        <v>0.227988594452254</v>
      </c>
      <c r="M121">
        <v>40.45</v>
      </c>
      <c r="N121">
        <v>27.14</v>
      </c>
    </row>
    <row r="122" spans="1:14">
      <c r="A122" s="1" t="s">
        <v>134</v>
      </c>
      <c r="B122">
        <f>HYPERLINK("https://www.suredividend.com/sure-analysis-research-database/","Aldeyra Therapeutics Inc")</f>
        <v>0</v>
      </c>
      <c r="C122" t="s">
        <v>3217</v>
      </c>
      <c r="D122">
        <v>4.56</v>
      </c>
      <c r="E122">
        <v>0</v>
      </c>
      <c r="H122">
        <v>0</v>
      </c>
      <c r="I122">
        <v>264.93128</v>
      </c>
      <c r="J122">
        <v>0</v>
      </c>
      <c r="K122" t="s">
        <v>3219</v>
      </c>
      <c r="L122">
        <v>1.186036638115603</v>
      </c>
      <c r="M122">
        <v>15.95</v>
      </c>
      <c r="N122">
        <v>3</v>
      </c>
    </row>
    <row r="123" spans="1:14">
      <c r="A123" s="1" t="s">
        <v>135</v>
      </c>
      <c r="B123">
        <f>HYPERLINK("https://www.suredividend.com/sure-analysis-ALE/","Allete, Inc.")</f>
        <v>0</v>
      </c>
      <c r="C123" t="s">
        <v>3227</v>
      </c>
      <c r="D123">
        <v>63.44</v>
      </c>
      <c r="E123">
        <v>0.04098360655737705</v>
      </c>
      <c r="F123">
        <v>0.03174603174603186</v>
      </c>
      <c r="G123">
        <v>0.03970926709216616</v>
      </c>
      <c r="H123">
        <v>2.502640339396702</v>
      </c>
      <c r="I123">
        <v>3381.666028</v>
      </c>
      <c r="J123">
        <v>19.9862058392435</v>
      </c>
      <c r="K123">
        <v>0.7772174967070503</v>
      </c>
      <c r="L123">
        <v>0.485159634917517</v>
      </c>
      <c r="M123">
        <v>71</v>
      </c>
      <c r="N123">
        <v>55.7</v>
      </c>
    </row>
    <row r="124" spans="1:14">
      <c r="A124" s="1" t="s">
        <v>136</v>
      </c>
      <c r="B124">
        <f>HYPERLINK("https://www.suredividend.com/sure-analysis-research-database/","Alector Inc")</f>
        <v>0</v>
      </c>
      <c r="C124" t="s">
        <v>3217</v>
      </c>
      <c r="D124">
        <v>11.465</v>
      </c>
      <c r="E124">
        <v>0</v>
      </c>
      <c r="H124">
        <v>0</v>
      </c>
      <c r="I124">
        <v>940.586009</v>
      </c>
      <c r="J124">
        <v>0</v>
      </c>
      <c r="K124" t="s">
        <v>3219</v>
      </c>
      <c r="L124">
        <v>1.635410829766328</v>
      </c>
      <c r="M124">
        <v>43.32</v>
      </c>
      <c r="N124">
        <v>11.21</v>
      </c>
    </row>
    <row r="125" spans="1:14">
      <c r="A125" s="1" t="s">
        <v>137</v>
      </c>
      <c r="B125">
        <f>HYPERLINK("https://www.suredividend.com/sure-analysis-research-database/","Alexander &amp; Baldwin Inc.")</f>
        <v>0</v>
      </c>
      <c r="C125" t="s">
        <v>3224</v>
      </c>
      <c r="D125">
        <v>22.5</v>
      </c>
      <c r="E125">
        <v>0.031205867270224</v>
      </c>
      <c r="H125">
        <v>0.7021320135800541</v>
      </c>
      <c r="I125">
        <v>1635.30819</v>
      </c>
      <c r="J125">
        <v>46.19514661016949</v>
      </c>
      <c r="K125">
        <v>1.439975417514467</v>
      </c>
      <c r="L125">
        <v>0.944514906979194</v>
      </c>
      <c r="M125">
        <v>26.16</v>
      </c>
      <c r="N125">
        <v>16.67</v>
      </c>
    </row>
    <row r="126" spans="1:14">
      <c r="A126" s="1" t="s">
        <v>138</v>
      </c>
      <c r="B126">
        <f>HYPERLINK("https://www.suredividend.com/sure-analysis-research-database/","Alamo Group Inc.")</f>
        <v>0</v>
      </c>
      <c r="C126" t="s">
        <v>3220</v>
      </c>
      <c r="D126">
        <v>136.82</v>
      </c>
      <c r="E126">
        <v>0.004669934343484001</v>
      </c>
      <c r="F126">
        <v>0.2857142857142856</v>
      </c>
      <c r="G126">
        <v>0.1247461131420948</v>
      </c>
      <c r="H126">
        <v>0.6389404168755181</v>
      </c>
      <c r="I126">
        <v>1633.159045</v>
      </c>
      <c r="J126">
        <v>20.35215956931896</v>
      </c>
      <c r="K126">
        <v>0.09465783953711379</v>
      </c>
      <c r="L126">
        <v>0.801097783856149</v>
      </c>
      <c r="M126">
        <v>165.25</v>
      </c>
      <c r="N126">
        <v>131.18</v>
      </c>
    </row>
    <row r="127" spans="1:14">
      <c r="A127" s="1" t="s">
        <v>139</v>
      </c>
      <c r="B127">
        <f>HYPERLINK("https://www.suredividend.com/sure-analysis-research-database/","Align Technology, Inc.")</f>
        <v>0</v>
      </c>
      <c r="C127" t="s">
        <v>3217</v>
      </c>
      <c r="D127">
        <v>409.82</v>
      </c>
      <c r="E127">
        <v>0</v>
      </c>
      <c r="H127">
        <v>0</v>
      </c>
      <c r="I127">
        <v>32295.960178</v>
      </c>
      <c r="J127">
        <v>41.83306155052978</v>
      </c>
      <c r="K127">
        <v>0</v>
      </c>
      <c r="L127">
        <v>1.785671676925708</v>
      </c>
      <c r="M127">
        <v>737.45</v>
      </c>
      <c r="N127">
        <v>372.62</v>
      </c>
    </row>
    <row r="128" spans="1:14">
      <c r="A128" s="1" t="s">
        <v>140</v>
      </c>
      <c r="B128">
        <f>HYPERLINK("https://www.suredividend.com/sure-analysis-research-database/","Allegiant Travel")</f>
        <v>0</v>
      </c>
      <c r="C128" t="s">
        <v>3220</v>
      </c>
      <c r="D128">
        <v>158.74</v>
      </c>
      <c r="E128">
        <v>0</v>
      </c>
      <c r="H128">
        <v>0</v>
      </c>
      <c r="I128">
        <v>2875.103325</v>
      </c>
      <c r="J128">
        <v>19.21372462021679</v>
      </c>
      <c r="K128">
        <v>0</v>
      </c>
      <c r="L128">
        <v>1.537453564670166</v>
      </c>
      <c r="M128">
        <v>245.99</v>
      </c>
      <c r="N128">
        <v>132.03</v>
      </c>
    </row>
    <row r="129" spans="1:14">
      <c r="A129" s="1" t="s">
        <v>141</v>
      </c>
      <c r="B129">
        <f>HYPERLINK("https://www.suredividend.com/sure-analysis-research-database/","Alimera Sciences Inc.")</f>
        <v>0</v>
      </c>
      <c r="C129" t="s">
        <v>3217</v>
      </c>
      <c r="D129">
        <v>6.15</v>
      </c>
      <c r="E129">
        <v>0</v>
      </c>
      <c r="H129">
        <v>0</v>
      </c>
      <c r="I129">
        <v>43.004822</v>
      </c>
      <c r="J129">
        <v>0</v>
      </c>
      <c r="K129" t="s">
        <v>3219</v>
      </c>
      <c r="L129">
        <v>0.754163594444744</v>
      </c>
      <c r="M129">
        <v>11.48</v>
      </c>
      <c r="N129">
        <v>3.94</v>
      </c>
    </row>
    <row r="130" spans="1:14">
      <c r="A130" s="1" t="s">
        <v>142</v>
      </c>
      <c r="B130">
        <f>HYPERLINK("https://www.suredividend.com/sure-analysis-research-database/","Alj Regional Holdings Inc")</f>
        <v>0</v>
      </c>
      <c r="C130" t="s">
        <v>3220</v>
      </c>
      <c r="D130">
        <v>2.54</v>
      </c>
      <c r="E130">
        <v>0</v>
      </c>
      <c r="H130">
        <v>0</v>
      </c>
      <c r="I130">
        <v>107.718428</v>
      </c>
      <c r="J130">
        <v>0</v>
      </c>
      <c r="K130" t="s">
        <v>3219</v>
      </c>
      <c r="L130">
        <v>1.131168908143409</v>
      </c>
      <c r="M130">
        <v>2.8</v>
      </c>
      <c r="N130">
        <v>0.96</v>
      </c>
    </row>
    <row r="131" spans="1:14">
      <c r="A131" s="1" t="s">
        <v>143</v>
      </c>
      <c r="B131">
        <f>HYPERLINK("https://www.suredividend.com/sure-analysis-research-database/","Alaska Air Group Inc.")</f>
        <v>0</v>
      </c>
      <c r="C131" t="s">
        <v>3220</v>
      </c>
      <c r="D131">
        <v>57.11</v>
      </c>
      <c r="E131">
        <v>0</v>
      </c>
      <c r="H131">
        <v>0</v>
      </c>
      <c r="I131">
        <v>7200.806126</v>
      </c>
      <c r="J131">
        <v>15.06444796186192</v>
      </c>
      <c r="K131">
        <v>0</v>
      </c>
      <c r="L131">
        <v>1.333504340177672</v>
      </c>
      <c r="M131">
        <v>72.92</v>
      </c>
      <c r="N131">
        <v>43.46</v>
      </c>
    </row>
    <row r="132" spans="1:14">
      <c r="A132" s="1" t="s">
        <v>144</v>
      </c>
      <c r="B132">
        <f>HYPERLINK("https://www.suredividend.com/sure-analysis-research-database/","Alkermes plc")</f>
        <v>0</v>
      </c>
      <c r="C132" t="s">
        <v>3217</v>
      </c>
      <c r="D132">
        <v>29.36</v>
      </c>
      <c r="E132">
        <v>0</v>
      </c>
      <c r="H132">
        <v>0</v>
      </c>
      <c r="I132">
        <v>4755.417415</v>
      </c>
      <c r="J132" t="s">
        <v>3219</v>
      </c>
      <c r="K132">
        <v>-0</v>
      </c>
      <c r="L132">
        <v>0.726051915521096</v>
      </c>
      <c r="M132">
        <v>33</v>
      </c>
      <c r="N132">
        <v>19.76</v>
      </c>
    </row>
    <row r="133" spans="1:14">
      <c r="A133" s="1" t="s">
        <v>145</v>
      </c>
      <c r="B133">
        <f>HYPERLINK("https://www.suredividend.com/sure-analysis-ALL/","Allstate Corp (The)")</f>
        <v>0</v>
      </c>
      <c r="C133" t="s">
        <v>3221</v>
      </c>
      <c r="D133">
        <v>141.16</v>
      </c>
      <c r="E133">
        <v>0.02408614338339473</v>
      </c>
      <c r="F133">
        <v>0.04938271604938271</v>
      </c>
      <c r="G133">
        <v>0.1809824404958076</v>
      </c>
      <c r="H133">
        <v>3.246881580922831</v>
      </c>
      <c r="I133">
        <v>39291.32983</v>
      </c>
      <c r="J133">
        <v>26.45880796606061</v>
      </c>
      <c r="K133">
        <v>0.6546132219602482</v>
      </c>
      <c r="L133">
        <v>0.484310700390871</v>
      </c>
      <c r="M133">
        <v>144.41</v>
      </c>
      <c r="N133">
        <v>105.36</v>
      </c>
    </row>
    <row r="134" spans="1:14">
      <c r="A134" s="1" t="s">
        <v>146</v>
      </c>
      <c r="B134">
        <f>HYPERLINK("https://www.suredividend.com/sure-analysis-research-database/","Allegion plc")</f>
        <v>0</v>
      </c>
      <c r="C134" t="s">
        <v>3220</v>
      </c>
      <c r="D134">
        <v>107.43</v>
      </c>
      <c r="E134">
        <v>0.013805826232304</v>
      </c>
      <c r="F134">
        <v>0.1388888888888891</v>
      </c>
      <c r="G134">
        <v>0.2070708853018679</v>
      </c>
      <c r="H134">
        <v>1.483159912136462</v>
      </c>
      <c r="I134">
        <v>9478.596384</v>
      </c>
      <c r="J134">
        <v>19.62442315540373</v>
      </c>
      <c r="K134">
        <v>0.2777453018982139</v>
      </c>
      <c r="L134">
        <v>0.9585132682659281</v>
      </c>
      <c r="M134">
        <v>147.36</v>
      </c>
      <c r="N134">
        <v>105.06</v>
      </c>
    </row>
    <row r="135" spans="1:14">
      <c r="A135" s="1" t="s">
        <v>147</v>
      </c>
      <c r="B135">
        <f>HYPERLINK("https://www.suredividend.com/sure-analysis-research-database/","Allakos Inc")</f>
        <v>0</v>
      </c>
      <c r="C135" t="s">
        <v>3217</v>
      </c>
      <c r="D135">
        <v>5.38</v>
      </c>
      <c r="E135">
        <v>0</v>
      </c>
      <c r="H135">
        <v>0</v>
      </c>
      <c r="I135">
        <v>294.614137</v>
      </c>
      <c r="J135">
        <v>0</v>
      </c>
      <c r="K135" t="s">
        <v>3219</v>
      </c>
      <c r="L135">
        <v>0.9971338521689861</v>
      </c>
      <c r="M135">
        <v>114.38</v>
      </c>
      <c r="N135">
        <v>4.85</v>
      </c>
    </row>
    <row r="136" spans="1:14">
      <c r="A136" s="1" t="s">
        <v>148</v>
      </c>
      <c r="B136">
        <f>HYPERLINK("https://www.suredividend.com/sure-analysis-research-database/","Allogene Therapeutics Inc")</f>
        <v>0</v>
      </c>
      <c r="C136" t="s">
        <v>3217</v>
      </c>
      <c r="D136">
        <v>8.25</v>
      </c>
      <c r="E136">
        <v>0</v>
      </c>
      <c r="H136">
        <v>0</v>
      </c>
      <c r="I136">
        <v>1184.451692</v>
      </c>
      <c r="J136">
        <v>0</v>
      </c>
      <c r="K136" t="s">
        <v>3219</v>
      </c>
      <c r="L136">
        <v>1.818280613444552</v>
      </c>
      <c r="M136">
        <v>35.88</v>
      </c>
      <c r="N136">
        <v>7.56</v>
      </c>
    </row>
    <row r="137" spans="1:14">
      <c r="A137" s="1" t="s">
        <v>149</v>
      </c>
      <c r="B137">
        <f>HYPERLINK("https://www.suredividend.com/sure-analysis-ALLY/","Ally Financial Inc")</f>
        <v>0</v>
      </c>
      <c r="C137" t="s">
        <v>3221</v>
      </c>
      <c r="D137">
        <v>41.22</v>
      </c>
      <c r="E137">
        <v>0.02911208151382824</v>
      </c>
      <c r="F137">
        <v>0.5789473684210529</v>
      </c>
      <c r="G137">
        <v>0.3025855423486761</v>
      </c>
      <c r="H137">
        <v>0.9823943130753271</v>
      </c>
      <c r="I137">
        <v>13662.500368</v>
      </c>
      <c r="J137">
        <v>4.549617172207792</v>
      </c>
      <c r="K137">
        <v>0.1195126901551493</v>
      </c>
      <c r="L137">
        <v>1.307726825659807</v>
      </c>
      <c r="M137">
        <v>55.69</v>
      </c>
      <c r="N137">
        <v>39.85</v>
      </c>
    </row>
    <row r="138" spans="1:14">
      <c r="A138" s="1" t="s">
        <v>150</v>
      </c>
      <c r="B138">
        <f>HYPERLINK("https://www.suredividend.com/sure-analysis-research-database/","Allena Pharmaceuticals Inc")</f>
        <v>0</v>
      </c>
      <c r="C138" t="s">
        <v>3217</v>
      </c>
      <c r="D138">
        <v>0.2387</v>
      </c>
      <c r="E138">
        <v>0</v>
      </c>
      <c r="H138">
        <v>0</v>
      </c>
      <c r="I138">
        <v>19.709716</v>
      </c>
      <c r="J138">
        <v>0</v>
      </c>
      <c r="K138" t="s">
        <v>3219</v>
      </c>
      <c r="L138">
        <v>1.371106443445957</v>
      </c>
      <c r="M138">
        <v>1.45</v>
      </c>
      <c r="N138">
        <v>0.2164</v>
      </c>
    </row>
    <row r="139" spans="1:14">
      <c r="A139" s="1" t="s">
        <v>151</v>
      </c>
      <c r="B139">
        <f>HYPERLINK("https://www.suredividend.com/sure-analysis-research-database/","Alnylam Pharmaceuticals Inc")</f>
        <v>0</v>
      </c>
      <c r="C139" t="s">
        <v>3217</v>
      </c>
      <c r="D139">
        <v>167.34</v>
      </c>
      <c r="E139">
        <v>0</v>
      </c>
      <c r="H139">
        <v>0</v>
      </c>
      <c r="I139">
        <v>20201.027431</v>
      </c>
      <c r="J139" t="s">
        <v>3219</v>
      </c>
      <c r="K139">
        <v>-0</v>
      </c>
      <c r="L139">
        <v>0.570594133539968</v>
      </c>
      <c r="M139">
        <v>212</v>
      </c>
      <c r="N139">
        <v>125</v>
      </c>
    </row>
    <row r="140" spans="1:14">
      <c r="A140" s="1" t="s">
        <v>152</v>
      </c>
      <c r="B140">
        <f>HYPERLINK("https://www.suredividend.com/sure-analysis-research-database/","AstroNova Inc")</f>
        <v>0</v>
      </c>
      <c r="C140" t="s">
        <v>3222</v>
      </c>
      <c r="D140">
        <v>12.85</v>
      </c>
      <c r="E140">
        <v>0</v>
      </c>
      <c r="H140">
        <v>0</v>
      </c>
      <c r="I140">
        <v>93.24497100000001</v>
      </c>
      <c r="J140">
        <v>0</v>
      </c>
      <c r="K140" t="s">
        <v>3219</v>
      </c>
      <c r="M140">
        <v>18.52</v>
      </c>
      <c r="N140">
        <v>11.85</v>
      </c>
    </row>
    <row r="141" spans="1:14">
      <c r="A141" s="1" t="s">
        <v>153</v>
      </c>
      <c r="B141">
        <f>HYPERLINK("https://www.suredividend.com/sure-analysis-research-database/","Alpine Immune Sciences Inc")</f>
        <v>0</v>
      </c>
      <c r="C141" t="s">
        <v>3217</v>
      </c>
      <c r="D141">
        <v>8</v>
      </c>
      <c r="E141">
        <v>0</v>
      </c>
      <c r="H141">
        <v>0</v>
      </c>
      <c r="I141">
        <v>242.355472</v>
      </c>
      <c r="J141">
        <v>0</v>
      </c>
      <c r="K141" t="s">
        <v>3219</v>
      </c>
      <c r="L141">
        <v>1.58714599483699</v>
      </c>
      <c r="M141">
        <v>15.14</v>
      </c>
      <c r="N141">
        <v>6</v>
      </c>
    </row>
    <row r="142" spans="1:14">
      <c r="A142" s="1" t="s">
        <v>154</v>
      </c>
      <c r="B142">
        <f>HYPERLINK("https://www.suredividend.com/sure-analysis-research-database/","Alarm.com Holdings Inc")</f>
        <v>0</v>
      </c>
      <c r="C142" t="s">
        <v>3222</v>
      </c>
      <c r="D142">
        <v>59.14</v>
      </c>
      <c r="E142">
        <v>0</v>
      </c>
      <c r="H142">
        <v>0</v>
      </c>
      <c r="I142">
        <v>2960.574422</v>
      </c>
      <c r="J142">
        <v>56.65195318701085</v>
      </c>
      <c r="K142">
        <v>0</v>
      </c>
      <c r="L142">
        <v>1.331618119314726</v>
      </c>
      <c r="M142">
        <v>95.83</v>
      </c>
      <c r="N142">
        <v>59.07</v>
      </c>
    </row>
    <row r="143" spans="1:14">
      <c r="A143" s="1" t="s">
        <v>155</v>
      </c>
      <c r="B143">
        <f>HYPERLINK("https://www.suredividend.com/sure-analysis-research-database/","Alaska Communications Systems Group Inc")</f>
        <v>0</v>
      </c>
      <c r="C143" t="s">
        <v>3228</v>
      </c>
      <c r="D143">
        <v>3.4</v>
      </c>
      <c r="E143">
        <v>0</v>
      </c>
      <c r="H143">
        <v>0</v>
      </c>
      <c r="I143">
        <v>0</v>
      </c>
      <c r="J143">
        <v>0</v>
      </c>
      <c r="K143">
        <v>-0</v>
      </c>
    </row>
    <row r="144" spans="1:14">
      <c r="A144" s="1" t="s">
        <v>156</v>
      </c>
      <c r="B144">
        <f>HYPERLINK("https://www.suredividend.com/sure-analysis-research-database/","Allison Transmission Holdings Inc")</f>
        <v>0</v>
      </c>
      <c r="C144" t="s">
        <v>3223</v>
      </c>
      <c r="D144">
        <v>35.16</v>
      </c>
      <c r="E144">
        <v>0.022018387705887</v>
      </c>
      <c r="F144">
        <v>0.1052631578947367</v>
      </c>
      <c r="G144">
        <v>0.06961037572506878</v>
      </c>
      <c r="H144">
        <v>0.7741665117389991</v>
      </c>
      <c r="I144">
        <v>3412.687509</v>
      </c>
      <c r="J144">
        <v>7.721012462714932</v>
      </c>
      <c r="K144">
        <v>0.1874495185808714</v>
      </c>
      <c r="L144">
        <v>0.549720974400124</v>
      </c>
      <c r="M144">
        <v>45.5</v>
      </c>
      <c r="N144">
        <v>32.21</v>
      </c>
    </row>
    <row r="145" spans="1:14">
      <c r="A145" s="1" t="s">
        <v>157</v>
      </c>
      <c r="B145">
        <f>HYPERLINK("https://www.suredividend.com/sure-analysis-research-database/","Altimmune Inc")</f>
        <v>0</v>
      </c>
      <c r="C145" t="s">
        <v>3217</v>
      </c>
      <c r="D145">
        <v>5.23</v>
      </c>
      <c r="E145">
        <v>0</v>
      </c>
      <c r="H145">
        <v>0</v>
      </c>
      <c r="I145">
        <v>226.054627</v>
      </c>
      <c r="J145">
        <v>0</v>
      </c>
      <c r="K145" t="s">
        <v>3219</v>
      </c>
      <c r="L145">
        <v>1.140294762584165</v>
      </c>
      <c r="M145">
        <v>19.46</v>
      </c>
      <c r="N145">
        <v>5.15</v>
      </c>
    </row>
    <row r="146" spans="1:14">
      <c r="A146" s="1" t="s">
        <v>158</v>
      </c>
      <c r="B146">
        <f>HYPERLINK("https://www.suredividend.com/sure-analysis-research-database/","Altair Engineering Inc")</f>
        <v>0</v>
      </c>
      <c r="C146" t="s">
        <v>3222</v>
      </c>
      <c r="D146">
        <v>57.8</v>
      </c>
      <c r="E146">
        <v>0</v>
      </c>
      <c r="H146">
        <v>0</v>
      </c>
      <c r="I146">
        <v>3000.213329</v>
      </c>
      <c r="J146" t="s">
        <v>3219</v>
      </c>
      <c r="K146">
        <v>-0</v>
      </c>
      <c r="L146">
        <v>1.398279326208493</v>
      </c>
      <c r="M146">
        <v>82.95999999999999</v>
      </c>
      <c r="N146">
        <v>56.71</v>
      </c>
    </row>
    <row r="147" spans="1:14">
      <c r="A147" s="1" t="s">
        <v>159</v>
      </c>
      <c r="B147">
        <f>HYPERLINK("https://www.suredividend.com/sure-analysis-ALV/","Autoliv Inc.")</f>
        <v>0</v>
      </c>
      <c r="C147" t="s">
        <v>3223</v>
      </c>
      <c r="D147">
        <v>72.72</v>
      </c>
      <c r="E147">
        <v>0.0352035203520352</v>
      </c>
      <c r="H147">
        <v>2.499906501093592</v>
      </c>
      <c r="I147">
        <v>6365.499532</v>
      </c>
      <c r="J147">
        <v>14.59976956844037</v>
      </c>
      <c r="K147">
        <v>0.5029992959946866</v>
      </c>
      <c r="L147">
        <v>1.225308492200166</v>
      </c>
      <c r="M147">
        <v>109.67</v>
      </c>
      <c r="N147">
        <v>70.15000000000001</v>
      </c>
    </row>
    <row r="148" spans="1:14">
      <c r="A148" s="1" t="s">
        <v>160</v>
      </c>
      <c r="B148">
        <f>HYPERLINK("https://www.suredividend.com/sure-analysis-research-database/","Alexander`s Inc.")</f>
        <v>0</v>
      </c>
      <c r="C148" t="s">
        <v>3224</v>
      </c>
      <c r="D148">
        <v>261.98</v>
      </c>
      <c r="E148">
        <v>0.06700980187281501</v>
      </c>
      <c r="F148">
        <v>0</v>
      </c>
      <c r="G148">
        <v>0.01149727415513624</v>
      </c>
      <c r="H148">
        <v>17.55522789464024</v>
      </c>
      <c r="I148">
        <v>1338.007834</v>
      </c>
      <c r="J148">
        <v>10.06550691491763</v>
      </c>
      <c r="K148">
        <v>0.6767628332552134</v>
      </c>
      <c r="L148">
        <v>0.4921235726857791</v>
      </c>
      <c r="M148">
        <v>290.08</v>
      </c>
      <c r="N148">
        <v>240.66</v>
      </c>
    </row>
    <row r="149" spans="1:14">
      <c r="A149" s="1" t="s">
        <v>161</v>
      </c>
      <c r="B149">
        <f>HYPERLINK("https://www.suredividend.com/sure-analysis-research-database/","Alexion Pharmaceuticals Inc.")</f>
        <v>0</v>
      </c>
      <c r="C149" t="s">
        <v>3217</v>
      </c>
      <c r="D149">
        <v>182.5</v>
      </c>
      <c r="E149">
        <v>0</v>
      </c>
      <c r="H149">
        <v>0</v>
      </c>
      <c r="I149">
        <v>0</v>
      </c>
      <c r="J149">
        <v>0</v>
      </c>
      <c r="K149">
        <v>0</v>
      </c>
    </row>
    <row r="150" spans="1:14">
      <c r="A150" s="1" t="s">
        <v>162</v>
      </c>
      <c r="B150">
        <f>HYPERLINK("https://www.suredividend.com/sure-analysis-AM/","Antero Midstream Corp")</f>
        <v>0</v>
      </c>
      <c r="C150" t="s">
        <v>3226</v>
      </c>
      <c r="D150">
        <v>11.28</v>
      </c>
      <c r="E150">
        <v>0.0797872340425532</v>
      </c>
      <c r="H150">
        <v>0.871561165035709</v>
      </c>
      <c r="I150">
        <v>5386.242717</v>
      </c>
      <c r="J150">
        <v>16.26934341797884</v>
      </c>
      <c r="K150">
        <v>1.262949087140572</v>
      </c>
      <c r="L150">
        <v>0.810614012318138</v>
      </c>
      <c r="M150">
        <v>11.5</v>
      </c>
      <c r="N150">
        <v>7.78</v>
      </c>
    </row>
    <row r="151" spans="1:14">
      <c r="A151" s="1" t="s">
        <v>163</v>
      </c>
      <c r="B151">
        <f>HYPERLINK("https://www.suredividend.com/sure-analysis-research-database/","Amalgamated Financial Corp")</f>
        <v>0</v>
      </c>
      <c r="C151" t="s">
        <v>3221</v>
      </c>
      <c r="D151">
        <v>17.87</v>
      </c>
      <c r="E151">
        <v>0.01778108808447</v>
      </c>
      <c r="H151">
        <v>0.317748044069481</v>
      </c>
      <c r="I151">
        <v>556.026891</v>
      </c>
      <c r="J151">
        <v>0</v>
      </c>
      <c r="K151" t="s">
        <v>3219</v>
      </c>
      <c r="L151">
        <v>0.511531515049487</v>
      </c>
      <c r="M151">
        <v>19.81</v>
      </c>
      <c r="N151">
        <v>13.36</v>
      </c>
    </row>
    <row r="152" spans="1:14">
      <c r="A152" s="1" t="s">
        <v>164</v>
      </c>
      <c r="B152">
        <f>HYPERLINK("https://www.suredividend.com/sure-analysis-AMAT/","Applied Materials Inc.")</f>
        <v>0</v>
      </c>
      <c r="C152" t="s">
        <v>3222</v>
      </c>
      <c r="D152">
        <v>113.36</v>
      </c>
      <c r="E152">
        <v>0.009174311926605505</v>
      </c>
      <c r="F152">
        <v>0.09090909090909083</v>
      </c>
      <c r="G152">
        <v>0.1913578981670916</v>
      </c>
      <c r="H152">
        <v>1.198788794042488</v>
      </c>
      <c r="I152">
        <v>100141.616277</v>
      </c>
      <c r="J152">
        <v>15.28879637817404</v>
      </c>
      <c r="K152">
        <v>0.1669622275825192</v>
      </c>
      <c r="L152">
        <v>1.962822656288228</v>
      </c>
      <c r="M152">
        <v>167.06</v>
      </c>
      <c r="N152">
        <v>113.25</v>
      </c>
    </row>
    <row r="153" spans="1:14">
      <c r="A153" s="1" t="s">
        <v>165</v>
      </c>
      <c r="B153">
        <f>HYPERLINK("https://www.suredividend.com/sure-analysis-research-database/","AMBAC Financial Group Inc.")</f>
        <v>0</v>
      </c>
      <c r="C153" t="s">
        <v>3221</v>
      </c>
      <c r="D153">
        <v>8.859999999999999</v>
      </c>
      <c r="E153">
        <v>0</v>
      </c>
      <c r="H153">
        <v>0</v>
      </c>
      <c r="I153">
        <v>410.545873</v>
      </c>
      <c r="J153">
        <v>0</v>
      </c>
      <c r="K153" t="s">
        <v>3219</v>
      </c>
      <c r="L153">
        <v>0.849600138672656</v>
      </c>
      <c r="M153">
        <v>17.86</v>
      </c>
      <c r="N153">
        <v>7.95</v>
      </c>
    </row>
    <row r="154" spans="1:14">
      <c r="A154" s="1" t="s">
        <v>166</v>
      </c>
      <c r="B154">
        <f>HYPERLINK("https://www.suredividend.com/sure-analysis-research-database/","AMC Entertainment Holdings Inc")</f>
        <v>0</v>
      </c>
      <c r="C154" t="s">
        <v>3228</v>
      </c>
      <c r="D154">
        <v>18.02</v>
      </c>
      <c r="E154">
        <v>0</v>
      </c>
      <c r="H154">
        <v>0</v>
      </c>
      <c r="I154">
        <v>9250.210924999999</v>
      </c>
      <c r="J154" t="s">
        <v>3219</v>
      </c>
      <c r="K154">
        <v>-0</v>
      </c>
      <c r="L154">
        <v>2.383203185458332</v>
      </c>
      <c r="M154">
        <v>72.62</v>
      </c>
      <c r="N154">
        <v>8.93</v>
      </c>
    </row>
    <row r="155" spans="1:14">
      <c r="A155" s="1" t="s">
        <v>167</v>
      </c>
      <c r="B155">
        <f>HYPERLINK("https://www.suredividend.com/sure-analysis-AMCR/","Amcor Plc")</f>
        <v>0</v>
      </c>
      <c r="C155" t="s">
        <v>3223</v>
      </c>
      <c r="D155">
        <v>11.67</v>
      </c>
      <c r="E155">
        <v>0.04113110539845758</v>
      </c>
      <c r="H155">
        <v>0.472642137652761</v>
      </c>
      <c r="I155">
        <v>17665.196634</v>
      </c>
      <c r="J155">
        <v>18.61453807593256</v>
      </c>
      <c r="K155">
        <v>0.7652884353185897</v>
      </c>
      <c r="L155">
        <v>0.630234623752012</v>
      </c>
      <c r="M155">
        <v>12.79</v>
      </c>
      <c r="N155">
        <v>10.66</v>
      </c>
    </row>
    <row r="156" spans="1:14">
      <c r="A156" s="1" t="s">
        <v>168</v>
      </c>
      <c r="B156">
        <f>HYPERLINK("https://www.suredividend.com/sure-analysis-research-database/","AMC Networks Inc")</f>
        <v>0</v>
      </c>
      <c r="C156" t="s">
        <v>3228</v>
      </c>
      <c r="D156">
        <v>38.05</v>
      </c>
      <c r="E156">
        <v>0</v>
      </c>
      <c r="H156">
        <v>0</v>
      </c>
      <c r="I156">
        <v>1170.714181</v>
      </c>
      <c r="J156">
        <v>4.671719345879423</v>
      </c>
      <c r="K156">
        <v>0</v>
      </c>
      <c r="L156">
        <v>1.143855431597567</v>
      </c>
      <c r="M156">
        <v>72.8</v>
      </c>
      <c r="N156">
        <v>32.96</v>
      </c>
    </row>
    <row r="157" spans="1:14">
      <c r="A157" s="1" t="s">
        <v>169</v>
      </c>
      <c r="B157">
        <f>HYPERLINK("https://www.suredividend.com/sure-analysis-research-database/","Advanced Micro Devices Inc.")</f>
        <v>0</v>
      </c>
      <c r="C157" t="s">
        <v>3222</v>
      </c>
      <c r="D157">
        <v>93.06</v>
      </c>
      <c r="E157">
        <v>0</v>
      </c>
      <c r="H157">
        <v>0</v>
      </c>
      <c r="I157">
        <v>150771.891568</v>
      </c>
      <c r="J157">
        <v>47.68244515127135</v>
      </c>
      <c r="K157">
        <v>0</v>
      </c>
      <c r="L157">
        <v>2.074129112269135</v>
      </c>
      <c r="M157">
        <v>164.46</v>
      </c>
      <c r="N157">
        <v>72.5</v>
      </c>
    </row>
    <row r="158" spans="1:14">
      <c r="A158" s="1" t="s">
        <v>170</v>
      </c>
      <c r="B158">
        <f>HYPERLINK("https://www.suredividend.com/sure-analysis-research-database/","Ametek Inc")</f>
        <v>0</v>
      </c>
      <c r="C158" t="s">
        <v>3220</v>
      </c>
      <c r="D158">
        <v>127.05</v>
      </c>
      <c r="E158">
        <v>0.006439191253704001</v>
      </c>
      <c r="F158">
        <v>0.09999999999999987</v>
      </c>
      <c r="G158">
        <v>0.1957380086320961</v>
      </c>
      <c r="H158">
        <v>0.818099248783111</v>
      </c>
      <c r="I158">
        <v>29370.260304</v>
      </c>
      <c r="J158">
        <v>29.66534145545744</v>
      </c>
      <c r="K158">
        <v>0.1924939408901438</v>
      </c>
      <c r="L158">
        <v>0.9042500471220281</v>
      </c>
      <c r="M158">
        <v>147.82</v>
      </c>
      <c r="N158">
        <v>121.6</v>
      </c>
    </row>
    <row r="159" spans="1:14">
      <c r="A159" s="1" t="s">
        <v>171</v>
      </c>
      <c r="B159">
        <f>HYPERLINK("https://www.suredividend.com/sure-analysis-research-database/","Amedisys Inc.")</f>
        <v>0</v>
      </c>
      <c r="C159" t="s">
        <v>3217</v>
      </c>
      <c r="D159">
        <v>153.72</v>
      </c>
      <c r="E159">
        <v>0</v>
      </c>
      <c r="H159">
        <v>0</v>
      </c>
      <c r="I159">
        <v>4999.853525</v>
      </c>
      <c r="J159">
        <v>23.91450564724114</v>
      </c>
      <c r="K159">
        <v>0</v>
      </c>
      <c r="L159">
        <v>1.353718190652685</v>
      </c>
      <c r="M159">
        <v>292.97</v>
      </c>
      <c r="N159">
        <v>122.12</v>
      </c>
    </row>
    <row r="160" spans="1:14">
      <c r="A160" s="1" t="s">
        <v>172</v>
      </c>
      <c r="B160">
        <f>HYPERLINK("https://www.suredividend.com/sure-analysis-research-database/","Apollo Medical Holdings Inc")</f>
        <v>0</v>
      </c>
      <c r="C160" t="s">
        <v>3217</v>
      </c>
      <c r="D160">
        <v>43</v>
      </c>
      <c r="E160">
        <v>0</v>
      </c>
      <c r="H160">
        <v>0</v>
      </c>
      <c r="I160">
        <v>2406.12004</v>
      </c>
      <c r="J160">
        <v>0</v>
      </c>
      <c r="K160" t="s">
        <v>3219</v>
      </c>
      <c r="L160">
        <v>2.249398290888831</v>
      </c>
      <c r="M160">
        <v>133.23</v>
      </c>
      <c r="N160">
        <v>26.15</v>
      </c>
    </row>
    <row r="161" spans="1:14">
      <c r="A161" s="1" t="s">
        <v>173</v>
      </c>
      <c r="B161">
        <f>HYPERLINK("https://www.suredividend.com/sure-analysis-research-database/","Affiliated Managers Group Inc.")</f>
        <v>0</v>
      </c>
      <c r="C161" t="s">
        <v>3221</v>
      </c>
      <c r="D161">
        <v>130.26</v>
      </c>
      <c r="E161">
        <v>0.000307049204648</v>
      </c>
      <c r="F161">
        <v>0</v>
      </c>
      <c r="G161">
        <v>-0.4507197283469412</v>
      </c>
      <c r="H161">
        <v>0.039996229397472</v>
      </c>
      <c r="I161">
        <v>5295.240162</v>
      </c>
      <c r="J161">
        <v>9.064087917904828</v>
      </c>
      <c r="K161">
        <v>0.003067195505941105</v>
      </c>
      <c r="L161">
        <v>1.715443291284458</v>
      </c>
      <c r="M161">
        <v>191.6</v>
      </c>
      <c r="N161">
        <v>121.4</v>
      </c>
    </row>
    <row r="162" spans="1:14">
      <c r="A162" s="1" t="s">
        <v>174</v>
      </c>
      <c r="B162">
        <f>HYPERLINK("https://www.suredividend.com/sure-analysis-AMGN/","AMGEN Inc.")</f>
        <v>0</v>
      </c>
      <c r="C162" t="s">
        <v>3217</v>
      </c>
      <c r="D162">
        <v>254.02</v>
      </c>
      <c r="E162">
        <v>0.03054877568695378</v>
      </c>
      <c r="F162">
        <v>0.1022727272727273</v>
      </c>
      <c r="G162">
        <v>0.1102499899521721</v>
      </c>
      <c r="H162">
        <v>7.132794570701733</v>
      </c>
      <c r="I162">
        <v>135592.01642</v>
      </c>
      <c r="J162">
        <v>23.00899650774138</v>
      </c>
      <c r="K162">
        <v>0.6938516119359662</v>
      </c>
      <c r="L162">
        <v>0.4648123451466981</v>
      </c>
      <c r="M162">
        <v>258.45</v>
      </c>
      <c r="N162">
        <v>196.95</v>
      </c>
    </row>
    <row r="163" spans="1:14">
      <c r="A163" s="1" t="s">
        <v>175</v>
      </c>
      <c r="B163">
        <f>HYPERLINK("https://www.suredividend.com/sure-analysis-AMH/","American Homes 4 Rent")</f>
        <v>0</v>
      </c>
      <c r="C163" t="s">
        <v>3224</v>
      </c>
      <c r="D163">
        <v>41.55</v>
      </c>
      <c r="E163">
        <v>0.01732851985559567</v>
      </c>
      <c r="F163">
        <v>0.7999999999999998</v>
      </c>
      <c r="G163">
        <v>0.2919940099556333</v>
      </c>
      <c r="H163">
        <v>0.477882696450918</v>
      </c>
      <c r="I163">
        <v>14443.785302</v>
      </c>
      <c r="J163">
        <v>107.0925418341094</v>
      </c>
      <c r="K163">
        <v>1.153470182116626</v>
      </c>
      <c r="L163">
        <v>0.681286994391612</v>
      </c>
      <c r="M163">
        <v>43.86</v>
      </c>
      <c r="N163">
        <v>34.31</v>
      </c>
    </row>
    <row r="164" spans="1:14">
      <c r="A164" s="1" t="s">
        <v>176</v>
      </c>
      <c r="B164">
        <f>HYPERLINK("https://www.suredividend.com/sure-analysis-research-database/","AMKOR Technology Inc.")</f>
        <v>0</v>
      </c>
      <c r="C164" t="s">
        <v>3222</v>
      </c>
      <c r="D164">
        <v>18.82</v>
      </c>
      <c r="E164">
        <v>0.009537237265886001</v>
      </c>
      <c r="H164">
        <v>0.179490805343979</v>
      </c>
      <c r="I164">
        <v>4606.646812</v>
      </c>
      <c r="J164">
        <v>7.164358683566745</v>
      </c>
      <c r="K164">
        <v>0.06850794097098435</v>
      </c>
      <c r="L164">
        <v>2.05586372987905</v>
      </c>
      <c r="M164">
        <v>29.37</v>
      </c>
      <c r="N164">
        <v>17.9</v>
      </c>
    </row>
    <row r="165" spans="1:14">
      <c r="A165" s="1" t="s">
        <v>177</v>
      </c>
      <c r="B165">
        <f>HYPERLINK("https://www.suredividend.com/sure-analysis-research-database/","AMN Healthcare Services Inc.")</f>
        <v>0</v>
      </c>
      <c r="C165" t="s">
        <v>3217</v>
      </c>
      <c r="D165">
        <v>104</v>
      </c>
      <c r="E165">
        <v>0</v>
      </c>
      <c r="H165">
        <v>0</v>
      </c>
      <c r="I165">
        <v>4780.9372</v>
      </c>
      <c r="J165">
        <v>14.6032756240302</v>
      </c>
      <c r="K165">
        <v>0</v>
      </c>
      <c r="L165">
        <v>0.7055908765138501</v>
      </c>
      <c r="M165">
        <v>129.12</v>
      </c>
      <c r="N165">
        <v>73.95</v>
      </c>
    </row>
    <row r="166" spans="1:14">
      <c r="A166" s="1" t="s">
        <v>178</v>
      </c>
      <c r="B166">
        <f>HYPERLINK("https://www.suredividend.com/sure-analysis-research-database/","American National Bankshares Inc.")</f>
        <v>0</v>
      </c>
      <c r="C166" t="s">
        <v>3221</v>
      </c>
      <c r="D166">
        <v>36.21</v>
      </c>
      <c r="E166">
        <v>0.030044711066476</v>
      </c>
      <c r="F166">
        <v>0.03703703703703698</v>
      </c>
      <c r="G166">
        <v>0.03131030647754507</v>
      </c>
      <c r="H166">
        <v>1.087918987717105</v>
      </c>
      <c r="I166">
        <v>377.239763</v>
      </c>
      <c r="J166">
        <v>8.666998187290355</v>
      </c>
      <c r="K166">
        <v>0.2719797469292762</v>
      </c>
      <c r="L166">
        <v>0.591113304503965</v>
      </c>
      <c r="M166">
        <v>39.75</v>
      </c>
      <c r="N166">
        <v>28.35</v>
      </c>
    </row>
    <row r="167" spans="1:14">
      <c r="A167" s="1" t="s">
        <v>179</v>
      </c>
      <c r="B167">
        <f>HYPERLINK("https://www.suredividend.com/sure-analysis-research-database/","Allied Motion Technologies Inc")</f>
        <v>0</v>
      </c>
      <c r="C167" t="s">
        <v>3222</v>
      </c>
      <c r="D167">
        <v>27.4</v>
      </c>
      <c r="E167">
        <v>0.003645585119708</v>
      </c>
      <c r="F167">
        <v>-0.1666666666666666</v>
      </c>
      <c r="G167">
        <v>0</v>
      </c>
      <c r="H167">
        <v>0.09988903228002001</v>
      </c>
      <c r="I167">
        <v>423.404446</v>
      </c>
      <c r="J167">
        <v>0</v>
      </c>
      <c r="K167" t="s">
        <v>3219</v>
      </c>
      <c r="L167">
        <v>1.439559217982691</v>
      </c>
      <c r="M167">
        <v>44.64</v>
      </c>
      <c r="N167">
        <v>26.81</v>
      </c>
    </row>
    <row r="168" spans="1:14">
      <c r="A168" s="1" t="s">
        <v>180</v>
      </c>
      <c r="B168">
        <f>HYPERLINK("https://www.suredividend.com/sure-analysis-AMP/","Ameriprise Financial Inc")</f>
        <v>0</v>
      </c>
      <c r="C168" t="s">
        <v>3221</v>
      </c>
      <c r="D168">
        <v>290.73</v>
      </c>
      <c r="E168">
        <v>0.01554707116568637</v>
      </c>
      <c r="F168">
        <v>0.08653846153846145</v>
      </c>
      <c r="G168">
        <v>0.06365324705948372</v>
      </c>
      <c r="H168">
        <v>4.494855983277437</v>
      </c>
      <c r="I168">
        <v>32148.108484</v>
      </c>
      <c r="J168">
        <v>11.64786539268478</v>
      </c>
      <c r="K168">
        <v>0.1954285210120625</v>
      </c>
      <c r="L168">
        <v>1.401936315806236</v>
      </c>
      <c r="M168">
        <v>331.19</v>
      </c>
      <c r="N168">
        <v>233.63</v>
      </c>
    </row>
    <row r="169" spans="1:14">
      <c r="A169" s="1" t="s">
        <v>181</v>
      </c>
      <c r="B169">
        <f>HYPERLINK("https://www.suredividend.com/sure-analysis-research-database/","Ampio Pharmaceuticals Inc")</f>
        <v>0</v>
      </c>
      <c r="C169" t="s">
        <v>3217</v>
      </c>
      <c r="D169">
        <v>0.4</v>
      </c>
      <c r="E169">
        <v>0</v>
      </c>
      <c r="H169">
        <v>0</v>
      </c>
      <c r="I169">
        <v>90.874747</v>
      </c>
      <c r="J169">
        <v>0</v>
      </c>
      <c r="K169" t="s">
        <v>3219</v>
      </c>
      <c r="L169">
        <v>1.903383693154896</v>
      </c>
      <c r="M169">
        <v>2.01</v>
      </c>
      <c r="N169">
        <v>0.3801</v>
      </c>
    </row>
    <row r="170" spans="1:14">
      <c r="A170" s="1" t="s">
        <v>182</v>
      </c>
      <c r="B170">
        <f>HYPERLINK("https://www.suredividend.com/sure-analysis-research-database/","Amphastar Pharmaceuticals Inc")</f>
        <v>0</v>
      </c>
      <c r="C170" t="s">
        <v>3217</v>
      </c>
      <c r="D170">
        <v>41.54</v>
      </c>
      <c r="E170">
        <v>0</v>
      </c>
      <c r="H170">
        <v>0</v>
      </c>
      <c r="I170">
        <v>2027.639223</v>
      </c>
      <c r="J170">
        <v>32.64278483257132</v>
      </c>
      <c r="K170">
        <v>0</v>
      </c>
      <c r="L170">
        <v>0.04722634254618301</v>
      </c>
      <c r="M170">
        <v>44.46</v>
      </c>
      <c r="N170">
        <v>17.01</v>
      </c>
    </row>
    <row r="171" spans="1:14">
      <c r="A171" s="1" t="s">
        <v>183</v>
      </c>
      <c r="B171">
        <f>HYPERLINK("https://www.suredividend.com/sure-analysis-research-database/","Alpha Metallurgical Resources Inc")</f>
        <v>0</v>
      </c>
      <c r="C171" t="s">
        <v>3219</v>
      </c>
      <c r="D171">
        <v>156.66</v>
      </c>
      <c r="E171">
        <v>0</v>
      </c>
      <c r="H171">
        <v>0</v>
      </c>
      <c r="I171">
        <v>2905.622838</v>
      </c>
      <c r="J171">
        <v>0</v>
      </c>
      <c r="K171" t="s">
        <v>3219</v>
      </c>
      <c r="L171">
        <v>0.874163656146665</v>
      </c>
      <c r="M171">
        <v>159.34</v>
      </c>
      <c r="N171">
        <v>11.75</v>
      </c>
    </row>
    <row r="172" spans="1:14">
      <c r="A172" s="1" t="s">
        <v>184</v>
      </c>
      <c r="B172">
        <f>HYPERLINK("https://www.suredividend.com/sure-analysis-research-database/","American River Bancshares")</f>
        <v>0</v>
      </c>
      <c r="C172" t="s">
        <v>3221</v>
      </c>
      <c r="D172">
        <v>20.91</v>
      </c>
      <c r="E172">
        <v>0</v>
      </c>
      <c r="H172">
        <v>0.210000000894069</v>
      </c>
      <c r="I172">
        <v>0</v>
      </c>
      <c r="J172">
        <v>0</v>
      </c>
      <c r="K172" t="s">
        <v>3219</v>
      </c>
    </row>
    <row r="173" spans="1:14">
      <c r="A173" s="1" t="s">
        <v>185</v>
      </c>
      <c r="B173">
        <f>HYPERLINK("https://www.suredividend.com/sure-analysis-research-database/","Ameresco Inc.")</f>
        <v>0</v>
      </c>
      <c r="C173" t="s">
        <v>3220</v>
      </c>
      <c r="D173">
        <v>57.08</v>
      </c>
      <c r="E173">
        <v>0</v>
      </c>
      <c r="H173">
        <v>0</v>
      </c>
      <c r="I173">
        <v>1924.983558</v>
      </c>
      <c r="J173">
        <v>0</v>
      </c>
      <c r="K173" t="s">
        <v>3219</v>
      </c>
      <c r="L173">
        <v>1.657934229640704</v>
      </c>
      <c r="M173">
        <v>101.86</v>
      </c>
      <c r="N173">
        <v>42.53</v>
      </c>
    </row>
    <row r="174" spans="1:14">
      <c r="A174" s="1" t="s">
        <v>186</v>
      </c>
      <c r="B174">
        <f>HYPERLINK("https://www.suredividend.com/sure-analysis-research-database/","A-Mark Precious Metals Inc")</f>
        <v>0</v>
      </c>
      <c r="C174" t="s">
        <v>3221</v>
      </c>
      <c r="D174">
        <v>84.01000000000001</v>
      </c>
      <c r="E174">
        <v>0</v>
      </c>
      <c r="H174">
        <v>0</v>
      </c>
      <c r="I174">
        <v>967.29198</v>
      </c>
      <c r="J174">
        <v>0</v>
      </c>
      <c r="K174" t="s">
        <v>3219</v>
      </c>
      <c r="L174">
        <v>1.162225720382534</v>
      </c>
      <c r="M174">
        <v>85.81</v>
      </c>
      <c r="N174">
        <v>33.05</v>
      </c>
    </row>
    <row r="175" spans="1:14">
      <c r="A175" s="1" t="s">
        <v>187</v>
      </c>
      <c r="B175">
        <f>HYPERLINK("https://www.suredividend.com/sure-analysis-research-database/","Amyris Inc")</f>
        <v>0</v>
      </c>
      <c r="C175" t="s">
        <v>3218</v>
      </c>
      <c r="D175">
        <v>4.53</v>
      </c>
      <c r="E175">
        <v>0</v>
      </c>
      <c r="H175">
        <v>0</v>
      </c>
      <c r="I175">
        <v>1440.427969</v>
      </c>
      <c r="J175">
        <v>0</v>
      </c>
      <c r="K175" t="s">
        <v>3219</v>
      </c>
      <c r="L175">
        <v>2.612425200461607</v>
      </c>
      <c r="M175">
        <v>17.42</v>
      </c>
      <c r="N175">
        <v>3.65</v>
      </c>
    </row>
    <row r="176" spans="1:14">
      <c r="A176" s="1" t="s">
        <v>188</v>
      </c>
      <c r="B176">
        <f>HYPERLINK("https://www.suredividend.com/sure-analysis-research-database/","Amneal Pharmaceuticals Inc")</f>
        <v>0</v>
      </c>
      <c r="C176" t="s">
        <v>3217</v>
      </c>
      <c r="D176">
        <v>4.12</v>
      </c>
      <c r="E176">
        <v>0</v>
      </c>
      <c r="H176">
        <v>0</v>
      </c>
      <c r="I176">
        <v>620.633385</v>
      </c>
      <c r="J176">
        <v>58.41805200677711</v>
      </c>
      <c r="K176">
        <v>0</v>
      </c>
      <c r="L176">
        <v>0.8184610929082941</v>
      </c>
      <c r="M176">
        <v>6.21</v>
      </c>
      <c r="N176">
        <v>3.86</v>
      </c>
    </row>
    <row r="177" spans="1:14">
      <c r="A177" s="1" t="s">
        <v>189</v>
      </c>
      <c r="B177">
        <f>HYPERLINK("https://www.suredividend.com/sure-analysis-research-database/","American Shared Hospital Services")</f>
        <v>0</v>
      </c>
      <c r="C177" t="s">
        <v>3217</v>
      </c>
      <c r="D177">
        <v>2.33</v>
      </c>
      <c r="E177">
        <v>0</v>
      </c>
      <c r="H177">
        <v>0</v>
      </c>
      <c r="I177">
        <v>14.09417</v>
      </c>
      <c r="J177">
        <v>0</v>
      </c>
      <c r="K177" t="s">
        <v>3219</v>
      </c>
      <c r="L177">
        <v>1.157143043956497</v>
      </c>
      <c r="M177">
        <v>5.04</v>
      </c>
      <c r="N177">
        <v>2.08</v>
      </c>
    </row>
    <row r="178" spans="1:14">
      <c r="A178" s="1" t="s">
        <v>190</v>
      </c>
      <c r="B178">
        <f>HYPERLINK("https://www.suredividend.com/sure-analysis-research-database/","American Superconductor Corp.")</f>
        <v>0</v>
      </c>
      <c r="C178" t="s">
        <v>3220</v>
      </c>
      <c r="D178">
        <v>6.86</v>
      </c>
      <c r="E178">
        <v>0</v>
      </c>
      <c r="H178">
        <v>0</v>
      </c>
      <c r="I178">
        <v>195.220158</v>
      </c>
      <c r="J178" t="s">
        <v>3219</v>
      </c>
      <c r="K178">
        <v>-0</v>
      </c>
      <c r="L178">
        <v>1.578344383931881</v>
      </c>
      <c r="M178">
        <v>19.43</v>
      </c>
      <c r="N178">
        <v>6.75</v>
      </c>
    </row>
    <row r="179" spans="1:14">
      <c r="A179" s="1" t="s">
        <v>191</v>
      </c>
      <c r="B179">
        <f>HYPERLINK("https://www.suredividend.com/sure-analysis-research-database/","Amerisafe Inc")</f>
        <v>0</v>
      </c>
      <c r="C179" t="s">
        <v>3221</v>
      </c>
      <c r="D179">
        <v>46.53</v>
      </c>
      <c r="E179">
        <v>0.024366602954646</v>
      </c>
      <c r="F179">
        <v>0.06896551724137945</v>
      </c>
      <c r="G179">
        <v>0.07099588603959828</v>
      </c>
      <c r="H179">
        <v>1.133778035479699</v>
      </c>
      <c r="I179">
        <v>901.0094329999999</v>
      </c>
      <c r="J179">
        <v>13.70231511375388</v>
      </c>
      <c r="K179">
        <v>0.3344477980766074</v>
      </c>
      <c r="L179">
        <v>0.6123230183955161</v>
      </c>
      <c r="M179">
        <v>61.53</v>
      </c>
      <c r="N179">
        <v>43.77</v>
      </c>
    </row>
    <row r="180" spans="1:14">
      <c r="A180" s="1" t="s">
        <v>192</v>
      </c>
      <c r="B180">
        <f>HYPERLINK("https://www.suredividend.com/sure-analysis-research-database/","American Software Inc.")</f>
        <v>0</v>
      </c>
      <c r="C180" t="s">
        <v>3222</v>
      </c>
      <c r="D180">
        <v>18.76</v>
      </c>
      <c r="E180">
        <v>0.023295277667424</v>
      </c>
      <c r="F180">
        <v>0</v>
      </c>
      <c r="G180">
        <v>0</v>
      </c>
      <c r="H180">
        <v>0.4370194090408761</v>
      </c>
      <c r="I180">
        <v>595.368542</v>
      </c>
      <c r="J180">
        <v>0</v>
      </c>
      <c r="K180" t="s">
        <v>3219</v>
      </c>
      <c r="L180">
        <v>1.230165490881097</v>
      </c>
      <c r="M180">
        <v>32.98</v>
      </c>
      <c r="N180">
        <v>18.16</v>
      </c>
    </row>
    <row r="181" spans="1:14">
      <c r="A181" s="1" t="s">
        <v>193</v>
      </c>
      <c r="B181">
        <f>HYPERLINK("https://www.suredividend.com/sure-analysis-AMT/","American Tower Corp.")</f>
        <v>0</v>
      </c>
      <c r="C181" t="s">
        <v>3224</v>
      </c>
      <c r="D181">
        <v>255.54</v>
      </c>
      <c r="E181">
        <v>0.02191437739688503</v>
      </c>
      <c r="F181">
        <v>0.129032258064516</v>
      </c>
      <c r="G181">
        <v>0.1694714187140103</v>
      </c>
      <c r="H181">
        <v>5.330373524957623</v>
      </c>
      <c r="I181">
        <v>116587.5765</v>
      </c>
      <c r="J181">
        <v>45.40545098710129</v>
      </c>
      <c r="K181">
        <v>0.9417621068829722</v>
      </c>
      <c r="L181">
        <v>0.6109210129314601</v>
      </c>
      <c r="M181">
        <v>299.22</v>
      </c>
      <c r="N181">
        <v>218.83</v>
      </c>
    </row>
    <row r="182" spans="1:14">
      <c r="A182" s="1" t="s">
        <v>194</v>
      </c>
      <c r="B182">
        <f>HYPERLINK("https://www.suredividend.com/sure-analysis-research-database/","AMTD IDEA Group")</f>
        <v>0</v>
      </c>
      <c r="C182" t="s">
        <v>3221</v>
      </c>
      <c r="D182">
        <v>2.29</v>
      </c>
      <c r="E182">
        <v>0</v>
      </c>
      <c r="H182">
        <v>0</v>
      </c>
      <c r="I182">
        <v>142.730779</v>
      </c>
      <c r="J182">
        <v>0</v>
      </c>
      <c r="K182" t="s">
        <v>3219</v>
      </c>
      <c r="M182">
        <v>7.91</v>
      </c>
      <c r="N182">
        <v>2.2</v>
      </c>
    </row>
    <row r="183" spans="1:14">
      <c r="A183" s="1" t="s">
        <v>195</v>
      </c>
      <c r="B183">
        <f>HYPERLINK("https://www.suredividend.com/sure-analysis-research-database/","Aemetis Inc")</f>
        <v>0</v>
      </c>
      <c r="C183" t="s">
        <v>3226</v>
      </c>
      <c r="D183">
        <v>13.17</v>
      </c>
      <c r="E183">
        <v>0</v>
      </c>
      <c r="H183">
        <v>0</v>
      </c>
      <c r="I183">
        <v>449.24856</v>
      </c>
      <c r="J183">
        <v>0</v>
      </c>
      <c r="K183" t="s">
        <v>3219</v>
      </c>
      <c r="L183">
        <v>1.73071522714204</v>
      </c>
      <c r="M183">
        <v>23.33</v>
      </c>
      <c r="N183">
        <v>7.88</v>
      </c>
    </row>
    <row r="184" spans="1:14">
      <c r="A184" s="1" t="s">
        <v>196</v>
      </c>
      <c r="B184">
        <f>HYPERLINK("https://www.suredividend.com/sure-analysis-research-database/","American Woodmark Corp.")</f>
        <v>0</v>
      </c>
      <c r="C184" t="s">
        <v>3223</v>
      </c>
      <c r="D184">
        <v>46.27</v>
      </c>
      <c r="E184">
        <v>0</v>
      </c>
      <c r="H184">
        <v>0</v>
      </c>
      <c r="I184">
        <v>766.722541</v>
      </c>
      <c r="J184" t="s">
        <v>3219</v>
      </c>
      <c r="K184">
        <v>-0</v>
      </c>
      <c r="L184">
        <v>1.294113234505253</v>
      </c>
      <c r="M184">
        <v>105.21</v>
      </c>
      <c r="N184">
        <v>44.01</v>
      </c>
    </row>
    <row r="185" spans="1:14">
      <c r="A185" s="1" t="s">
        <v>197</v>
      </c>
      <c r="B185">
        <f>HYPERLINK("https://www.suredividend.com/sure-analysis-research-database/","Amazon.com Inc.")</f>
        <v>0</v>
      </c>
      <c r="C185" t="s">
        <v>3223</v>
      </c>
      <c r="D185">
        <v>3034.13</v>
      </c>
      <c r="E185">
        <v>0</v>
      </c>
      <c r="H185">
        <v>0</v>
      </c>
      <c r="I185">
        <v>1543230.099195</v>
      </c>
      <c r="J185">
        <v>46.254348974792</v>
      </c>
      <c r="K185">
        <v>0</v>
      </c>
      <c r="L185">
        <v>1.304336525095682</v>
      </c>
      <c r="M185">
        <v>3773.08</v>
      </c>
      <c r="N185">
        <v>2671.45</v>
      </c>
    </row>
    <row r="186" spans="1:14">
      <c r="A186" s="1" t="s">
        <v>198</v>
      </c>
      <c r="B186">
        <f>HYPERLINK("https://www.suredividend.com/sure-analysis-research-database/","Autonation Inc.")</f>
        <v>0</v>
      </c>
      <c r="C186" t="s">
        <v>3223</v>
      </c>
      <c r="D186">
        <v>101.46</v>
      </c>
      <c r="E186">
        <v>0</v>
      </c>
      <c r="H186">
        <v>0</v>
      </c>
      <c r="I186">
        <v>6226.758376</v>
      </c>
      <c r="J186">
        <v>4.53514812537509</v>
      </c>
      <c r="K186">
        <v>0</v>
      </c>
      <c r="L186">
        <v>1.014102777596873</v>
      </c>
      <c r="M186">
        <v>133.48</v>
      </c>
      <c r="N186">
        <v>88.31999999999999</v>
      </c>
    </row>
    <row r="187" spans="1:14">
      <c r="A187" s="1" t="s">
        <v>199</v>
      </c>
      <c r="B187">
        <f>HYPERLINK("https://www.suredividend.com/sure-analysis-research-database/","AnaptysBio Inc")</f>
        <v>0</v>
      </c>
      <c r="C187" t="s">
        <v>3217</v>
      </c>
      <c r="D187">
        <v>22.86</v>
      </c>
      <c r="E187">
        <v>0</v>
      </c>
      <c r="H187">
        <v>0</v>
      </c>
      <c r="I187">
        <v>632.591704</v>
      </c>
      <c r="J187" t="s">
        <v>3219</v>
      </c>
      <c r="K187">
        <v>-0</v>
      </c>
      <c r="L187">
        <v>1.025581924766129</v>
      </c>
      <c r="M187">
        <v>37.89</v>
      </c>
      <c r="N187">
        <v>21.17</v>
      </c>
    </row>
    <row r="188" spans="1:14">
      <c r="A188" s="1" t="s">
        <v>200</v>
      </c>
      <c r="B188">
        <f>HYPERLINK("https://www.suredividend.com/sure-analysis-research-database/","American National Group Inc")</f>
        <v>0</v>
      </c>
      <c r="C188" t="s">
        <v>3221</v>
      </c>
      <c r="D188">
        <v>189.17</v>
      </c>
      <c r="E188">
        <v>0.017227210943816</v>
      </c>
      <c r="H188">
        <v>3.258871494241681</v>
      </c>
      <c r="I188">
        <v>5086.251624</v>
      </c>
      <c r="J188">
        <v>7.273087082543881</v>
      </c>
      <c r="K188">
        <v>0.1252930216932595</v>
      </c>
      <c r="L188">
        <v>0.13462691493694</v>
      </c>
      <c r="M188">
        <v>193.38</v>
      </c>
      <c r="N188">
        <v>109.23</v>
      </c>
    </row>
    <row r="189" spans="1:14">
      <c r="A189" s="1" t="s">
        <v>201</v>
      </c>
      <c r="B189">
        <f>HYPERLINK("https://www.suredividend.com/sure-analysis-ANDE/","Andersons Inc.")</f>
        <v>0</v>
      </c>
      <c r="C189" t="s">
        <v>3225</v>
      </c>
      <c r="D189">
        <v>58.39</v>
      </c>
      <c r="E189">
        <v>0.01233087857509848</v>
      </c>
      <c r="F189">
        <v>0.02857142857142847</v>
      </c>
      <c r="G189">
        <v>0.02383625553960966</v>
      </c>
      <c r="H189">
        <v>0.705541918275952</v>
      </c>
      <c r="I189">
        <v>1984.545248</v>
      </c>
      <c r="J189">
        <v>19.08473494518493</v>
      </c>
      <c r="K189">
        <v>0.2298182144221342</v>
      </c>
      <c r="L189">
        <v>0.8202509420189471</v>
      </c>
      <c r="M189">
        <v>58.94</v>
      </c>
      <c r="N189">
        <v>24.85</v>
      </c>
    </row>
    <row r="190" spans="1:14">
      <c r="A190" s="1" t="s">
        <v>202</v>
      </c>
      <c r="B190">
        <f>HYPERLINK("https://www.suredividend.com/sure-analysis-research-database/","Arista Networks Inc")</f>
        <v>0</v>
      </c>
      <c r="C190" t="s">
        <v>3222</v>
      </c>
      <c r="D190">
        <v>126.58</v>
      </c>
      <c r="E190">
        <v>0</v>
      </c>
      <c r="H190">
        <v>0</v>
      </c>
      <c r="I190">
        <v>38957.093443</v>
      </c>
      <c r="J190">
        <v>46.33038963154127</v>
      </c>
      <c r="K190">
        <v>0</v>
      </c>
      <c r="L190">
        <v>1.537450725115711</v>
      </c>
      <c r="M190">
        <v>148.57</v>
      </c>
      <c r="N190">
        <v>75.65000000000001</v>
      </c>
    </row>
    <row r="191" spans="1:14">
      <c r="A191" s="1" t="s">
        <v>203</v>
      </c>
      <c r="B191">
        <f>HYPERLINK("https://www.suredividend.com/sure-analysis-research-database/","Abercrombie &amp; Fitch Co.")</f>
        <v>0</v>
      </c>
      <c r="C191" t="s">
        <v>3223</v>
      </c>
      <c r="D191">
        <v>34.49</v>
      </c>
      <c r="E191">
        <v>0</v>
      </c>
      <c r="H191">
        <v>0</v>
      </c>
      <c r="I191">
        <v>1746.081324</v>
      </c>
      <c r="J191">
        <v>6.638840060187825</v>
      </c>
      <c r="K191">
        <v>0</v>
      </c>
      <c r="L191">
        <v>1.483923562501455</v>
      </c>
      <c r="M191">
        <v>48.97</v>
      </c>
      <c r="N191">
        <v>26.47</v>
      </c>
    </row>
    <row r="192" spans="1:14">
      <c r="A192" s="1" t="s">
        <v>204</v>
      </c>
      <c r="B192">
        <f>HYPERLINK("https://www.suredividend.com/sure-analysis-research-database/","Angi Inc")</f>
        <v>0</v>
      </c>
      <c r="C192" t="s">
        <v>3228</v>
      </c>
      <c r="D192">
        <v>5.06</v>
      </c>
      <c r="E192">
        <v>0</v>
      </c>
      <c r="H192">
        <v>0</v>
      </c>
      <c r="I192">
        <v>402.813004</v>
      </c>
      <c r="J192" t="s">
        <v>3219</v>
      </c>
      <c r="K192">
        <v>-0</v>
      </c>
      <c r="L192">
        <v>1.696448140029515</v>
      </c>
      <c r="M192">
        <v>16.96</v>
      </c>
      <c r="N192">
        <v>5.04</v>
      </c>
    </row>
    <row r="193" spans="1:14">
      <c r="A193" s="1" t="s">
        <v>205</v>
      </c>
      <c r="B193">
        <f>HYPERLINK("https://www.suredividend.com/sure-analysis-research-database/","Angiodynamic Inc")</f>
        <v>0</v>
      </c>
      <c r="C193" t="s">
        <v>3217</v>
      </c>
      <c r="D193">
        <v>22.92</v>
      </c>
      <c r="E193">
        <v>0</v>
      </c>
      <c r="H193">
        <v>0</v>
      </c>
      <c r="I193">
        <v>887.387681</v>
      </c>
      <c r="J193" t="s">
        <v>3219</v>
      </c>
      <c r="K193">
        <v>-0</v>
      </c>
      <c r="L193">
        <v>1.165620667032599</v>
      </c>
      <c r="M193">
        <v>32</v>
      </c>
      <c r="N193">
        <v>20.03</v>
      </c>
    </row>
    <row r="194" spans="1:14">
      <c r="A194" s="1" t="s">
        <v>206</v>
      </c>
      <c r="B194">
        <f>HYPERLINK("https://www.suredividend.com/sure-analysis-research-database/","Anworth Mortgage Asset Corp.")</f>
        <v>0</v>
      </c>
      <c r="C194" t="s">
        <v>3224</v>
      </c>
      <c r="D194">
        <v>2.98</v>
      </c>
      <c r="E194">
        <v>0.077325378967178</v>
      </c>
      <c r="H194">
        <v>0.23042962932219</v>
      </c>
      <c r="I194">
        <v>295.925866</v>
      </c>
      <c r="J194" t="s">
        <v>3219</v>
      </c>
      <c r="K194" t="s">
        <v>3219</v>
      </c>
      <c r="L194">
        <v>1.59387389050198</v>
      </c>
      <c r="M194">
        <v>3.19</v>
      </c>
      <c r="N194">
        <v>0.6996</v>
      </c>
    </row>
    <row r="195" spans="1:14">
      <c r="A195" s="1" t="s">
        <v>207</v>
      </c>
      <c r="B195">
        <f>HYPERLINK("https://www.suredividend.com/sure-analysis-research-database/","Anika Therapeutics Inc.")</f>
        <v>0</v>
      </c>
      <c r="C195" t="s">
        <v>3217</v>
      </c>
      <c r="D195">
        <v>23.19</v>
      </c>
      <c r="E195">
        <v>0</v>
      </c>
      <c r="H195">
        <v>0</v>
      </c>
      <c r="I195">
        <v>335.489962</v>
      </c>
      <c r="J195">
        <v>81.15383693759071</v>
      </c>
      <c r="K195">
        <v>0</v>
      </c>
      <c r="L195">
        <v>0.7418476091353411</v>
      </c>
      <c r="M195">
        <v>48.37</v>
      </c>
      <c r="N195">
        <v>23.12</v>
      </c>
    </row>
    <row r="196" spans="1:14">
      <c r="A196" s="1" t="s">
        <v>208</v>
      </c>
      <c r="B196">
        <f>HYPERLINK("https://www.suredividend.com/sure-analysis-research-database/","ANI Pharmaceuticals Inc")</f>
        <v>0</v>
      </c>
      <c r="C196" t="s">
        <v>3217</v>
      </c>
      <c r="D196">
        <v>32.16</v>
      </c>
      <c r="E196">
        <v>0</v>
      </c>
      <c r="H196">
        <v>0</v>
      </c>
      <c r="I196">
        <v>555.120771</v>
      </c>
      <c r="J196" t="s">
        <v>3219</v>
      </c>
      <c r="K196">
        <v>-0</v>
      </c>
      <c r="L196">
        <v>0.7281997188885351</v>
      </c>
      <c r="M196">
        <v>60.23</v>
      </c>
      <c r="N196">
        <v>24.41</v>
      </c>
    </row>
    <row r="197" spans="1:14">
      <c r="A197" s="1" t="s">
        <v>209</v>
      </c>
      <c r="B197">
        <f>HYPERLINK("https://www.suredividend.com/sure-analysis-research-database/","Anixa Biosciences Inc")</f>
        <v>0</v>
      </c>
      <c r="C197" t="s">
        <v>3217</v>
      </c>
      <c r="D197">
        <v>2.62</v>
      </c>
      <c r="E197">
        <v>0</v>
      </c>
      <c r="H197">
        <v>0</v>
      </c>
      <c r="I197">
        <v>78.946676</v>
      </c>
      <c r="J197">
        <v>0</v>
      </c>
      <c r="K197" t="s">
        <v>3219</v>
      </c>
      <c r="L197">
        <v>0.9387620183095541</v>
      </c>
      <c r="M197">
        <v>5.87</v>
      </c>
      <c r="N197">
        <v>2.3</v>
      </c>
    </row>
    <row r="198" spans="1:14">
      <c r="A198" s="1" t="s">
        <v>210</v>
      </c>
      <c r="B198">
        <f>HYPERLINK("https://www.suredividend.com/sure-analysis-research-database/","Ansys Inc.")</f>
        <v>0</v>
      </c>
      <c r="C198" t="s">
        <v>3222</v>
      </c>
      <c r="D198">
        <v>282.33</v>
      </c>
      <c r="E198">
        <v>0</v>
      </c>
      <c r="H198">
        <v>0</v>
      </c>
      <c r="I198">
        <v>24570.066108</v>
      </c>
      <c r="J198">
        <v>54.04444986362447</v>
      </c>
      <c r="K198">
        <v>0</v>
      </c>
      <c r="L198">
        <v>1.491469082120065</v>
      </c>
      <c r="M198">
        <v>413.89</v>
      </c>
      <c r="N198">
        <v>258</v>
      </c>
    </row>
    <row r="199" spans="1:14">
      <c r="A199" s="1" t="s">
        <v>211</v>
      </c>
      <c r="B199">
        <f>HYPERLINK("https://www.suredividend.com/sure-analysis-ANTM/","Anthem Inc")</f>
        <v>0</v>
      </c>
      <c r="C199" t="s">
        <v>3217</v>
      </c>
      <c r="D199">
        <v>516.72</v>
      </c>
      <c r="E199">
        <v>0.008747484130670381</v>
      </c>
      <c r="F199">
        <v>0.1327433628318586</v>
      </c>
      <c r="G199">
        <v>0.1451419450570894</v>
      </c>
      <c r="H199">
        <v>4.650769029761075</v>
      </c>
      <c r="I199">
        <v>130866.777151</v>
      </c>
      <c r="J199">
        <v>21.43951132879423</v>
      </c>
      <c r="K199">
        <v>0.1880618289430277</v>
      </c>
      <c r="L199">
        <v>0.720279833984363</v>
      </c>
      <c r="M199">
        <v>526.62</v>
      </c>
      <c r="N199">
        <v>353.45</v>
      </c>
    </row>
    <row r="200" spans="1:14">
      <c r="A200" s="1" t="s">
        <v>212</v>
      </c>
      <c r="B200">
        <f>HYPERLINK("https://www.suredividend.com/sure-analysis-AON/","Aon plc.")</f>
        <v>0</v>
      </c>
      <c r="C200" t="s">
        <v>3221</v>
      </c>
      <c r="D200">
        <v>328.26</v>
      </c>
      <c r="E200">
        <v>0.006823859136050692</v>
      </c>
      <c r="H200">
        <v>2.03451214879781</v>
      </c>
      <c r="I200">
        <v>72326.315594</v>
      </c>
      <c r="J200">
        <v>0</v>
      </c>
      <c r="K200" t="s">
        <v>3219</v>
      </c>
      <c r="L200">
        <v>0.7646014598448581</v>
      </c>
      <c r="M200">
        <v>336.41</v>
      </c>
      <c r="N200">
        <v>221.98</v>
      </c>
    </row>
    <row r="201" spans="1:14">
      <c r="A201" s="1" t="s">
        <v>213</v>
      </c>
      <c r="B201">
        <f>HYPERLINK("https://www.suredividend.com/sure-analysis-AOS/","A.O. Smith Corp.")</f>
        <v>0</v>
      </c>
      <c r="C201" t="s">
        <v>3220</v>
      </c>
      <c r="D201">
        <v>63.79</v>
      </c>
      <c r="E201">
        <v>0.01755761091080107</v>
      </c>
      <c r="F201">
        <v>0.07692307692307709</v>
      </c>
      <c r="G201">
        <v>0.1486983549970351</v>
      </c>
      <c r="H201">
        <v>1.07382252821803</v>
      </c>
      <c r="I201">
        <v>10299.66098</v>
      </c>
      <c r="J201">
        <v>21.1448593307329</v>
      </c>
      <c r="K201">
        <v>0.3555703735821292</v>
      </c>
      <c r="L201">
        <v>1.012218781511202</v>
      </c>
      <c r="M201">
        <v>86.42</v>
      </c>
      <c r="N201">
        <v>59.9</v>
      </c>
    </row>
    <row r="202" spans="1:14">
      <c r="A202" s="1" t="s">
        <v>214</v>
      </c>
      <c r="B202">
        <f>HYPERLINK("https://www.suredividend.com/sure-analysis-research-database/","Alpha &amp; Omega Semiconductor Ltd")</f>
        <v>0</v>
      </c>
      <c r="C202" t="s">
        <v>3222</v>
      </c>
      <c r="D202">
        <v>44.89</v>
      </c>
      <c r="E202">
        <v>0</v>
      </c>
      <c r="H202">
        <v>0</v>
      </c>
      <c r="I202">
        <v>1198.896533</v>
      </c>
      <c r="J202">
        <v>0</v>
      </c>
      <c r="K202" t="s">
        <v>3219</v>
      </c>
      <c r="L202">
        <v>2.755046244184034</v>
      </c>
      <c r="M202">
        <v>69.98999999999999</v>
      </c>
      <c r="N202">
        <v>23.66</v>
      </c>
    </row>
    <row r="203" spans="1:14">
      <c r="A203" s="1" t="s">
        <v>215</v>
      </c>
      <c r="B203">
        <f>HYPERLINK("https://www.suredividend.com/sure-analysis-research-database/","Ampco-Pittsburgh Corp.")</f>
        <v>0</v>
      </c>
      <c r="C203" t="s">
        <v>3220</v>
      </c>
      <c r="D203">
        <v>5.5</v>
      </c>
      <c r="E203">
        <v>0</v>
      </c>
      <c r="H203">
        <v>0</v>
      </c>
      <c r="I203">
        <v>105.547948</v>
      </c>
      <c r="J203" t="s">
        <v>3219</v>
      </c>
      <c r="K203">
        <v>-0</v>
      </c>
      <c r="L203">
        <v>0.7924909406145331</v>
      </c>
      <c r="M203">
        <v>8.19</v>
      </c>
      <c r="N203">
        <v>4.12</v>
      </c>
    </row>
    <row r="204" spans="1:14">
      <c r="A204" s="1" t="s">
        <v>216</v>
      </c>
      <c r="B204">
        <f>HYPERLINK("https://www.suredividend.com/sure-analysis-APA/","APA Corporation")</f>
        <v>0</v>
      </c>
      <c r="C204" t="s">
        <v>3226</v>
      </c>
      <c r="D204">
        <v>43.68</v>
      </c>
      <c r="E204">
        <v>0.01144688644688645</v>
      </c>
      <c r="F204">
        <v>4</v>
      </c>
      <c r="G204">
        <v>-0.1294494367038759</v>
      </c>
      <c r="H204">
        <v>0.236916830825207</v>
      </c>
      <c r="I204">
        <v>15153.77979</v>
      </c>
      <c r="J204">
        <v>15.57428549870504</v>
      </c>
      <c r="K204">
        <v>0.09147367985529228</v>
      </c>
      <c r="L204">
        <v>1.403264094425829</v>
      </c>
      <c r="M204">
        <v>44.28</v>
      </c>
      <c r="N204">
        <v>15.45</v>
      </c>
    </row>
    <row r="205" spans="1:14">
      <c r="A205" s="1" t="s">
        <v>217</v>
      </c>
      <c r="B205">
        <f>HYPERLINK("https://www.suredividend.com/sure-analysis-APAM/","Artisan Partners Asset Management Inc")</f>
        <v>0</v>
      </c>
      <c r="C205" t="s">
        <v>3221</v>
      </c>
      <c r="D205">
        <v>37.3</v>
      </c>
      <c r="E205">
        <v>0.110455764075067</v>
      </c>
      <c r="F205">
        <v>-0.1818181818181819</v>
      </c>
      <c r="G205">
        <v>0.03713728933664795</v>
      </c>
      <c r="H205">
        <v>4.57297019483374</v>
      </c>
      <c r="I205">
        <v>2432.552734</v>
      </c>
      <c r="J205">
        <v>7.973334516496987</v>
      </c>
      <c r="K205">
        <v>0.8984224351343301</v>
      </c>
      <c r="L205">
        <v>1.558734632936535</v>
      </c>
      <c r="M205">
        <v>52.66</v>
      </c>
      <c r="N205">
        <v>33.93</v>
      </c>
    </row>
    <row r="206" spans="1:14">
      <c r="A206" s="1" t="s">
        <v>218</v>
      </c>
      <c r="B206">
        <f>HYPERLINK("https://www.suredividend.com/sure-analysis-APD/","Air Products &amp; Chemicals Inc.")</f>
        <v>0</v>
      </c>
      <c r="C206" t="s">
        <v>3218</v>
      </c>
      <c r="D206">
        <v>246.84</v>
      </c>
      <c r="E206">
        <v>0.02625182304326689</v>
      </c>
      <c r="F206">
        <v>0.08000000000000007</v>
      </c>
      <c r="G206">
        <v>0.1126492559671668</v>
      </c>
      <c r="H206">
        <v>6.067942428505339</v>
      </c>
      <c r="I206">
        <v>54728.719807</v>
      </c>
      <c r="J206">
        <v>25.13374043953157</v>
      </c>
      <c r="K206">
        <v>0.6198102582742941</v>
      </c>
      <c r="L206">
        <v>0.7786039053977171</v>
      </c>
      <c r="M206">
        <v>312.81</v>
      </c>
      <c r="N206">
        <v>214.86</v>
      </c>
    </row>
    <row r="207" spans="1:14">
      <c r="A207" s="1" t="s">
        <v>219</v>
      </c>
      <c r="B207">
        <f>HYPERLINK("https://www.suredividend.com/sure-analysis-research-database/","Applied Dna Sciences Inc")</f>
        <v>0</v>
      </c>
      <c r="C207" t="s">
        <v>3220</v>
      </c>
      <c r="D207">
        <v>1.93</v>
      </c>
      <c r="E207">
        <v>0</v>
      </c>
      <c r="H207">
        <v>0</v>
      </c>
      <c r="I207">
        <v>14.448212</v>
      </c>
      <c r="J207">
        <v>0</v>
      </c>
      <c r="K207" t="s">
        <v>3219</v>
      </c>
      <c r="L207">
        <v>1.059260756249987</v>
      </c>
      <c r="M207">
        <v>8.1</v>
      </c>
      <c r="N207">
        <v>1.88</v>
      </c>
    </row>
    <row r="208" spans="1:14">
      <c r="A208" s="1" t="s">
        <v>220</v>
      </c>
      <c r="B208">
        <f>HYPERLINK("https://www.suredividend.com/sure-analysis-research-database/","American Public Education Inc")</f>
        <v>0</v>
      </c>
      <c r="C208" t="s">
        <v>3225</v>
      </c>
      <c r="D208">
        <v>21.9</v>
      </c>
      <c r="E208">
        <v>0</v>
      </c>
      <c r="H208">
        <v>0</v>
      </c>
      <c r="I208">
        <v>412.954109</v>
      </c>
      <c r="J208">
        <v>23.26239909869311</v>
      </c>
      <c r="K208">
        <v>0</v>
      </c>
      <c r="L208">
        <v>0.618026148136205</v>
      </c>
      <c r="M208">
        <v>34.12</v>
      </c>
      <c r="N208">
        <v>16.97</v>
      </c>
    </row>
    <row r="209" spans="1:14">
      <c r="A209" s="1" t="s">
        <v>221</v>
      </c>
      <c r="B209">
        <f>HYPERLINK("https://www.suredividend.com/sure-analysis-research-database/","Apollo Endosurgery Inc")</f>
        <v>0</v>
      </c>
      <c r="C209" t="s">
        <v>3217</v>
      </c>
      <c r="D209">
        <v>5.91</v>
      </c>
      <c r="E209">
        <v>0</v>
      </c>
      <c r="H209">
        <v>0</v>
      </c>
      <c r="I209">
        <v>234.173898</v>
      </c>
      <c r="J209">
        <v>0</v>
      </c>
      <c r="K209" t="s">
        <v>3219</v>
      </c>
      <c r="L209">
        <v>1.079345360772202</v>
      </c>
      <c r="M209">
        <v>10.39</v>
      </c>
      <c r="N209">
        <v>4.52</v>
      </c>
    </row>
    <row r="210" spans="1:14">
      <c r="A210" s="1" t="s">
        <v>222</v>
      </c>
      <c r="B210">
        <f>HYPERLINK("https://www.suredividend.com/sure-analysis-research-database/","Apex Global Brands Inc")</f>
        <v>0</v>
      </c>
      <c r="C210" t="s">
        <v>3223</v>
      </c>
      <c r="D210">
        <v>6.89</v>
      </c>
      <c r="E210">
        <v>0</v>
      </c>
      <c r="H210">
        <v>0</v>
      </c>
      <c r="I210">
        <v>0</v>
      </c>
      <c r="J210">
        <v>0</v>
      </c>
      <c r="K210">
        <v>-0</v>
      </c>
    </row>
    <row r="211" spans="1:14">
      <c r="A211" s="1" t="s">
        <v>223</v>
      </c>
      <c r="B211">
        <f>HYPERLINK("https://www.suredividend.com/sure-analysis-research-database/","Amphenol Corp.")</f>
        <v>0</v>
      </c>
      <c r="C211" t="s">
        <v>3222</v>
      </c>
      <c r="D211">
        <v>70.38</v>
      </c>
      <c r="E211">
        <v>0.009771886156378001</v>
      </c>
      <c r="H211">
        <v>0.687745347685893</v>
      </c>
      <c r="I211">
        <v>42054.752803</v>
      </c>
      <c r="J211">
        <v>26.43622881766406</v>
      </c>
      <c r="K211">
        <v>0.2707658849157059</v>
      </c>
      <c r="L211">
        <v>1.201624997480371</v>
      </c>
      <c r="M211">
        <v>88.22</v>
      </c>
      <c r="N211">
        <v>63.55</v>
      </c>
    </row>
    <row r="212" spans="1:14">
      <c r="A212" s="1" t="s">
        <v>224</v>
      </c>
      <c r="B212">
        <f>HYPERLINK("https://www.suredividend.com/sure-analysis-APLE/","Apple Hospitality REIT Inc")</f>
        <v>0</v>
      </c>
      <c r="C212" t="s">
        <v>3224</v>
      </c>
      <c r="D212">
        <v>17.67</v>
      </c>
      <c r="E212">
        <v>0.03395585738539898</v>
      </c>
      <c r="F212">
        <v>4</v>
      </c>
      <c r="G212">
        <v>-0.1294494367038759</v>
      </c>
      <c r="H212">
        <v>0.129675476457914</v>
      </c>
      <c r="I212">
        <v>4044.460873</v>
      </c>
      <c r="J212">
        <v>214.8109662667304</v>
      </c>
      <c r="K212">
        <v>1.55859947665762</v>
      </c>
      <c r="L212">
        <v>1.034479832346411</v>
      </c>
      <c r="M212">
        <v>18.6</v>
      </c>
      <c r="N212">
        <v>13.74</v>
      </c>
    </row>
    <row r="213" spans="1:14">
      <c r="A213" s="1" t="s">
        <v>225</v>
      </c>
      <c r="B213">
        <f>HYPERLINK("https://www.suredividend.com/sure-analysis-research-database/","Apellis Pharmaceuticals Inc")</f>
        <v>0</v>
      </c>
      <c r="C213" t="s">
        <v>3217</v>
      </c>
      <c r="D213">
        <v>52.81</v>
      </c>
      <c r="E213">
        <v>0</v>
      </c>
      <c r="H213">
        <v>0</v>
      </c>
      <c r="I213">
        <v>5602.503689</v>
      </c>
      <c r="J213">
        <v>0</v>
      </c>
      <c r="K213" t="s">
        <v>3219</v>
      </c>
      <c r="L213">
        <v>1.30185121070834</v>
      </c>
      <c r="M213">
        <v>73</v>
      </c>
      <c r="N213">
        <v>27.5</v>
      </c>
    </row>
    <row r="214" spans="1:14">
      <c r="A214" s="1" t="s">
        <v>226</v>
      </c>
      <c r="B214">
        <f>HYPERLINK("https://www.suredividend.com/sure-analysis-research-database/","Apogee Enterprises Inc.")</f>
        <v>0</v>
      </c>
      <c r="C214" t="s">
        <v>3220</v>
      </c>
      <c r="D214">
        <v>46.02</v>
      </c>
      <c r="E214">
        <v>0.01769058585907</v>
      </c>
      <c r="F214">
        <v>0.09999999999999987</v>
      </c>
      <c r="G214">
        <v>0.09460878422315755</v>
      </c>
      <c r="H214">
        <v>0.814120761234421</v>
      </c>
      <c r="I214">
        <v>1144.30939</v>
      </c>
      <c r="J214" t="s">
        <v>3219</v>
      </c>
      <c r="K214" t="s">
        <v>3219</v>
      </c>
      <c r="L214">
        <v>1.232511612635168</v>
      </c>
      <c r="M214">
        <v>50.23</v>
      </c>
      <c r="N214">
        <v>33.55</v>
      </c>
    </row>
    <row r="215" spans="1:14">
      <c r="A215" s="1" t="s">
        <v>227</v>
      </c>
      <c r="B215">
        <f>HYPERLINK("https://www.suredividend.com/sure-analysis-research-database/","Appfolio Inc")</f>
        <v>0</v>
      </c>
      <c r="C215" t="s">
        <v>3222</v>
      </c>
      <c r="D215">
        <v>112.99</v>
      </c>
      <c r="E215">
        <v>0</v>
      </c>
      <c r="H215">
        <v>0</v>
      </c>
      <c r="I215">
        <v>2171.054264</v>
      </c>
      <c r="J215">
        <v>2111.920490564202</v>
      </c>
      <c r="K215">
        <v>0</v>
      </c>
      <c r="L215">
        <v>1.046896561045136</v>
      </c>
      <c r="M215">
        <v>150.78</v>
      </c>
      <c r="N215">
        <v>103.63</v>
      </c>
    </row>
    <row r="216" spans="1:14">
      <c r="A216" s="1" t="s">
        <v>228</v>
      </c>
      <c r="B216">
        <f>HYPERLINK("https://www.suredividend.com/sure-analysis-research-database/","Appian Corp")</f>
        <v>0</v>
      </c>
      <c r="C216" t="s">
        <v>3222</v>
      </c>
      <c r="D216">
        <v>54.49</v>
      </c>
      <c r="E216">
        <v>0</v>
      </c>
      <c r="H216">
        <v>0</v>
      </c>
      <c r="I216">
        <v>2162.365358</v>
      </c>
      <c r="J216" t="s">
        <v>3219</v>
      </c>
      <c r="K216">
        <v>-0</v>
      </c>
      <c r="L216">
        <v>2.013339900449296</v>
      </c>
      <c r="M216">
        <v>149.82</v>
      </c>
      <c r="N216">
        <v>46.85</v>
      </c>
    </row>
    <row r="217" spans="1:14">
      <c r="A217" s="1" t="s">
        <v>229</v>
      </c>
      <c r="B217">
        <f>HYPERLINK("https://www.suredividend.com/sure-analysis-research-database/","Digital Turbine Inc")</f>
        <v>0</v>
      </c>
      <c r="C217" t="s">
        <v>3222</v>
      </c>
      <c r="D217">
        <v>36.98</v>
      </c>
      <c r="E217">
        <v>0</v>
      </c>
      <c r="H217">
        <v>0</v>
      </c>
      <c r="I217">
        <v>3585.623623</v>
      </c>
      <c r="J217">
        <v>78.80145098764889</v>
      </c>
      <c r="K217">
        <v>0</v>
      </c>
      <c r="L217">
        <v>2.578916479453585</v>
      </c>
      <c r="M217">
        <v>93.98</v>
      </c>
      <c r="N217">
        <v>30.61</v>
      </c>
    </row>
    <row r="218" spans="1:14">
      <c r="A218" s="1" t="s">
        <v>230</v>
      </c>
      <c r="B218">
        <f>HYPERLINK("https://www.suredividend.com/sure-analysis-research-database/","Blue Apron Holdings Inc")</f>
        <v>0</v>
      </c>
      <c r="C218" t="s">
        <v>3223</v>
      </c>
      <c r="D218">
        <v>4.15</v>
      </c>
      <c r="E218">
        <v>0</v>
      </c>
      <c r="H218">
        <v>0</v>
      </c>
      <c r="I218">
        <v>131.53176</v>
      </c>
      <c r="J218" t="s">
        <v>3219</v>
      </c>
      <c r="K218">
        <v>-0</v>
      </c>
      <c r="L218">
        <v>1.558709985141418</v>
      </c>
      <c r="M218">
        <v>12.76</v>
      </c>
      <c r="N218">
        <v>3.52</v>
      </c>
    </row>
    <row r="219" spans="1:14">
      <c r="A219" s="1" t="s">
        <v>231</v>
      </c>
      <c r="B219">
        <f>HYPERLINK("https://www.suredividend.com/sure-analysis-research-database/","Alpha Pro Tech Ltd.")</f>
        <v>0</v>
      </c>
      <c r="C219" t="s">
        <v>3220</v>
      </c>
      <c r="D219">
        <v>4.16</v>
      </c>
      <c r="E219">
        <v>0</v>
      </c>
      <c r="H219">
        <v>0</v>
      </c>
      <c r="I219">
        <v>54.659867</v>
      </c>
      <c r="J219">
        <v>0</v>
      </c>
      <c r="K219" t="s">
        <v>3219</v>
      </c>
      <c r="L219">
        <v>0.3404196492226551</v>
      </c>
      <c r="M219">
        <v>12.35</v>
      </c>
      <c r="N219">
        <v>3.76</v>
      </c>
    </row>
    <row r="220" spans="1:14">
      <c r="A220" s="1" t="s">
        <v>232</v>
      </c>
      <c r="B220">
        <f>HYPERLINK("https://www.suredividend.com/sure-analysis-APTS/","Preferred Apartment Communities Inc")</f>
        <v>0</v>
      </c>
      <c r="C220" t="s">
        <v>3224</v>
      </c>
      <c r="D220">
        <v>24.89</v>
      </c>
      <c r="E220">
        <v>0.02812374447569305</v>
      </c>
      <c r="F220">
        <v>0</v>
      </c>
      <c r="G220">
        <v>-0.05725543512706488</v>
      </c>
      <c r="H220">
        <v>0.6895531300818321</v>
      </c>
      <c r="I220">
        <v>1387.23728</v>
      </c>
      <c r="J220" t="s">
        <v>3219</v>
      </c>
      <c r="K220" t="s">
        <v>3219</v>
      </c>
      <c r="L220">
        <v>0.409610112935393</v>
      </c>
      <c r="M220">
        <v>25.62</v>
      </c>
      <c r="N220">
        <v>8.68</v>
      </c>
    </row>
    <row r="221" spans="1:14">
      <c r="A221" s="1" t="s">
        <v>233</v>
      </c>
      <c r="B221">
        <f>HYPERLINK("https://www.suredividend.com/sure-analysis-research-database/","Aptiv PLC")</f>
        <v>0</v>
      </c>
      <c r="C221" t="s">
        <v>3223</v>
      </c>
      <c r="D221">
        <v>107.51</v>
      </c>
      <c r="E221">
        <v>0</v>
      </c>
      <c r="H221">
        <v>0</v>
      </c>
      <c r="I221">
        <v>29126.109709</v>
      </c>
      <c r="J221">
        <v>55.26776035776091</v>
      </c>
      <c r="K221">
        <v>0</v>
      </c>
      <c r="L221">
        <v>1.551383783390892</v>
      </c>
      <c r="M221">
        <v>180.81</v>
      </c>
      <c r="N221">
        <v>94.75</v>
      </c>
    </row>
    <row r="222" spans="1:14">
      <c r="A222" s="1" t="s">
        <v>234</v>
      </c>
      <c r="B222">
        <f>HYPERLINK("https://www.suredividend.com/sure-analysis-research-database/","Aptevo Therapeutics Inc")</f>
        <v>0</v>
      </c>
      <c r="C222" t="s">
        <v>3217</v>
      </c>
      <c r="D222">
        <v>4.76</v>
      </c>
      <c r="E222">
        <v>0</v>
      </c>
      <c r="H222">
        <v>0</v>
      </c>
      <c r="I222">
        <v>23.834467</v>
      </c>
      <c r="J222">
        <v>0</v>
      </c>
      <c r="K222" t="s">
        <v>3219</v>
      </c>
      <c r="L222">
        <v>1.509024806611922</v>
      </c>
      <c r="M222">
        <v>31.76</v>
      </c>
      <c r="N222">
        <v>4.4</v>
      </c>
    </row>
    <row r="223" spans="1:14">
      <c r="A223" s="1" t="s">
        <v>235</v>
      </c>
      <c r="B223">
        <f>HYPERLINK("https://www.suredividend.com/sure-analysis-research-database/","Apyx Medical Corp")</f>
        <v>0</v>
      </c>
      <c r="C223" t="s">
        <v>3217</v>
      </c>
      <c r="D223">
        <v>5.35</v>
      </c>
      <c r="E223">
        <v>0</v>
      </c>
      <c r="H223">
        <v>0</v>
      </c>
      <c r="I223">
        <v>184.192405</v>
      </c>
      <c r="J223">
        <v>0</v>
      </c>
      <c r="K223" t="s">
        <v>3219</v>
      </c>
      <c r="L223">
        <v>1.732913140732045</v>
      </c>
      <c r="M223">
        <v>17.5</v>
      </c>
      <c r="N223">
        <v>5.31</v>
      </c>
    </row>
    <row r="224" spans="1:14">
      <c r="A224" s="1" t="s">
        <v>236</v>
      </c>
      <c r="B224">
        <f>HYPERLINK("https://www.suredividend.com/sure-analysis-research-database/","AquaBounty Technologies Inc")</f>
        <v>0</v>
      </c>
      <c r="C224" t="s">
        <v>3225</v>
      </c>
      <c r="D224">
        <v>1.69</v>
      </c>
      <c r="E224">
        <v>0</v>
      </c>
      <c r="H224">
        <v>0</v>
      </c>
      <c r="I224">
        <v>120.175395</v>
      </c>
      <c r="J224">
        <v>0</v>
      </c>
      <c r="K224" t="s">
        <v>3219</v>
      </c>
      <c r="L224">
        <v>1.553745023361616</v>
      </c>
      <c r="M224">
        <v>6.53</v>
      </c>
      <c r="N224">
        <v>1.32</v>
      </c>
    </row>
    <row r="225" spans="1:14">
      <c r="A225" s="1" t="s">
        <v>237</v>
      </c>
      <c r="B225">
        <f>HYPERLINK("https://www.suredividend.com/sure-analysis-research-database/","Aqua Metals Inc")</f>
        <v>0</v>
      </c>
      <c r="C225" t="s">
        <v>3220</v>
      </c>
      <c r="D225">
        <v>1.19</v>
      </c>
      <c r="E225">
        <v>0</v>
      </c>
      <c r="H225">
        <v>0</v>
      </c>
      <c r="I225">
        <v>84.863446</v>
      </c>
      <c r="J225">
        <v>0</v>
      </c>
      <c r="K225" t="s">
        <v>3219</v>
      </c>
      <c r="L225">
        <v>1.79169613300071</v>
      </c>
      <c r="M225">
        <v>3.82</v>
      </c>
      <c r="N225">
        <v>0.7503000000000001</v>
      </c>
    </row>
    <row r="226" spans="1:14">
      <c r="A226" s="1" t="s">
        <v>238</v>
      </c>
      <c r="B226">
        <f>HYPERLINK("https://www.suredividend.com/sure-analysis-research-database/","Evoqua Water Technologies Corp")</f>
        <v>0</v>
      </c>
      <c r="C226" t="s">
        <v>3220</v>
      </c>
      <c r="D226">
        <v>43.78</v>
      </c>
      <c r="E226">
        <v>0</v>
      </c>
      <c r="H226">
        <v>0</v>
      </c>
      <c r="I226">
        <v>5290.815014</v>
      </c>
      <c r="J226">
        <v>103.6682932416334</v>
      </c>
      <c r="K226">
        <v>0</v>
      </c>
      <c r="L226">
        <v>1.346070960988977</v>
      </c>
      <c r="M226">
        <v>49.38</v>
      </c>
      <c r="N226">
        <v>27.48</v>
      </c>
    </row>
    <row r="227" spans="1:14">
      <c r="A227" s="1" t="s">
        <v>239</v>
      </c>
      <c r="B227">
        <f>HYPERLINK("https://www.suredividend.com/sure-analysis-research-database/","Antero Resources Corp")</f>
        <v>0</v>
      </c>
      <c r="C227" t="s">
        <v>3226</v>
      </c>
      <c r="D227">
        <v>35.28</v>
      </c>
      <c r="E227">
        <v>0</v>
      </c>
      <c r="H227">
        <v>0</v>
      </c>
      <c r="I227">
        <v>11075.450118</v>
      </c>
      <c r="J227" t="s">
        <v>3219</v>
      </c>
      <c r="K227">
        <v>-0</v>
      </c>
      <c r="L227">
        <v>0.9907481695665591</v>
      </c>
      <c r="M227">
        <v>35.86</v>
      </c>
      <c r="N227">
        <v>8.81</v>
      </c>
    </row>
    <row r="228" spans="1:14">
      <c r="A228" s="1" t="s">
        <v>240</v>
      </c>
      <c r="B228">
        <f>HYPERLINK("https://www.suredividend.com/sure-analysis-research-database/","American Renal Associates Holdings Inc.")</f>
        <v>0</v>
      </c>
      <c r="C228" t="s">
        <v>3217</v>
      </c>
      <c r="D228">
        <v>11.5</v>
      </c>
      <c r="E228">
        <v>0</v>
      </c>
      <c r="H228">
        <v>0</v>
      </c>
      <c r="I228">
        <v>397.247893</v>
      </c>
      <c r="J228">
        <v>0</v>
      </c>
      <c r="K228" t="s">
        <v>3219</v>
      </c>
      <c r="L228">
        <v>0.754764657166842</v>
      </c>
      <c r="M228">
        <v>11.79</v>
      </c>
      <c r="N228">
        <v>5.78</v>
      </c>
    </row>
    <row r="229" spans="1:14">
      <c r="A229" s="1" t="s">
        <v>241</v>
      </c>
      <c r="B229">
        <f>HYPERLINK("https://www.suredividend.com/sure-analysis-research-database/","Aravive Inc")</f>
        <v>0</v>
      </c>
      <c r="C229" t="s">
        <v>3217</v>
      </c>
      <c r="D229">
        <v>1.69</v>
      </c>
      <c r="E229">
        <v>0</v>
      </c>
      <c r="H229">
        <v>0</v>
      </c>
      <c r="I229">
        <v>35.649463</v>
      </c>
      <c r="J229">
        <v>0</v>
      </c>
      <c r="K229" t="s">
        <v>3219</v>
      </c>
      <c r="L229">
        <v>0.9520056643106021</v>
      </c>
      <c r="M229">
        <v>6.94</v>
      </c>
      <c r="N229">
        <v>1.65</v>
      </c>
    </row>
    <row r="230" spans="1:14">
      <c r="A230" s="1" t="s">
        <v>242</v>
      </c>
      <c r="B230">
        <f>HYPERLINK("https://www.suredividend.com/sure-analysis-research-database/","Accuray Inc")</f>
        <v>0</v>
      </c>
      <c r="C230" t="s">
        <v>3217</v>
      </c>
      <c r="D230">
        <v>3.27</v>
      </c>
      <c r="E230">
        <v>0</v>
      </c>
      <c r="H230">
        <v>0</v>
      </c>
      <c r="I230">
        <v>303.238646</v>
      </c>
      <c r="J230" t="s">
        <v>3219</v>
      </c>
      <c r="K230">
        <v>-0</v>
      </c>
      <c r="L230">
        <v>1.297708804178817</v>
      </c>
      <c r="M230">
        <v>5.93</v>
      </c>
      <c r="N230">
        <v>3.1</v>
      </c>
    </row>
    <row r="231" spans="1:14">
      <c r="A231" s="1" t="s">
        <v>243</v>
      </c>
      <c r="B231">
        <f>HYPERLINK("https://www.suredividend.com/sure-analysis-research-database/","ARC Document Solutions Inc")</f>
        <v>0</v>
      </c>
      <c r="C231" t="s">
        <v>3220</v>
      </c>
      <c r="D231">
        <v>3.85</v>
      </c>
      <c r="E231">
        <v>0.02821052812804</v>
      </c>
      <c r="H231">
        <v>0.108610533292955</v>
      </c>
      <c r="I231">
        <v>166.341649</v>
      </c>
      <c r="J231">
        <v>18.1933335393197</v>
      </c>
      <c r="K231">
        <v>0.5075258565091355</v>
      </c>
      <c r="L231">
        <v>0.6553987314859671</v>
      </c>
      <c r="M231">
        <v>4.18</v>
      </c>
      <c r="N231">
        <v>1.89</v>
      </c>
    </row>
    <row r="232" spans="1:14">
      <c r="A232" s="1" t="s">
        <v>244</v>
      </c>
      <c r="B232">
        <f>HYPERLINK("https://www.suredividend.com/sure-analysis-research-database/","ArcBest Corp")</f>
        <v>0</v>
      </c>
      <c r="C232" t="s">
        <v>3220</v>
      </c>
      <c r="D232">
        <v>69.16</v>
      </c>
      <c r="E232">
        <v>0.004620847617572</v>
      </c>
      <c r="F232">
        <v>0</v>
      </c>
      <c r="G232">
        <v>0</v>
      </c>
      <c r="H232">
        <v>0.319577821231324</v>
      </c>
      <c r="I232">
        <v>1701.180943</v>
      </c>
      <c r="J232">
        <v>7.967276957676294</v>
      </c>
      <c r="K232">
        <v>0.04004734601896291</v>
      </c>
      <c r="L232">
        <v>1.815246822661458</v>
      </c>
      <c r="M232">
        <v>124.89</v>
      </c>
      <c r="N232">
        <v>52.71</v>
      </c>
    </row>
    <row r="233" spans="1:14">
      <c r="A233" s="1" t="s">
        <v>245</v>
      </c>
      <c r="B233">
        <f>HYPERLINK("https://www.suredividend.com/sure-analysis-research-database/","Arch Resources Inc")</f>
        <v>0</v>
      </c>
      <c r="C233" t="s">
        <v>3226</v>
      </c>
      <c r="D233">
        <v>166.49</v>
      </c>
      <c r="E233">
        <v>0.002999889682057</v>
      </c>
      <c r="H233">
        <v>0.499451633165829</v>
      </c>
      <c r="I233">
        <v>2576.735429</v>
      </c>
      <c r="J233">
        <v>7.633120625227729</v>
      </c>
      <c r="K233">
        <v>0.0260131058940536</v>
      </c>
      <c r="L233">
        <v>0.431427638823506</v>
      </c>
      <c r="M233">
        <v>167.76</v>
      </c>
      <c r="N233">
        <v>43.96</v>
      </c>
    </row>
    <row r="234" spans="1:14">
      <c r="A234" s="1" t="s">
        <v>246</v>
      </c>
      <c r="B234">
        <f>HYPERLINK("https://www.suredividend.com/sure-analysis-research-database/","Ardelyx Inc")</f>
        <v>0</v>
      </c>
      <c r="C234" t="s">
        <v>3217</v>
      </c>
      <c r="D234">
        <v>0.8927</v>
      </c>
      <c r="E234">
        <v>0</v>
      </c>
      <c r="H234">
        <v>0</v>
      </c>
      <c r="I234">
        <v>116.313681</v>
      </c>
      <c r="J234">
        <v>0</v>
      </c>
      <c r="K234" t="s">
        <v>3219</v>
      </c>
      <c r="L234">
        <v>0.709385803435823</v>
      </c>
      <c r="M234">
        <v>9.15</v>
      </c>
      <c r="N234">
        <v>0.5841000000000001</v>
      </c>
    </row>
    <row r="235" spans="1:14">
      <c r="A235" s="1" t="s">
        <v>247</v>
      </c>
      <c r="B235">
        <f>HYPERLINK("https://www.suredividend.com/sure-analysis-ARE/","Alexandria Real Estate Equities Inc.")</f>
        <v>0</v>
      </c>
      <c r="C235" t="s">
        <v>3224</v>
      </c>
      <c r="D235">
        <v>196.18</v>
      </c>
      <c r="E235">
        <v>0.02344785401162198</v>
      </c>
      <c r="F235">
        <v>0.05504587155963292</v>
      </c>
      <c r="G235">
        <v>0.05983895403096029</v>
      </c>
      <c r="H235">
        <v>4.502827613389838</v>
      </c>
      <c r="I235">
        <v>32020.105474</v>
      </c>
      <c r="J235">
        <v>56.83379891405559</v>
      </c>
      <c r="K235">
        <v>1.178750684133465</v>
      </c>
      <c r="L235">
        <v>0.7180659930677831</v>
      </c>
      <c r="M235">
        <v>223.67</v>
      </c>
      <c r="N235">
        <v>167.63</v>
      </c>
    </row>
    <row r="236" spans="1:14">
      <c r="A236" s="1" t="s">
        <v>248</v>
      </c>
      <c r="B236">
        <f>HYPERLINK("https://www.suredividend.com/sure-analysis-research-database/","Ares Management Corp")</f>
        <v>0</v>
      </c>
      <c r="C236" t="s">
        <v>3221</v>
      </c>
      <c r="D236">
        <v>77.3</v>
      </c>
      <c r="E236">
        <v>0.025866899451745</v>
      </c>
      <c r="H236">
        <v>1.999511327619956</v>
      </c>
      <c r="I236">
        <v>12956.527492</v>
      </c>
      <c r="J236">
        <v>35.14835575627198</v>
      </c>
      <c r="K236">
        <v>0.975371379326808</v>
      </c>
      <c r="L236">
        <v>1.561374205198824</v>
      </c>
      <c r="M236">
        <v>88.77</v>
      </c>
      <c r="N236">
        <v>49.03</v>
      </c>
    </row>
    <row r="237" spans="1:14">
      <c r="A237" s="1" t="s">
        <v>249</v>
      </c>
      <c r="B237">
        <f>HYPERLINK("https://www.suredividend.com/sure-analysis-research-database/","Argo Group International Holdings Ltd")</f>
        <v>0</v>
      </c>
      <c r="C237" t="s">
        <v>3221</v>
      </c>
      <c r="D237">
        <v>41.44</v>
      </c>
      <c r="E237">
        <v>0.029635380853194</v>
      </c>
      <c r="F237">
        <v>0</v>
      </c>
      <c r="G237">
        <v>0.0280153179958833</v>
      </c>
      <c r="H237">
        <v>1.228090182556369</v>
      </c>
      <c r="I237">
        <v>1445.794856</v>
      </c>
      <c r="J237" t="s">
        <v>3219</v>
      </c>
      <c r="K237" t="s">
        <v>3219</v>
      </c>
      <c r="L237">
        <v>0.786021668858745</v>
      </c>
      <c r="M237">
        <v>60.52</v>
      </c>
      <c r="N237">
        <v>36.1</v>
      </c>
    </row>
    <row r="238" spans="1:14">
      <c r="A238" s="1" t="s">
        <v>250</v>
      </c>
      <c r="B238">
        <f>HYPERLINK("https://www.suredividend.com/sure-analysis-ARI/","Apollo Commercial Real Estate Finance Inc")</f>
        <v>0</v>
      </c>
      <c r="C238" t="s">
        <v>3224</v>
      </c>
      <c r="D238">
        <v>13.97</v>
      </c>
      <c r="E238">
        <v>0.03006442376521117</v>
      </c>
      <c r="F238">
        <v>0</v>
      </c>
      <c r="G238">
        <v>-0.05319173028852708</v>
      </c>
      <c r="H238">
        <v>1.349451436702015</v>
      </c>
      <c r="I238">
        <v>1963.363484</v>
      </c>
      <c r="J238">
        <v>9.499808799026486</v>
      </c>
      <c r="K238">
        <v>1.09711498918863</v>
      </c>
      <c r="L238">
        <v>0.8528056486161041</v>
      </c>
      <c r="M238">
        <v>15.4</v>
      </c>
      <c r="N238">
        <v>11.81</v>
      </c>
    </row>
    <row r="239" spans="1:14">
      <c r="A239" s="1" t="s">
        <v>251</v>
      </c>
      <c r="B239">
        <f>HYPERLINK("https://www.suredividend.com/sure-analysis-research-database/","Ark Restaurants Corp.")</f>
        <v>0</v>
      </c>
      <c r="C239" t="s">
        <v>3223</v>
      </c>
      <c r="D239">
        <v>17.38</v>
      </c>
      <c r="E239">
        <v>0</v>
      </c>
      <c r="H239">
        <v>0</v>
      </c>
      <c r="I239">
        <v>61.726043</v>
      </c>
      <c r="J239">
        <v>0</v>
      </c>
      <c r="K239" t="s">
        <v>3219</v>
      </c>
      <c r="L239">
        <v>0.302330591924612</v>
      </c>
      <c r="M239">
        <v>22</v>
      </c>
      <c r="N239">
        <v>14.39</v>
      </c>
    </row>
    <row r="240" spans="1:14">
      <c r="A240" s="1" t="s">
        <v>252</v>
      </c>
      <c r="B240">
        <f>HYPERLINK("https://www.suredividend.com/sure-analysis-research-database/","American Realty Investors Inc.")</f>
        <v>0</v>
      </c>
      <c r="C240" t="s">
        <v>3224</v>
      </c>
      <c r="D240">
        <v>18.295</v>
      </c>
      <c r="E240">
        <v>0</v>
      </c>
      <c r="H240">
        <v>0</v>
      </c>
      <c r="I240">
        <v>295.501627</v>
      </c>
      <c r="J240">
        <v>88.28850513444877</v>
      </c>
      <c r="K240">
        <v>0</v>
      </c>
      <c r="M240">
        <v>20.38</v>
      </c>
      <c r="N240">
        <v>7.71</v>
      </c>
    </row>
    <row r="241" spans="1:14">
      <c r="A241" s="1" t="s">
        <v>253</v>
      </c>
      <c r="B241">
        <f>HYPERLINK("https://www.suredividend.com/sure-analysis-research-database/","Arlo Technologies Inc")</f>
        <v>0</v>
      </c>
      <c r="C241" t="s">
        <v>3220</v>
      </c>
      <c r="D241">
        <v>8.44</v>
      </c>
      <c r="E241">
        <v>0</v>
      </c>
      <c r="H241">
        <v>0</v>
      </c>
      <c r="I241">
        <v>715.674434</v>
      </c>
      <c r="J241">
        <v>0</v>
      </c>
      <c r="K241" t="s">
        <v>3219</v>
      </c>
      <c r="L241">
        <v>1.744958783989495</v>
      </c>
      <c r="M241">
        <v>11.79</v>
      </c>
      <c r="N241">
        <v>5.48</v>
      </c>
    </row>
    <row r="242" spans="1:14">
      <c r="A242" s="1" t="s">
        <v>254</v>
      </c>
      <c r="B242">
        <f>HYPERLINK("https://www.suredividend.com/sure-analysis-research-database/","Aramark")</f>
        <v>0</v>
      </c>
      <c r="C242" t="s">
        <v>3223</v>
      </c>
      <c r="D242">
        <v>37.02</v>
      </c>
      <c r="E242">
        <v>0.011829955368946</v>
      </c>
      <c r="F242">
        <v>0</v>
      </c>
      <c r="G242">
        <v>0.0132371206471984</v>
      </c>
      <c r="H242">
        <v>0.437944947758396</v>
      </c>
      <c r="I242">
        <v>9506.578813</v>
      </c>
      <c r="J242">
        <v>287.8949399800127</v>
      </c>
      <c r="K242">
        <v>3.392292391621968</v>
      </c>
      <c r="L242">
        <v>1.164008778135693</v>
      </c>
      <c r="M242">
        <v>40.2</v>
      </c>
      <c r="N242">
        <v>31.03</v>
      </c>
    </row>
    <row r="243" spans="1:14">
      <c r="A243" s="1" t="s">
        <v>255</v>
      </c>
      <c r="B243">
        <f>HYPERLINK("https://www.suredividend.com/sure-analysis-research-database/","Armata Pharmaceuticals Inc")</f>
        <v>0</v>
      </c>
      <c r="C243" t="s">
        <v>3217</v>
      </c>
      <c r="D243">
        <v>5.03</v>
      </c>
      <c r="E243">
        <v>0</v>
      </c>
      <c r="H243">
        <v>0</v>
      </c>
      <c r="I243">
        <v>154.557268</v>
      </c>
      <c r="J243">
        <v>0</v>
      </c>
      <c r="K243" t="s">
        <v>3219</v>
      </c>
      <c r="L243">
        <v>0.633937528977317</v>
      </c>
      <c r="M243">
        <v>6.49</v>
      </c>
      <c r="N243">
        <v>2.82</v>
      </c>
    </row>
    <row r="244" spans="1:14">
      <c r="A244" s="1" t="s">
        <v>256</v>
      </c>
      <c r="B244">
        <f>HYPERLINK("https://www.suredividend.com/sure-analysis-research-database/","Arena Pharmaceuticals Inc")</f>
        <v>0</v>
      </c>
      <c r="C244" t="s">
        <v>3217</v>
      </c>
      <c r="D244">
        <v>99.98999999999999</v>
      </c>
      <c r="E244">
        <v>0</v>
      </c>
      <c r="H244">
        <v>0</v>
      </c>
      <c r="I244">
        <v>0</v>
      </c>
      <c r="J244">
        <v>0</v>
      </c>
      <c r="K244">
        <v>-0</v>
      </c>
    </row>
    <row r="245" spans="1:14">
      <c r="A245" s="1" t="s">
        <v>257</v>
      </c>
      <c r="B245">
        <f>HYPERLINK("https://www.suredividend.com/sure-analysis-research-database/","Arconic Corporation")</f>
        <v>0</v>
      </c>
      <c r="C245" t="s">
        <v>3220</v>
      </c>
      <c r="D245">
        <v>26.92</v>
      </c>
      <c r="E245">
        <v>0</v>
      </c>
      <c r="H245">
        <v>0</v>
      </c>
      <c r="I245">
        <v>2847.716721</v>
      </c>
      <c r="J245">
        <v>0</v>
      </c>
      <c r="K245" t="s">
        <v>3219</v>
      </c>
      <c r="L245">
        <v>1.336767949789524</v>
      </c>
      <c r="M245">
        <v>38.49</v>
      </c>
      <c r="N245">
        <v>22.45</v>
      </c>
    </row>
    <row r="246" spans="1:14">
      <c r="A246" s="1" t="s">
        <v>258</v>
      </c>
      <c r="B246">
        <f>HYPERLINK("https://www.suredividend.com/sure-analysis-research-database/","Archrock Inc")</f>
        <v>0</v>
      </c>
      <c r="C246" t="s">
        <v>3226</v>
      </c>
      <c r="D246">
        <v>9.640000000000001</v>
      </c>
      <c r="E246">
        <v>0.05863675885705</v>
      </c>
      <c r="F246">
        <v>0</v>
      </c>
      <c r="G246">
        <v>0.03857377308425858</v>
      </c>
      <c r="H246">
        <v>0.565258355381965</v>
      </c>
      <c r="I246">
        <v>1497.056843</v>
      </c>
      <c r="J246">
        <v>55.354292583472</v>
      </c>
      <c r="K246">
        <v>3.1738256899605</v>
      </c>
      <c r="L246">
        <v>0.680929491677401</v>
      </c>
      <c r="M246">
        <v>9.77</v>
      </c>
      <c r="N246">
        <v>6.85</v>
      </c>
    </row>
    <row r="247" spans="1:14">
      <c r="A247" s="1" t="s">
        <v>259</v>
      </c>
      <c r="B247">
        <f>HYPERLINK("https://www.suredividend.com/sure-analysis-AROW/","Arrow Financial Corp.")</f>
        <v>0</v>
      </c>
      <c r="C247" t="s">
        <v>3221</v>
      </c>
      <c r="D247">
        <v>31.43</v>
      </c>
      <c r="E247">
        <v>0.03436207445116132</v>
      </c>
      <c r="F247">
        <v>0.03846153846153855</v>
      </c>
      <c r="G247">
        <v>0.01551127839748156</v>
      </c>
      <c r="H247">
        <v>1.023458478262292</v>
      </c>
      <c r="I247">
        <v>502.898229</v>
      </c>
      <c r="J247">
        <v>10.08681287281626</v>
      </c>
      <c r="K247">
        <v>0.3301478962136425</v>
      </c>
      <c r="L247">
        <v>0.5690251698488801</v>
      </c>
      <c r="M247">
        <v>37.66</v>
      </c>
      <c r="N247">
        <v>31.12</v>
      </c>
    </row>
    <row r="248" spans="1:14">
      <c r="A248" s="1" t="s">
        <v>260</v>
      </c>
      <c r="B248">
        <f>HYPERLINK("https://www.suredividend.com/sure-analysis-research-database/","Aerpio Pharmaceuticals Inc")</f>
        <v>0</v>
      </c>
      <c r="C248" t="s">
        <v>3217</v>
      </c>
      <c r="D248">
        <v>2.2</v>
      </c>
      <c r="E248">
        <v>0</v>
      </c>
      <c r="H248">
        <v>0</v>
      </c>
      <c r="I248">
        <v>104.853082</v>
      </c>
      <c r="J248">
        <v>0</v>
      </c>
      <c r="K248" t="s">
        <v>3219</v>
      </c>
      <c r="M248">
        <v>3.32</v>
      </c>
      <c r="N248">
        <v>0.9541000000000001</v>
      </c>
    </row>
    <row r="249" spans="1:14">
      <c r="A249" s="1" t="s">
        <v>261</v>
      </c>
      <c r="B249">
        <f>HYPERLINK("https://www.suredividend.com/sure-analysis-ARR/","ARMOUR Residential REIT Inc")</f>
        <v>0</v>
      </c>
      <c r="C249" t="s">
        <v>3224</v>
      </c>
      <c r="D249">
        <v>7.96</v>
      </c>
      <c r="E249">
        <v>0.1507537688442211</v>
      </c>
      <c r="F249">
        <v>0</v>
      </c>
      <c r="G249">
        <v>0</v>
      </c>
      <c r="H249">
        <v>1.132886681004667</v>
      </c>
      <c r="I249">
        <v>764.54883</v>
      </c>
      <c r="J249">
        <v>196.5421157017995</v>
      </c>
      <c r="K249">
        <v>23.40674960753444</v>
      </c>
      <c r="L249">
        <v>0.5611416906130441</v>
      </c>
      <c r="M249">
        <v>11.16</v>
      </c>
      <c r="N249">
        <v>7.33</v>
      </c>
    </row>
    <row r="250" spans="1:14">
      <c r="A250" s="1" t="s">
        <v>262</v>
      </c>
      <c r="B250">
        <f>HYPERLINK("https://www.suredividend.com/sure-analysis-ARTNA/","Artesian Resources Corp.")</f>
        <v>0</v>
      </c>
      <c r="C250" t="s">
        <v>3227</v>
      </c>
      <c r="D250">
        <v>46.35</v>
      </c>
      <c r="E250">
        <v>0.02351672060409924</v>
      </c>
      <c r="F250">
        <v>0.04045118630882927</v>
      </c>
      <c r="G250">
        <v>0.02915206669651571</v>
      </c>
      <c r="H250">
        <v>1.047410897091402</v>
      </c>
      <c r="I250">
        <v>395.126195</v>
      </c>
      <c r="J250">
        <v>23.48167795507221</v>
      </c>
      <c r="K250">
        <v>0.585145752565029</v>
      </c>
      <c r="L250">
        <v>0.315960699890994</v>
      </c>
      <c r="M250">
        <v>50.88</v>
      </c>
      <c r="N250">
        <v>35.23</v>
      </c>
    </row>
    <row r="251" spans="1:14">
      <c r="A251" s="1" t="s">
        <v>263</v>
      </c>
      <c r="B251">
        <f>HYPERLINK("https://www.suredividend.com/sure-analysis-research-database/","Art`s-way Manufacturing Co. Inc.")</f>
        <v>0</v>
      </c>
      <c r="C251" t="s">
        <v>3220</v>
      </c>
      <c r="D251">
        <v>3.49</v>
      </c>
      <c r="E251">
        <v>0</v>
      </c>
      <c r="H251">
        <v>0</v>
      </c>
      <c r="I251">
        <v>16.159039</v>
      </c>
      <c r="J251">
        <v>0</v>
      </c>
      <c r="K251" t="s">
        <v>3219</v>
      </c>
      <c r="M251">
        <v>7.7</v>
      </c>
      <c r="N251">
        <v>2.83</v>
      </c>
    </row>
    <row r="252" spans="1:14">
      <c r="A252" s="1" t="s">
        <v>264</v>
      </c>
      <c r="B252">
        <f>HYPERLINK("https://www.suredividend.com/sure-analysis-research-database/","Arvinas Inc")</f>
        <v>0</v>
      </c>
      <c r="C252" t="s">
        <v>3217</v>
      </c>
      <c r="D252">
        <v>66.95999999999999</v>
      </c>
      <c r="E252">
        <v>0</v>
      </c>
      <c r="H252">
        <v>0</v>
      </c>
      <c r="I252">
        <v>3551.998729</v>
      </c>
      <c r="J252">
        <v>0</v>
      </c>
      <c r="K252" t="s">
        <v>3219</v>
      </c>
      <c r="L252">
        <v>1.042473531450097</v>
      </c>
      <c r="M252">
        <v>108.47</v>
      </c>
      <c r="N252">
        <v>56.64</v>
      </c>
    </row>
    <row r="253" spans="1:14">
      <c r="A253" s="1" t="s">
        <v>265</v>
      </c>
      <c r="B253">
        <f>HYPERLINK("https://www.suredividend.com/sure-analysis-research-database/","Arrow Electronics Inc.")</f>
        <v>0</v>
      </c>
      <c r="C253" t="s">
        <v>3222</v>
      </c>
      <c r="D253">
        <v>109.07</v>
      </c>
      <c r="E253">
        <v>0</v>
      </c>
      <c r="H253">
        <v>0</v>
      </c>
      <c r="I253">
        <v>7310.565412</v>
      </c>
      <c r="J253">
        <v>6.596810325609976</v>
      </c>
      <c r="K253">
        <v>0</v>
      </c>
      <c r="L253">
        <v>1.132278114998036</v>
      </c>
      <c r="M253">
        <v>137.95</v>
      </c>
      <c r="N253">
        <v>107.11</v>
      </c>
    </row>
    <row r="254" spans="1:14">
      <c r="A254" s="1" t="s">
        <v>266</v>
      </c>
      <c r="B254">
        <f>HYPERLINK("https://www.suredividend.com/sure-analysis-research-database/","Arrowhead Pharmaceuticals Inc.")</f>
        <v>0</v>
      </c>
      <c r="C254" t="s">
        <v>3217</v>
      </c>
      <c r="D254">
        <v>46.87</v>
      </c>
      <c r="E254">
        <v>0</v>
      </c>
      <c r="H254">
        <v>0</v>
      </c>
      <c r="I254">
        <v>4942.896889</v>
      </c>
      <c r="J254" t="s">
        <v>3219</v>
      </c>
      <c r="K254">
        <v>-0</v>
      </c>
      <c r="L254">
        <v>1.689968383045035</v>
      </c>
      <c r="M254">
        <v>93.66</v>
      </c>
      <c r="N254">
        <v>38.89</v>
      </c>
    </row>
    <row r="255" spans="1:14">
      <c r="A255" s="1" t="s">
        <v>267</v>
      </c>
      <c r="B255">
        <f>HYPERLINK("https://www.suredividend.com/sure-analysis-research-database/","Associated Banc-Corp.")</f>
        <v>0</v>
      </c>
      <c r="C255" t="s">
        <v>3221</v>
      </c>
      <c r="D255">
        <v>21.5</v>
      </c>
      <c r="E255">
        <v>0.035826976280468</v>
      </c>
      <c r="F255">
        <v>0.1111111111111112</v>
      </c>
      <c r="G255">
        <v>0.1075663432482901</v>
      </c>
      <c r="H255">
        <v>0.7702799900300651</v>
      </c>
      <c r="I255">
        <v>3225.762412</v>
      </c>
      <c r="J255">
        <v>9.730454437546756</v>
      </c>
      <c r="K255">
        <v>0.3533394449679197</v>
      </c>
      <c r="L255">
        <v>0.9670093113340311</v>
      </c>
      <c r="M255">
        <v>25.57</v>
      </c>
      <c r="N255">
        <v>17.91</v>
      </c>
    </row>
    <row r="256" spans="1:14">
      <c r="A256" s="1" t="s">
        <v>268</v>
      </c>
      <c r="B256">
        <f>HYPERLINK("https://www.suredividend.com/sure-analysis-research-database/","ASGN Inc")</f>
        <v>0</v>
      </c>
      <c r="C256" t="s">
        <v>3220</v>
      </c>
      <c r="D256">
        <v>115.73</v>
      </c>
      <c r="E256">
        <v>0</v>
      </c>
      <c r="H256">
        <v>0</v>
      </c>
      <c r="I256">
        <v>5971.668</v>
      </c>
      <c r="J256">
        <v>14.56859721883386</v>
      </c>
      <c r="K256">
        <v>0</v>
      </c>
      <c r="L256">
        <v>1.293599305908548</v>
      </c>
      <c r="M256">
        <v>131.89</v>
      </c>
      <c r="N256">
        <v>91.61</v>
      </c>
    </row>
    <row r="257" spans="1:14">
      <c r="A257" s="1" t="s">
        <v>269</v>
      </c>
      <c r="B257">
        <f>HYPERLINK("https://www.suredividend.com/sure-analysis-research-database/","Ashland Global Holdings Inc")</f>
        <v>0</v>
      </c>
      <c r="C257" t="s">
        <v>3218</v>
      </c>
      <c r="D257">
        <v>106.22</v>
      </c>
      <c r="E257">
        <v>0.011244328373783</v>
      </c>
      <c r="F257">
        <v>0.09090909090909105</v>
      </c>
      <c r="G257">
        <v>0.05922384104881218</v>
      </c>
      <c r="H257">
        <v>1.194372559863246</v>
      </c>
      <c r="I257">
        <v>6046.442531</v>
      </c>
      <c r="J257">
        <v>28.52095533367925</v>
      </c>
      <c r="K257">
        <v>0.3393103863247858</v>
      </c>
      <c r="L257">
        <v>0.9333881891790881</v>
      </c>
      <c r="M257">
        <v>110.07</v>
      </c>
      <c r="N257">
        <v>81.15000000000001</v>
      </c>
    </row>
    <row r="258" spans="1:14">
      <c r="A258" s="1" t="s">
        <v>270</v>
      </c>
      <c r="B258">
        <f>HYPERLINK("https://www.suredividend.com/sure-analysis-research-database/","AdvanSix Inc")</f>
        <v>0</v>
      </c>
      <c r="C258" t="s">
        <v>3218</v>
      </c>
      <c r="D258">
        <v>50.61</v>
      </c>
      <c r="E258">
        <v>0.002469867615095</v>
      </c>
      <c r="H258">
        <v>0.125</v>
      </c>
      <c r="I258">
        <v>1424.226284</v>
      </c>
      <c r="J258">
        <v>10.18825449299311</v>
      </c>
      <c r="K258">
        <v>0.02598752598752599</v>
      </c>
      <c r="L258">
        <v>1.312341086154775</v>
      </c>
      <c r="M258">
        <v>57.1</v>
      </c>
      <c r="N258">
        <v>26.79</v>
      </c>
    </row>
    <row r="259" spans="1:14">
      <c r="A259" s="1" t="s">
        <v>271</v>
      </c>
      <c r="B259">
        <f>HYPERLINK("https://www.suredividend.com/sure-analysis-research-database/","Assembly Biosciences Inc")</f>
        <v>0</v>
      </c>
      <c r="C259" t="s">
        <v>3217</v>
      </c>
      <c r="D259">
        <v>2.07</v>
      </c>
      <c r="E259">
        <v>0</v>
      </c>
      <c r="H259">
        <v>0</v>
      </c>
      <c r="I259">
        <v>99.60930500000001</v>
      </c>
      <c r="J259">
        <v>0</v>
      </c>
      <c r="K259" t="s">
        <v>3219</v>
      </c>
      <c r="L259">
        <v>0.761430829562577</v>
      </c>
      <c r="M259">
        <v>4.69</v>
      </c>
      <c r="N259">
        <v>1.4</v>
      </c>
    </row>
    <row r="260" spans="1:14">
      <c r="A260" s="1" t="s">
        <v>272</v>
      </c>
      <c r="B260">
        <f>HYPERLINK("https://www.suredividend.com/sure-analysis-research-database/","Aspen Aerogels Inc.")</f>
        <v>0</v>
      </c>
      <c r="C260" t="s">
        <v>3220</v>
      </c>
      <c r="D260">
        <v>26.42</v>
      </c>
      <c r="E260">
        <v>0</v>
      </c>
      <c r="H260">
        <v>0</v>
      </c>
      <c r="I260">
        <v>878.050629</v>
      </c>
      <c r="J260">
        <v>0</v>
      </c>
      <c r="K260" t="s">
        <v>3219</v>
      </c>
      <c r="L260">
        <v>2.215312950731031</v>
      </c>
      <c r="M260">
        <v>65.98999999999999</v>
      </c>
      <c r="N260">
        <v>16.33</v>
      </c>
    </row>
    <row r="261" spans="1:14">
      <c r="A261" s="1" t="s">
        <v>273</v>
      </c>
      <c r="B261">
        <f>HYPERLINK("https://www.suredividend.com/sure-analysis-research-database/","Altisource Portfolio Solutions S.A.")</f>
        <v>0</v>
      </c>
      <c r="C261" t="s">
        <v>3221</v>
      </c>
      <c r="D261">
        <v>11.7</v>
      </c>
      <c r="E261">
        <v>0</v>
      </c>
      <c r="H261">
        <v>0</v>
      </c>
      <c r="I261">
        <v>187.8711</v>
      </c>
      <c r="J261">
        <v>15.90510500338638</v>
      </c>
      <c r="K261">
        <v>0</v>
      </c>
      <c r="L261">
        <v>0.9148504423158361</v>
      </c>
      <c r="M261">
        <v>14.58</v>
      </c>
      <c r="N261">
        <v>5.61</v>
      </c>
    </row>
    <row r="262" spans="1:14">
      <c r="A262" s="1" t="s">
        <v>274</v>
      </c>
      <c r="B262">
        <f>HYPERLINK("https://www.suredividend.com/sure-analysis-research-database/","Aspen Group Inc")</f>
        <v>0</v>
      </c>
      <c r="C262" t="s">
        <v>3225</v>
      </c>
      <c r="D262">
        <v>0.9707</v>
      </c>
      <c r="E262">
        <v>0</v>
      </c>
      <c r="H262">
        <v>0</v>
      </c>
      <c r="I262">
        <v>24.452331</v>
      </c>
      <c r="J262">
        <v>0</v>
      </c>
      <c r="K262" t="s">
        <v>3219</v>
      </c>
      <c r="L262">
        <v>0.9148457678478311</v>
      </c>
      <c r="M262">
        <v>7.49</v>
      </c>
      <c r="N262">
        <v>0.9</v>
      </c>
    </row>
    <row r="263" spans="1:14">
      <c r="A263" s="1" t="s">
        <v>275</v>
      </c>
      <c r="B263">
        <f>HYPERLINK("https://www.suredividend.com/sure-analysis-research-database/","Assertio Holdings Inc")</f>
        <v>0</v>
      </c>
      <c r="C263" t="s">
        <v>3217</v>
      </c>
      <c r="D263">
        <v>2.95</v>
      </c>
      <c r="E263">
        <v>0</v>
      </c>
      <c r="H263">
        <v>0</v>
      </c>
      <c r="I263">
        <v>133.730294</v>
      </c>
      <c r="J263" t="s">
        <v>3219</v>
      </c>
      <c r="K263">
        <v>-0</v>
      </c>
      <c r="L263">
        <v>1.62615924186864</v>
      </c>
      <c r="M263">
        <v>3.52</v>
      </c>
      <c r="N263">
        <v>0.8512000000000001</v>
      </c>
    </row>
    <row r="264" spans="1:14">
      <c r="A264" s="1" t="s">
        <v>276</v>
      </c>
      <c r="B264">
        <f>HYPERLINK("https://www.suredividend.com/sure-analysis-research-database/","Ameriserv Financial Inc")</f>
        <v>0</v>
      </c>
      <c r="C264" t="s">
        <v>3221</v>
      </c>
      <c r="D264">
        <v>3.97</v>
      </c>
      <c r="E264">
        <v>0.024965358338274</v>
      </c>
      <c r="H264">
        <v>0.09911247260295</v>
      </c>
      <c r="I264">
        <v>67.904107</v>
      </c>
      <c r="J264">
        <v>0</v>
      </c>
      <c r="K264" t="s">
        <v>3219</v>
      </c>
      <c r="L264">
        <v>0.008893981492558</v>
      </c>
      <c r="M264">
        <v>4.52</v>
      </c>
      <c r="N264">
        <v>3.62</v>
      </c>
    </row>
    <row r="265" spans="1:14">
      <c r="A265" s="1" t="s">
        <v>277</v>
      </c>
      <c r="B265">
        <f>HYPERLINK("https://www.suredividend.com/sure-analysis-research-database/","Astrotech Corp")</f>
        <v>0</v>
      </c>
      <c r="C265" t="s">
        <v>3220</v>
      </c>
      <c r="D265">
        <v>0.636</v>
      </c>
      <c r="E265">
        <v>0</v>
      </c>
      <c r="H265">
        <v>0</v>
      </c>
      <c r="I265">
        <v>31.525956</v>
      </c>
      <c r="J265" t="s">
        <v>3219</v>
      </c>
      <c r="K265">
        <v>-0</v>
      </c>
      <c r="L265">
        <v>0.9094120602249091</v>
      </c>
      <c r="M265">
        <v>1.4</v>
      </c>
      <c r="N265">
        <v>0.6002000000000001</v>
      </c>
    </row>
    <row r="266" spans="1:14">
      <c r="A266" s="1" t="s">
        <v>278</v>
      </c>
      <c r="B266">
        <f>HYPERLINK("https://www.suredividend.com/sure-analysis-research-database/","Astec Industries Inc.")</f>
        <v>0</v>
      </c>
      <c r="C266" t="s">
        <v>3220</v>
      </c>
      <c r="D266">
        <v>39.72</v>
      </c>
      <c r="E266">
        <v>0.01154344777945</v>
      </c>
      <c r="F266">
        <v>0.09090909090909083</v>
      </c>
      <c r="G266">
        <v>0.03713728933664817</v>
      </c>
      <c r="H266">
        <v>0.4585057457997591</v>
      </c>
      <c r="I266">
        <v>904.327801</v>
      </c>
      <c r="J266">
        <v>50.80493263820225</v>
      </c>
      <c r="K266">
        <v>0.5911626428568322</v>
      </c>
      <c r="L266">
        <v>1.20501255332983</v>
      </c>
      <c r="M266">
        <v>79.38</v>
      </c>
      <c r="N266">
        <v>37.38</v>
      </c>
    </row>
    <row r="267" spans="1:14">
      <c r="A267" s="1" t="s">
        <v>279</v>
      </c>
      <c r="B267">
        <f>HYPERLINK("https://www.suredividend.com/sure-analysis-research-database/","Asure Software Inc")</f>
        <v>0</v>
      </c>
      <c r="C267" t="s">
        <v>3222</v>
      </c>
      <c r="D267">
        <v>5.5</v>
      </c>
      <c r="E267">
        <v>0</v>
      </c>
      <c r="H267">
        <v>0</v>
      </c>
      <c r="I267">
        <v>110.193166</v>
      </c>
      <c r="J267">
        <v>34.51085671782023</v>
      </c>
      <c r="K267">
        <v>0</v>
      </c>
      <c r="L267">
        <v>0.5057365311509771</v>
      </c>
      <c r="M267">
        <v>9.94</v>
      </c>
      <c r="N267">
        <v>5.5</v>
      </c>
    </row>
    <row r="268" spans="1:14">
      <c r="A268" s="1" t="s">
        <v>280</v>
      </c>
      <c r="B268">
        <f>HYPERLINK("https://www.suredividend.com/sure-analysis-research-database/","Amtech Systems Inc.")</f>
        <v>0</v>
      </c>
      <c r="C268" t="s">
        <v>3222</v>
      </c>
      <c r="D268">
        <v>9.449999999999999</v>
      </c>
      <c r="E268">
        <v>0</v>
      </c>
      <c r="H268">
        <v>0</v>
      </c>
      <c r="I268">
        <v>132.585314</v>
      </c>
      <c r="J268">
        <v>74.23589832026876</v>
      </c>
      <c r="K268">
        <v>0</v>
      </c>
      <c r="L268">
        <v>1.488468640220753</v>
      </c>
      <c r="M268">
        <v>15.78</v>
      </c>
      <c r="N268">
        <v>7.81</v>
      </c>
    </row>
    <row r="269" spans="1:14">
      <c r="A269" s="1" t="s">
        <v>281</v>
      </c>
      <c r="B269">
        <f>HYPERLINK("https://www.suredividend.com/sure-analysis-research-database/","Alphatec Holdings Inc")</f>
        <v>0</v>
      </c>
      <c r="C269" t="s">
        <v>3217</v>
      </c>
      <c r="D269">
        <v>12.11</v>
      </c>
      <c r="E269">
        <v>0</v>
      </c>
      <c r="H269">
        <v>0</v>
      </c>
      <c r="I269">
        <v>1208.415871</v>
      </c>
      <c r="J269" t="s">
        <v>3219</v>
      </c>
      <c r="K269">
        <v>-0</v>
      </c>
      <c r="L269">
        <v>1.609119128345207</v>
      </c>
      <c r="M269">
        <v>16.95</v>
      </c>
      <c r="N269">
        <v>9.06</v>
      </c>
    </row>
    <row r="270" spans="1:14">
      <c r="A270" s="1" t="s">
        <v>282</v>
      </c>
      <c r="B270">
        <f>HYPERLINK("https://www.suredividend.com/sure-analysis-research-database/","A10 Networks Inc")</f>
        <v>0</v>
      </c>
      <c r="C270" t="s">
        <v>3222</v>
      </c>
      <c r="D270">
        <v>12.98</v>
      </c>
      <c r="E270">
        <v>0.003852080180667</v>
      </c>
      <c r="H270">
        <v>0.050000000745058</v>
      </c>
      <c r="I270">
        <v>991.599338</v>
      </c>
      <c r="J270">
        <v>10.4503181464268</v>
      </c>
      <c r="K270">
        <v>0.04201680734878824</v>
      </c>
      <c r="L270">
        <v>1.369280872678845</v>
      </c>
      <c r="M270">
        <v>18.92</v>
      </c>
      <c r="N270">
        <v>8.359999999999999</v>
      </c>
    </row>
    <row r="271" spans="1:14">
      <c r="A271" s="1" t="s">
        <v>283</v>
      </c>
      <c r="B271">
        <f>HYPERLINK("https://www.suredividend.com/sure-analysis-research-database/","Anterix Inc")</f>
        <v>0</v>
      </c>
      <c r="C271" t="s">
        <v>3228</v>
      </c>
      <c r="D271">
        <v>56.65</v>
      </c>
      <c r="E271">
        <v>0</v>
      </c>
      <c r="H271">
        <v>0</v>
      </c>
      <c r="I271">
        <v>1040.940238</v>
      </c>
      <c r="J271">
        <v>0</v>
      </c>
      <c r="K271" t="s">
        <v>3219</v>
      </c>
      <c r="L271">
        <v>0.4349458640264061</v>
      </c>
      <c r="M271">
        <v>66.55</v>
      </c>
      <c r="N271">
        <v>45.11</v>
      </c>
    </row>
    <row r="272" spans="1:14">
      <c r="A272" s="1" t="s">
        <v>284</v>
      </c>
      <c r="B272">
        <f>HYPERLINK("https://www.suredividend.com/sure-analysis-research-database/","Adtalem Global Education Inc")</f>
        <v>0</v>
      </c>
      <c r="C272" t="s">
        <v>3225</v>
      </c>
      <c r="D272">
        <v>29.67</v>
      </c>
      <c r="E272">
        <v>0</v>
      </c>
      <c r="H272">
        <v>0</v>
      </c>
      <c r="I272">
        <v>1477.778497</v>
      </c>
      <c r="J272" t="s">
        <v>3219</v>
      </c>
      <c r="K272">
        <v>-0</v>
      </c>
      <c r="L272">
        <v>0.807299767503019</v>
      </c>
      <c r="M272">
        <v>40.23</v>
      </c>
      <c r="N272">
        <v>19.14</v>
      </c>
    </row>
    <row r="273" spans="1:14">
      <c r="A273" s="1" t="s">
        <v>285</v>
      </c>
      <c r="B273">
        <f>HYPERLINK("https://www.suredividend.com/sure-analysis-research-database/","Athene Holding Ltd")</f>
        <v>0</v>
      </c>
      <c r="C273" t="s">
        <v>3221</v>
      </c>
      <c r="D273">
        <v>83.33</v>
      </c>
      <c r="E273">
        <v>0</v>
      </c>
      <c r="H273">
        <v>0</v>
      </c>
      <c r="I273">
        <v>16011.154278</v>
      </c>
      <c r="J273">
        <v>4.300605500459307</v>
      </c>
      <c r="K273">
        <v>0</v>
      </c>
      <c r="L273">
        <v>1.23803114889401</v>
      </c>
      <c r="M273">
        <v>91.26000000000001</v>
      </c>
      <c r="N273">
        <v>40.21</v>
      </c>
    </row>
    <row r="274" spans="1:14">
      <c r="A274" s="1" t="s">
        <v>286</v>
      </c>
      <c r="B274">
        <f>HYPERLINK("https://www.suredividend.com/sure-analysis-research-database/","Athersys Inc")</f>
        <v>0</v>
      </c>
      <c r="C274" t="s">
        <v>3217</v>
      </c>
      <c r="D274">
        <v>0.5282</v>
      </c>
      <c r="E274">
        <v>0</v>
      </c>
      <c r="H274">
        <v>0</v>
      </c>
      <c r="I274">
        <v>128.870331</v>
      </c>
      <c r="J274">
        <v>0</v>
      </c>
      <c r="K274" t="s">
        <v>3219</v>
      </c>
      <c r="L274">
        <v>0.8739027775586741</v>
      </c>
      <c r="M274">
        <v>1.82</v>
      </c>
      <c r="N274">
        <v>0.4977</v>
      </c>
    </row>
    <row r="275" spans="1:14">
      <c r="A275" s="1" t="s">
        <v>287</v>
      </c>
      <c r="B275">
        <f>HYPERLINK("https://www.suredividend.com/sure-analysis-research-database/","Allegheny Technologies Inc")</f>
        <v>0</v>
      </c>
      <c r="C275" t="s">
        <v>3220</v>
      </c>
      <c r="D275">
        <v>30.33</v>
      </c>
      <c r="E275">
        <v>0</v>
      </c>
      <c r="H275">
        <v>0</v>
      </c>
      <c r="I275">
        <v>3865.487558</v>
      </c>
      <c r="J275" t="s">
        <v>3219</v>
      </c>
      <c r="K275">
        <v>-0</v>
      </c>
      <c r="L275">
        <v>0.9253375480863141</v>
      </c>
      <c r="M275">
        <v>30.74</v>
      </c>
      <c r="N275">
        <v>13.85</v>
      </c>
    </row>
    <row r="276" spans="1:14">
      <c r="A276" s="1" t="s">
        <v>288</v>
      </c>
      <c r="B276">
        <f>HYPERLINK("https://www.suredividend.com/sure-analysis-research-database/","Atkore Inc")</f>
        <v>0</v>
      </c>
      <c r="C276" t="s">
        <v>3220</v>
      </c>
      <c r="D276">
        <v>91.73</v>
      </c>
      <c r="E276">
        <v>0</v>
      </c>
      <c r="H276">
        <v>0</v>
      </c>
      <c r="I276">
        <v>4114.646659</v>
      </c>
      <c r="J276">
        <v>5.926597018716116</v>
      </c>
      <c r="K276">
        <v>0</v>
      </c>
      <c r="L276">
        <v>1.889423509855065</v>
      </c>
      <c r="M276">
        <v>119.96</v>
      </c>
      <c r="N276">
        <v>65.8</v>
      </c>
    </row>
    <row r="277" spans="1:14">
      <c r="A277" s="1" t="s">
        <v>289</v>
      </c>
      <c r="B277">
        <f>HYPERLINK("https://www.suredividend.com/sure-analysis-research-database/","Atlanticus Holdings Corp")</f>
        <v>0</v>
      </c>
      <c r="C277" t="s">
        <v>3221</v>
      </c>
      <c r="D277">
        <v>44.08</v>
      </c>
      <c r="E277">
        <v>0</v>
      </c>
      <c r="H277">
        <v>0</v>
      </c>
      <c r="I277">
        <v>652.937865</v>
      </c>
      <c r="J277">
        <v>4.197904481834138</v>
      </c>
      <c r="K277">
        <v>0</v>
      </c>
      <c r="L277">
        <v>1.923684530988139</v>
      </c>
      <c r="M277">
        <v>91.98</v>
      </c>
      <c r="N277">
        <v>28.11</v>
      </c>
    </row>
    <row r="278" spans="1:14">
      <c r="A278" s="1" t="s">
        <v>290</v>
      </c>
      <c r="B278">
        <f>HYPERLINK("https://www.suredividend.com/sure-analysis-research-database/","Ames National Corp.")</f>
        <v>0</v>
      </c>
      <c r="C278" t="s">
        <v>3221</v>
      </c>
      <c r="D278">
        <v>24.3</v>
      </c>
      <c r="E278">
        <v>0.042127006246162</v>
      </c>
      <c r="F278">
        <v>0.04000000000000004</v>
      </c>
      <c r="G278">
        <v>0.03397522653195018</v>
      </c>
      <c r="H278">
        <v>1.023686251781737</v>
      </c>
      <c r="I278">
        <v>220.939658</v>
      </c>
      <c r="J278">
        <v>9.239311592021076</v>
      </c>
      <c r="K278">
        <v>0.3907199434281439</v>
      </c>
      <c r="L278">
        <v>0.240258256649686</v>
      </c>
      <c r="M278">
        <v>25.35</v>
      </c>
      <c r="N278">
        <v>22.23</v>
      </c>
    </row>
    <row r="279" spans="1:14">
      <c r="A279" s="1" t="s">
        <v>291</v>
      </c>
      <c r="B279">
        <f>HYPERLINK("https://www.suredividend.com/sure-analysis-research-database/","ATN International Inc")</f>
        <v>0</v>
      </c>
      <c r="C279" t="s">
        <v>3228</v>
      </c>
      <c r="D279">
        <v>40.83</v>
      </c>
      <c r="E279">
        <v>0.016552701864728</v>
      </c>
      <c r="F279">
        <v>0</v>
      </c>
      <c r="G279">
        <v>-0.1294494367038759</v>
      </c>
      <c r="H279">
        <v>0.675846817136853</v>
      </c>
      <c r="I279">
        <v>640.591138</v>
      </c>
      <c r="J279" t="s">
        <v>3219</v>
      </c>
      <c r="K279" t="s">
        <v>3219</v>
      </c>
      <c r="L279">
        <v>0.388338731482116</v>
      </c>
      <c r="M279">
        <v>49.67</v>
      </c>
      <c r="N279">
        <v>31.94</v>
      </c>
    </row>
    <row r="280" spans="1:14">
      <c r="A280" s="1" t="s">
        <v>292</v>
      </c>
      <c r="B280">
        <f>HYPERLINK("https://www.suredividend.com/sure-analysis-research-database/","Actinium Pharmaceuticals Inc")</f>
        <v>0</v>
      </c>
      <c r="C280" t="s">
        <v>3217</v>
      </c>
      <c r="D280">
        <v>6.8</v>
      </c>
      <c r="E280">
        <v>0</v>
      </c>
      <c r="H280">
        <v>0</v>
      </c>
      <c r="I280">
        <v>150.579023</v>
      </c>
      <c r="J280">
        <v>0</v>
      </c>
      <c r="K280" t="s">
        <v>3219</v>
      </c>
      <c r="L280">
        <v>1.021163514992113</v>
      </c>
      <c r="M280">
        <v>10.3</v>
      </c>
      <c r="N280">
        <v>4.41</v>
      </c>
    </row>
    <row r="281" spans="1:14">
      <c r="A281" s="1" t="s">
        <v>293</v>
      </c>
      <c r="B281">
        <f>HYPERLINK("https://www.suredividend.com/sure-analysis-research-database/","Athenex Inc")</f>
        <v>0</v>
      </c>
      <c r="C281" t="s">
        <v>3217</v>
      </c>
      <c r="D281">
        <v>0.7718</v>
      </c>
      <c r="E281">
        <v>0</v>
      </c>
      <c r="H281">
        <v>0</v>
      </c>
      <c r="I281">
        <v>85.20503600000001</v>
      </c>
      <c r="J281" t="s">
        <v>3219</v>
      </c>
      <c r="K281">
        <v>-0</v>
      </c>
      <c r="L281">
        <v>1.550878038190103</v>
      </c>
      <c r="M281">
        <v>5.75</v>
      </c>
      <c r="N281">
        <v>0.6599</v>
      </c>
    </row>
    <row r="282" spans="1:14">
      <c r="A282" s="1" t="s">
        <v>294</v>
      </c>
      <c r="B282">
        <f>HYPERLINK("https://www.suredividend.com/sure-analysis-ATO/","Atmos Energy Corp.")</f>
        <v>0</v>
      </c>
      <c r="C282" t="s">
        <v>3227</v>
      </c>
      <c r="D282">
        <v>119.74</v>
      </c>
      <c r="E282">
        <v>0.02271588441623518</v>
      </c>
      <c r="F282">
        <v>0.08800000000000008</v>
      </c>
      <c r="G282">
        <v>0.08607365672211231</v>
      </c>
      <c r="H282">
        <v>2.593694770715325</v>
      </c>
      <c r="I282">
        <v>16216.660848</v>
      </c>
      <c r="J282">
        <v>23.27926347730594</v>
      </c>
      <c r="K282">
        <v>0.4893763718330802</v>
      </c>
      <c r="L282">
        <v>0.282706757533729</v>
      </c>
      <c r="M282">
        <v>122.5</v>
      </c>
      <c r="N282">
        <v>85.25</v>
      </c>
    </row>
    <row r="283" spans="1:14">
      <c r="A283" s="1" t="s">
        <v>295</v>
      </c>
      <c r="B283">
        <f>HYPERLINK("https://www.suredividend.com/sure-analysis-research-database/","Atossa Therapeutics Inc")</f>
        <v>0</v>
      </c>
      <c r="C283" t="s">
        <v>3217</v>
      </c>
      <c r="D283">
        <v>1.11</v>
      </c>
      <c r="E283">
        <v>0</v>
      </c>
      <c r="H283">
        <v>0</v>
      </c>
      <c r="I283">
        <v>140.552762</v>
      </c>
      <c r="J283">
        <v>0</v>
      </c>
      <c r="K283" t="s">
        <v>3219</v>
      </c>
      <c r="L283">
        <v>2.107703491965309</v>
      </c>
      <c r="M283">
        <v>9.800000000000001</v>
      </c>
      <c r="N283">
        <v>1.03</v>
      </c>
    </row>
    <row r="284" spans="1:14">
      <c r="A284" s="1" t="s">
        <v>296</v>
      </c>
      <c r="B284">
        <f>HYPERLINK("https://www.suredividend.com/sure-analysis-ATR/","Aptargroup Inc.")</f>
        <v>0</v>
      </c>
      <c r="C284" t="s">
        <v>3223</v>
      </c>
      <c r="D284">
        <v>117.4</v>
      </c>
      <c r="E284">
        <v>0.01345826235093697</v>
      </c>
      <c r="F284">
        <v>0.05555555555555558</v>
      </c>
      <c r="G284">
        <v>0.03496752704080697</v>
      </c>
      <c r="H284">
        <v>1.512955361362237</v>
      </c>
      <c r="I284">
        <v>7696.371959</v>
      </c>
      <c r="J284">
        <v>31.52997357362032</v>
      </c>
      <c r="K284">
        <v>0.4191012081335837</v>
      </c>
      <c r="L284">
        <v>0.649635463589279</v>
      </c>
      <c r="M284">
        <v>157.52</v>
      </c>
      <c r="N284">
        <v>110.04</v>
      </c>
    </row>
    <row r="285" spans="1:14">
      <c r="A285" s="1" t="s">
        <v>297</v>
      </c>
      <c r="B285">
        <f>HYPERLINK("https://www.suredividend.com/sure-analysis-research-database/","Atara Biotherapeutics Inc")</f>
        <v>0</v>
      </c>
      <c r="C285" t="s">
        <v>3217</v>
      </c>
      <c r="D285">
        <v>8.01</v>
      </c>
      <c r="E285">
        <v>0</v>
      </c>
      <c r="H285">
        <v>0</v>
      </c>
      <c r="I285">
        <v>708.223262</v>
      </c>
      <c r="J285">
        <v>0</v>
      </c>
      <c r="K285" t="s">
        <v>3219</v>
      </c>
      <c r="L285">
        <v>1.463507249323843</v>
      </c>
      <c r="M285">
        <v>20.04</v>
      </c>
      <c r="N285">
        <v>7.65</v>
      </c>
    </row>
    <row r="286" spans="1:14">
      <c r="A286" s="1" t="s">
        <v>298</v>
      </c>
      <c r="B286">
        <f>HYPERLINK("https://www.suredividend.com/sure-analysis-research-database/","Atricure Inc")</f>
        <v>0</v>
      </c>
      <c r="C286" t="s">
        <v>3217</v>
      </c>
      <c r="D286">
        <v>57.05</v>
      </c>
      <c r="E286">
        <v>0</v>
      </c>
      <c r="H286">
        <v>0</v>
      </c>
      <c r="I286">
        <v>2639.622489</v>
      </c>
      <c r="J286">
        <v>0</v>
      </c>
      <c r="K286" t="s">
        <v>3219</v>
      </c>
      <c r="L286">
        <v>1.577728036551</v>
      </c>
      <c r="M286">
        <v>89.18000000000001</v>
      </c>
      <c r="N286">
        <v>55.85</v>
      </c>
    </row>
    <row r="287" spans="1:14">
      <c r="A287" s="1" t="s">
        <v>299</v>
      </c>
      <c r="B287">
        <f>HYPERLINK("https://www.suredividend.com/sure-analysis-research-database/","Atrion Corp.")</f>
        <v>0</v>
      </c>
      <c r="C287" t="s">
        <v>3217</v>
      </c>
      <c r="D287">
        <v>732.88</v>
      </c>
      <c r="E287">
        <v>0.010329307615786</v>
      </c>
      <c r="F287">
        <v>0.1142857142857143</v>
      </c>
      <c r="G287">
        <v>0.1317983656310018</v>
      </c>
      <c r="H287">
        <v>7.570142965457512</v>
      </c>
      <c r="I287">
        <v>1315.59582</v>
      </c>
      <c r="J287">
        <v>39.80020630827408</v>
      </c>
      <c r="K287">
        <v>0.4163995030504682</v>
      </c>
      <c r="L287">
        <v>0.429771644089943</v>
      </c>
      <c r="M287">
        <v>801.24</v>
      </c>
      <c r="N287">
        <v>575.3200000000001</v>
      </c>
    </row>
    <row r="288" spans="1:14">
      <c r="A288" s="1" t="s">
        <v>300</v>
      </c>
      <c r="B288">
        <f>HYPERLINK("https://www.suredividend.com/sure-analysis-research-database/","Astronics Corp.")</f>
        <v>0</v>
      </c>
      <c r="C288" t="s">
        <v>3220</v>
      </c>
      <c r="D288">
        <v>11.97</v>
      </c>
      <c r="E288">
        <v>0</v>
      </c>
      <c r="H288">
        <v>0</v>
      </c>
      <c r="I288">
        <v>305.551487</v>
      </c>
      <c r="J288" t="s">
        <v>3219</v>
      </c>
      <c r="K288">
        <v>-0</v>
      </c>
      <c r="L288">
        <v>1.000745751090687</v>
      </c>
      <c r="M288">
        <v>20.93</v>
      </c>
      <c r="N288">
        <v>9.94</v>
      </c>
    </row>
    <row r="289" spans="1:14">
      <c r="A289" s="1" t="s">
        <v>301</v>
      </c>
      <c r="B289">
        <f>HYPERLINK("https://www.suredividend.com/sure-analysis-research-database/","Antares Pharma Inc")</f>
        <v>0</v>
      </c>
      <c r="C289" t="s">
        <v>3217</v>
      </c>
      <c r="D289">
        <v>5.56</v>
      </c>
      <c r="E289">
        <v>0</v>
      </c>
      <c r="H289">
        <v>0</v>
      </c>
      <c r="I289">
        <v>945.791284</v>
      </c>
      <c r="J289">
        <v>20.43231186156538</v>
      </c>
      <c r="K289">
        <v>0</v>
      </c>
      <c r="L289">
        <v>1.142621386682418</v>
      </c>
      <c r="M289">
        <v>5.59</v>
      </c>
      <c r="N289">
        <v>3.11</v>
      </c>
    </row>
    <row r="290" spans="1:14">
      <c r="A290" s="1" t="s">
        <v>302</v>
      </c>
      <c r="B290">
        <f>HYPERLINK("https://www.suredividend.com/sure-analysis-research-database/","Air Transport Services Group Inc")</f>
        <v>0</v>
      </c>
      <c r="C290" t="s">
        <v>3220</v>
      </c>
      <c r="D290">
        <v>31.4</v>
      </c>
      <c r="E290">
        <v>0</v>
      </c>
      <c r="H290">
        <v>0</v>
      </c>
      <c r="I290">
        <v>2334.188896</v>
      </c>
      <c r="J290">
        <v>10.08633138911335</v>
      </c>
      <c r="K290">
        <v>0</v>
      </c>
      <c r="L290">
        <v>0.81500563690368</v>
      </c>
      <c r="M290">
        <v>34.54</v>
      </c>
      <c r="N290">
        <v>21.42</v>
      </c>
    </row>
    <row r="291" spans="1:14">
      <c r="A291" s="1" t="s">
        <v>303</v>
      </c>
      <c r="B291">
        <f>HYPERLINK("https://www.suredividend.com/sure-analysis-research-database/","Altice USA Inc")</f>
        <v>0</v>
      </c>
      <c r="C291" t="s">
        <v>3228</v>
      </c>
      <c r="D291">
        <v>11.76</v>
      </c>
      <c r="E291">
        <v>0</v>
      </c>
      <c r="H291">
        <v>0</v>
      </c>
      <c r="I291">
        <v>5346.726465</v>
      </c>
      <c r="J291">
        <v>5.399037742042651</v>
      </c>
      <c r="K291">
        <v>0</v>
      </c>
      <c r="L291">
        <v>0.905410368684023</v>
      </c>
      <c r="M291">
        <v>38.19</v>
      </c>
      <c r="N291">
        <v>10.47</v>
      </c>
    </row>
    <row r="292" spans="1:14">
      <c r="A292" s="1" t="s">
        <v>304</v>
      </c>
      <c r="B292">
        <f>HYPERLINK("https://www.suredividend.com/sure-analysis-research-database/","Activision Blizzard Inc")</f>
        <v>0</v>
      </c>
      <c r="C292" t="s">
        <v>3228</v>
      </c>
      <c r="D292">
        <v>78.93000000000001</v>
      </c>
      <c r="E292">
        <v>0.005954643339768</v>
      </c>
      <c r="H292">
        <v>0.469999998807907</v>
      </c>
      <c r="I292">
        <v>61638.244497</v>
      </c>
      <c r="J292">
        <v>22.83743775361245</v>
      </c>
      <c r="K292">
        <v>0.1366279066302055</v>
      </c>
      <c r="L292">
        <v>0.186948956983613</v>
      </c>
      <c r="M292">
        <v>98.87</v>
      </c>
      <c r="N292">
        <v>56.07</v>
      </c>
    </row>
    <row r="293" spans="1:14">
      <c r="A293" s="1" t="s">
        <v>305</v>
      </c>
      <c r="B293">
        <f>HYPERLINK("https://www.suredividend.com/sure-analysis-research-database/","Atlantic Union Bankshares Corp")</f>
        <v>0</v>
      </c>
      <c r="C293" t="s">
        <v>3221</v>
      </c>
      <c r="D293">
        <v>35.85</v>
      </c>
      <c r="E293">
        <v>0.03090409344391</v>
      </c>
      <c r="F293">
        <v>0.1200000000000001</v>
      </c>
      <c r="G293">
        <v>0.06961037572506878</v>
      </c>
      <c r="H293">
        <v>1.10791174996418</v>
      </c>
      <c r="I293">
        <v>2707.450973</v>
      </c>
      <c r="J293">
        <v>10.74176439204282</v>
      </c>
      <c r="K293">
        <v>0.339850230050362</v>
      </c>
      <c r="L293">
        <v>0.911684506824274</v>
      </c>
      <c r="M293">
        <v>42.37</v>
      </c>
      <c r="N293">
        <v>32.09</v>
      </c>
    </row>
    <row r="294" spans="1:14">
      <c r="A294" s="1" t="s">
        <v>306</v>
      </c>
      <c r="B294">
        <f>HYPERLINK("https://www.suredividend.com/sure-analysis-research-database/","Auburn National Bancorp Inc.")</f>
        <v>0</v>
      </c>
      <c r="C294" t="s">
        <v>3221</v>
      </c>
      <c r="D294">
        <v>32.2</v>
      </c>
      <c r="E294">
        <v>0.032076484280822</v>
      </c>
      <c r="F294">
        <v>0.01923076923076916</v>
      </c>
      <c r="G294">
        <v>0.02873521738377272</v>
      </c>
      <c r="H294">
        <v>1.032862793842494</v>
      </c>
      <c r="I294">
        <v>113.246466</v>
      </c>
      <c r="J294">
        <v>0</v>
      </c>
      <c r="K294" t="s">
        <v>3219</v>
      </c>
      <c r="M294">
        <v>38.43</v>
      </c>
      <c r="N294">
        <v>31</v>
      </c>
    </row>
    <row r="295" spans="1:14">
      <c r="A295" s="1" t="s">
        <v>307</v>
      </c>
      <c r="B295">
        <f>HYPERLINK("https://www.suredividend.com/sure-analysis-research-database/","Golden Minerals Co")</f>
        <v>0</v>
      </c>
      <c r="C295" t="s">
        <v>3218</v>
      </c>
      <c r="D295">
        <v>0.5415</v>
      </c>
      <c r="E295">
        <v>0</v>
      </c>
      <c r="H295">
        <v>0</v>
      </c>
      <c r="I295">
        <v>88.158697</v>
      </c>
      <c r="J295" t="s">
        <v>3219</v>
      </c>
      <c r="K295">
        <v>-0</v>
      </c>
      <c r="L295">
        <v>0.08496797733799501</v>
      </c>
      <c r="M295">
        <v>0.8300000000000001</v>
      </c>
      <c r="N295">
        <v>0.3102</v>
      </c>
    </row>
    <row r="296" spans="1:14">
      <c r="A296" s="1" t="s">
        <v>308</v>
      </c>
      <c r="B296">
        <f>HYPERLINK("https://www.suredividend.com/sure-analysis-research-database/","AutoWeb Inc")</f>
        <v>0</v>
      </c>
      <c r="C296" t="s">
        <v>3228</v>
      </c>
      <c r="D296">
        <v>2.77</v>
      </c>
      <c r="E296">
        <v>0</v>
      </c>
      <c r="H296">
        <v>0</v>
      </c>
      <c r="I296">
        <v>38.921683</v>
      </c>
      <c r="J296" t="s">
        <v>3219</v>
      </c>
      <c r="K296">
        <v>-0</v>
      </c>
      <c r="L296">
        <v>1.385279775726174</v>
      </c>
      <c r="M296">
        <v>4.35</v>
      </c>
      <c r="N296">
        <v>1.69</v>
      </c>
    </row>
    <row r="297" spans="1:14">
      <c r="A297" s="1" t="s">
        <v>309</v>
      </c>
      <c r="B297">
        <f>HYPERLINK("https://www.suredividend.com/sure-analysis-research-database/","Avista Corp.")</f>
        <v>0</v>
      </c>
      <c r="C297" t="s">
        <v>3227</v>
      </c>
      <c r="D297">
        <v>44.56</v>
      </c>
      <c r="E297">
        <v>0.037736694623908</v>
      </c>
      <c r="F297">
        <v>0.04142011834319526</v>
      </c>
      <c r="G297">
        <v>0.0424022162772979</v>
      </c>
      <c r="H297">
        <v>1.681547112441359</v>
      </c>
      <c r="I297">
        <v>3216.856404</v>
      </c>
      <c r="J297">
        <v>21.83376819851494</v>
      </c>
      <c r="K297">
        <v>0.8007367202101709</v>
      </c>
      <c r="L297">
        <v>0.25944401031185</v>
      </c>
      <c r="M297">
        <v>46.9</v>
      </c>
      <c r="N297">
        <v>36.95</v>
      </c>
    </row>
    <row r="298" spans="1:14">
      <c r="A298" s="1" t="s">
        <v>310</v>
      </c>
      <c r="B298">
        <f>HYPERLINK("https://www.suredividend.com/sure-analysis-research-database/","AeroVironment Inc.")</f>
        <v>0</v>
      </c>
      <c r="C298" t="s">
        <v>3220</v>
      </c>
      <c r="D298">
        <v>109.18</v>
      </c>
      <c r="E298">
        <v>0</v>
      </c>
      <c r="H298">
        <v>0</v>
      </c>
      <c r="I298">
        <v>2720.146877</v>
      </c>
      <c r="J298" t="s">
        <v>3219</v>
      </c>
      <c r="K298">
        <v>-0</v>
      </c>
      <c r="L298">
        <v>0.5468719106987681</v>
      </c>
      <c r="M298">
        <v>115.95</v>
      </c>
      <c r="N298">
        <v>52.03</v>
      </c>
    </row>
    <row r="299" spans="1:14">
      <c r="A299" s="1" t="s">
        <v>311</v>
      </c>
      <c r="B299">
        <f>HYPERLINK("https://www.suredividend.com/sure-analysis-AVB/","Avalonbay Communities Inc.")</f>
        <v>0</v>
      </c>
      <c r="C299" t="s">
        <v>3224</v>
      </c>
      <c r="D299">
        <v>246.61</v>
      </c>
      <c r="E299">
        <v>0.02578970844653502</v>
      </c>
      <c r="F299">
        <v>0</v>
      </c>
      <c r="G299">
        <v>0.02287309649111724</v>
      </c>
      <c r="H299">
        <v>6.299470837185336</v>
      </c>
      <c r="I299">
        <v>34480.614144</v>
      </c>
      <c r="J299">
        <v>34.40495764248418</v>
      </c>
      <c r="K299">
        <v>0.8785872855209673</v>
      </c>
      <c r="L299">
        <v>0.680860304214105</v>
      </c>
      <c r="M299">
        <v>257.46</v>
      </c>
      <c r="N299">
        <v>181.76</v>
      </c>
    </row>
    <row r="300" spans="1:14">
      <c r="A300" s="1" t="s">
        <v>312</v>
      </c>
      <c r="B300">
        <f>HYPERLINK("https://www.suredividend.com/sure-analysis-research-database/","American Vanguard Corp.")</f>
        <v>0</v>
      </c>
      <c r="C300" t="s">
        <v>3218</v>
      </c>
      <c r="D300">
        <v>22.35</v>
      </c>
      <c r="E300">
        <v>0.003796271921768</v>
      </c>
      <c r="H300">
        <v>0.084846677451514</v>
      </c>
      <c r="I300">
        <v>691.617129</v>
      </c>
      <c r="J300">
        <v>37.20972342497445</v>
      </c>
      <c r="K300">
        <v>0.1388198256732886</v>
      </c>
      <c r="L300">
        <v>0.457429773743231</v>
      </c>
      <c r="M300">
        <v>22.53</v>
      </c>
      <c r="N300">
        <v>13.8</v>
      </c>
    </row>
    <row r="301" spans="1:14">
      <c r="A301" s="1" t="s">
        <v>313</v>
      </c>
      <c r="B301">
        <f>HYPERLINK("https://www.suredividend.com/sure-analysis-research-database/","AVEO Pharmaceuticals Inc")</f>
        <v>0</v>
      </c>
      <c r="C301" t="s">
        <v>3217</v>
      </c>
      <c r="D301">
        <v>5.79</v>
      </c>
      <c r="E301">
        <v>0</v>
      </c>
      <c r="H301">
        <v>0</v>
      </c>
      <c r="I301">
        <v>199.608571</v>
      </c>
      <c r="J301" t="s">
        <v>3219</v>
      </c>
      <c r="K301">
        <v>-0</v>
      </c>
      <c r="L301">
        <v>1.378355850999316</v>
      </c>
      <c r="M301">
        <v>7.59</v>
      </c>
      <c r="N301">
        <v>3.06</v>
      </c>
    </row>
    <row r="302" spans="1:14">
      <c r="A302" s="1" t="s">
        <v>314</v>
      </c>
      <c r="B302">
        <f>HYPERLINK("https://www.suredividend.com/sure-analysis-AVGO/","Broadcom Inc")</f>
        <v>0</v>
      </c>
      <c r="C302" t="s">
        <v>3222</v>
      </c>
      <c r="D302">
        <v>573.85</v>
      </c>
      <c r="E302">
        <v>0.02857889692428335</v>
      </c>
      <c r="F302">
        <v>0.1388888888888888</v>
      </c>
      <c r="G302">
        <v>0.3207990168748196</v>
      </c>
      <c r="H302">
        <v>18.8058821412987</v>
      </c>
      <c r="I302">
        <v>234292.149405</v>
      </c>
      <c r="J302">
        <v>31.11036375043155</v>
      </c>
      <c r="K302">
        <v>1.072171159709162</v>
      </c>
      <c r="L302">
        <v>1.401303068372895</v>
      </c>
      <c r="M302">
        <v>673.21</v>
      </c>
      <c r="N302">
        <v>407.48</v>
      </c>
    </row>
    <row r="303" spans="1:14">
      <c r="A303" s="1" t="s">
        <v>315</v>
      </c>
      <c r="B303">
        <f>HYPERLINK("https://www.suredividend.com/sure-analysis-research-database/","Avinger Inc")</f>
        <v>0</v>
      </c>
      <c r="C303" t="s">
        <v>3217</v>
      </c>
      <c r="D303">
        <v>3.1</v>
      </c>
      <c r="E303">
        <v>0</v>
      </c>
      <c r="H303">
        <v>0</v>
      </c>
      <c r="I303">
        <v>16.829187</v>
      </c>
      <c r="J303">
        <v>0</v>
      </c>
      <c r="K303" t="s">
        <v>3219</v>
      </c>
      <c r="L303">
        <v>1.301454411888307</v>
      </c>
      <c r="M303">
        <v>29.2</v>
      </c>
      <c r="N303">
        <v>2.8</v>
      </c>
    </row>
    <row r="304" spans="1:14">
      <c r="A304" s="1" t="s">
        <v>316</v>
      </c>
      <c r="B304">
        <f>HYPERLINK("https://www.suredividend.com/sure-analysis-research-database/","Avid Technology, Inc.")</f>
        <v>0</v>
      </c>
      <c r="C304" t="s">
        <v>3228</v>
      </c>
      <c r="D304">
        <v>36.25</v>
      </c>
      <c r="E304">
        <v>0</v>
      </c>
      <c r="H304">
        <v>0</v>
      </c>
      <c r="I304">
        <v>1631.467246</v>
      </c>
      <c r="J304">
        <v>39.41884715980478</v>
      </c>
      <c r="K304">
        <v>0</v>
      </c>
      <c r="L304">
        <v>1.840881743853249</v>
      </c>
      <c r="M304">
        <v>40.48</v>
      </c>
      <c r="N304">
        <v>19.28</v>
      </c>
    </row>
    <row r="305" spans="1:14">
      <c r="A305" s="1" t="s">
        <v>317</v>
      </c>
      <c r="B305">
        <f>HYPERLINK("https://www.suredividend.com/sure-analysis-research-database/","Avalara Inc")</f>
        <v>0</v>
      </c>
      <c r="C305" t="s">
        <v>3222</v>
      </c>
      <c r="D305">
        <v>91.5</v>
      </c>
      <c r="E305">
        <v>0</v>
      </c>
      <c r="H305">
        <v>0</v>
      </c>
      <c r="I305">
        <v>8005.02143</v>
      </c>
      <c r="J305" t="s">
        <v>3219</v>
      </c>
      <c r="K305">
        <v>-0</v>
      </c>
      <c r="L305">
        <v>1.729807156153012</v>
      </c>
      <c r="M305">
        <v>191.67</v>
      </c>
      <c r="N305">
        <v>74.28</v>
      </c>
    </row>
    <row r="306" spans="1:14">
      <c r="A306" s="1" t="s">
        <v>318</v>
      </c>
      <c r="B306">
        <f>HYPERLINK("https://www.suredividend.com/sure-analysis-research-database/","Avanos Medical Inc")</f>
        <v>0</v>
      </c>
      <c r="C306" t="s">
        <v>3217</v>
      </c>
      <c r="D306">
        <v>31.93</v>
      </c>
      <c r="E306">
        <v>0</v>
      </c>
      <c r="H306">
        <v>0</v>
      </c>
      <c r="I306">
        <v>1510.863389</v>
      </c>
      <c r="J306">
        <v>290.5506516865385</v>
      </c>
      <c r="K306">
        <v>0</v>
      </c>
      <c r="L306">
        <v>0.672200054503111</v>
      </c>
      <c r="M306">
        <v>45.82</v>
      </c>
      <c r="N306">
        <v>27.96</v>
      </c>
    </row>
    <row r="307" spans="1:14">
      <c r="A307" s="1" t="s">
        <v>319</v>
      </c>
      <c r="B307">
        <f>HYPERLINK("https://www.suredividend.com/sure-analysis-research-database/","Aviat Networks Inc")</f>
        <v>0</v>
      </c>
      <c r="C307" t="s">
        <v>3222</v>
      </c>
      <c r="D307">
        <v>34.06</v>
      </c>
      <c r="E307">
        <v>0</v>
      </c>
      <c r="H307">
        <v>0</v>
      </c>
      <c r="I307">
        <v>381.516142</v>
      </c>
      <c r="J307">
        <v>3.527331192307692</v>
      </c>
      <c r="K307">
        <v>0</v>
      </c>
      <c r="L307">
        <v>1.472400923130212</v>
      </c>
      <c r="M307">
        <v>42.81</v>
      </c>
      <c r="N307">
        <v>24.26</v>
      </c>
    </row>
    <row r="308" spans="1:14">
      <c r="A308" s="1" t="s">
        <v>320</v>
      </c>
      <c r="B308">
        <f>HYPERLINK("https://www.suredividend.com/sure-analysis-research-database/","AvroBio Inc")</f>
        <v>0</v>
      </c>
      <c r="C308" t="s">
        <v>3217</v>
      </c>
      <c r="D308">
        <v>1.14</v>
      </c>
      <c r="E308">
        <v>0</v>
      </c>
      <c r="H308">
        <v>0</v>
      </c>
      <c r="I308">
        <v>49.813813</v>
      </c>
      <c r="J308">
        <v>0</v>
      </c>
      <c r="K308" t="s">
        <v>3219</v>
      </c>
      <c r="L308">
        <v>1.559103832148263</v>
      </c>
      <c r="M308">
        <v>12.01</v>
      </c>
      <c r="N308">
        <v>1.11</v>
      </c>
    </row>
    <row r="309" spans="1:14">
      <c r="A309" s="1" t="s">
        <v>321</v>
      </c>
      <c r="B309">
        <f>HYPERLINK("https://www.suredividend.com/sure-analysis-research-database/","Avnet Inc.")</f>
        <v>0</v>
      </c>
      <c r="C309" t="s">
        <v>3222</v>
      </c>
      <c r="D309">
        <v>37.13</v>
      </c>
      <c r="E309">
        <v>0.025623714833632</v>
      </c>
      <c r="F309">
        <v>0.2380952380952381</v>
      </c>
      <c r="G309">
        <v>0.07631692251481081</v>
      </c>
      <c r="H309">
        <v>0.9514085317727911</v>
      </c>
      <c r="I309">
        <v>3674.501314</v>
      </c>
      <c r="J309">
        <v>8.076199811287994</v>
      </c>
      <c r="K309">
        <v>0.2109553285527253</v>
      </c>
      <c r="L309">
        <v>1.069006796674794</v>
      </c>
      <c r="M309">
        <v>44.36</v>
      </c>
      <c r="N309">
        <v>35.49</v>
      </c>
    </row>
    <row r="310" spans="1:14">
      <c r="A310" s="1" t="s">
        <v>322</v>
      </c>
      <c r="B310">
        <f>HYPERLINK("https://www.suredividend.com/sure-analysis-research-database/","Avantor Inc.")</f>
        <v>0</v>
      </c>
      <c r="C310" t="s">
        <v>3218</v>
      </c>
      <c r="D310">
        <v>31.46</v>
      </c>
      <c r="E310">
        <v>0</v>
      </c>
      <c r="H310">
        <v>0</v>
      </c>
      <c r="I310">
        <v>19189.5963</v>
      </c>
      <c r="J310">
        <v>37.77479586645669</v>
      </c>
      <c r="K310">
        <v>0</v>
      </c>
      <c r="L310">
        <v>1.027465538133254</v>
      </c>
      <c r="M310">
        <v>44.37</v>
      </c>
      <c r="N310">
        <v>29.58</v>
      </c>
    </row>
    <row r="311" spans="1:14">
      <c r="A311" s="1" t="s">
        <v>323</v>
      </c>
      <c r="B311">
        <f>HYPERLINK("https://www.suredividend.com/sure-analysis-research-database/","Anavex Life Sciences Corporation")</f>
        <v>0</v>
      </c>
      <c r="C311" t="s">
        <v>3217</v>
      </c>
      <c r="D311">
        <v>11.1</v>
      </c>
      <c r="E311">
        <v>0</v>
      </c>
      <c r="H311">
        <v>0</v>
      </c>
      <c r="I311">
        <v>853.776924</v>
      </c>
      <c r="J311">
        <v>0</v>
      </c>
      <c r="K311" t="s">
        <v>3219</v>
      </c>
      <c r="L311">
        <v>1.98026363455905</v>
      </c>
      <c r="M311">
        <v>31.5</v>
      </c>
      <c r="N311">
        <v>9.279999999999999</v>
      </c>
    </row>
    <row r="312" spans="1:14">
      <c r="A312" s="1" t="s">
        <v>324</v>
      </c>
      <c r="B312">
        <f>HYPERLINK("https://www.suredividend.com/sure-analysis-research-database/","Avery Dennison Corp.")</f>
        <v>0</v>
      </c>
      <c r="C312" t="s">
        <v>3220</v>
      </c>
      <c r="D312">
        <v>166.49</v>
      </c>
      <c r="E312">
        <v>0.016252188730895</v>
      </c>
      <c r="H312">
        <v>2.705826901806712</v>
      </c>
      <c r="I312">
        <v>13728.975011</v>
      </c>
      <c r="J312">
        <v>18.55016215499257</v>
      </c>
      <c r="K312">
        <v>0.3064356627187669</v>
      </c>
      <c r="L312">
        <v>1.076169829363287</v>
      </c>
      <c r="M312">
        <v>227.63</v>
      </c>
      <c r="N312">
        <v>156.51</v>
      </c>
    </row>
    <row r="313" spans="1:14">
      <c r="A313" s="1" t="s">
        <v>325</v>
      </c>
      <c r="B313">
        <f>HYPERLINK("https://www.suredividend.com/sure-analysis-research-database/","Avaya Holdings Corp.")</f>
        <v>0</v>
      </c>
      <c r="C313" t="s">
        <v>3222</v>
      </c>
      <c r="D313">
        <v>11.75</v>
      </c>
      <c r="E313">
        <v>0</v>
      </c>
      <c r="H313">
        <v>0</v>
      </c>
      <c r="I313">
        <v>997.902437</v>
      </c>
      <c r="J313">
        <v>0</v>
      </c>
      <c r="K313" t="s">
        <v>3219</v>
      </c>
      <c r="L313">
        <v>1.402768913928008</v>
      </c>
      <c r="M313">
        <v>30.59</v>
      </c>
      <c r="N313">
        <v>11.42</v>
      </c>
    </row>
    <row r="314" spans="1:14">
      <c r="A314" s="1" t="s">
        <v>326</v>
      </c>
      <c r="B314">
        <f>HYPERLINK("https://www.suredividend.com/sure-analysis-research-database/","Armstrong World Industries Inc.")</f>
        <v>0</v>
      </c>
      <c r="C314" t="s">
        <v>3220</v>
      </c>
      <c r="D314">
        <v>92.2</v>
      </c>
      <c r="E314">
        <v>0.009533330641167001</v>
      </c>
      <c r="H314">
        <v>0.8789730851156851</v>
      </c>
      <c r="I314">
        <v>4377.261107</v>
      </c>
      <c r="J314">
        <v>23.93253749261892</v>
      </c>
      <c r="K314">
        <v>0.2300976662606505</v>
      </c>
      <c r="L314">
        <v>1.051096430636427</v>
      </c>
      <c r="M314">
        <v>117.83</v>
      </c>
      <c r="N314">
        <v>85.51000000000001</v>
      </c>
    </row>
    <row r="315" spans="1:14">
      <c r="A315" s="1" t="s">
        <v>327</v>
      </c>
      <c r="B315">
        <f>HYPERLINK("https://www.suredividend.com/sure-analysis-AWK/","American Water Works Co. Inc.")</f>
        <v>0</v>
      </c>
      <c r="C315" t="s">
        <v>3227</v>
      </c>
      <c r="D315">
        <v>166.16</v>
      </c>
      <c r="E315">
        <v>0.0145040924410207</v>
      </c>
      <c r="F315">
        <v>0.09545454545454546</v>
      </c>
      <c r="G315">
        <v>0.07741195679569235</v>
      </c>
      <c r="H315">
        <v>2.396687573017491</v>
      </c>
      <c r="I315">
        <v>30200.005536</v>
      </c>
      <c r="J315">
        <v>23.91132663163896</v>
      </c>
      <c r="K315">
        <v>0.345344030694163</v>
      </c>
      <c r="L315">
        <v>0.384232580919293</v>
      </c>
      <c r="M315">
        <v>188.92</v>
      </c>
      <c r="N315">
        <v>144.2</v>
      </c>
    </row>
    <row r="316" spans="1:14">
      <c r="A316" s="1" t="s">
        <v>328</v>
      </c>
      <c r="B316">
        <f>HYPERLINK("https://www.suredividend.com/sure-analysis-AWR/","American States Water Co.")</f>
        <v>0</v>
      </c>
      <c r="C316" t="s">
        <v>3227</v>
      </c>
      <c r="D316">
        <v>85.34999999999999</v>
      </c>
      <c r="E316">
        <v>0.01710603397773872</v>
      </c>
      <c r="F316">
        <v>0.08955223880596996</v>
      </c>
      <c r="G316">
        <v>0.08566415645534553</v>
      </c>
      <c r="H316">
        <v>1.421389520747557</v>
      </c>
      <c r="I316">
        <v>3154.163277</v>
      </c>
      <c r="J316">
        <v>33.51820108338735</v>
      </c>
      <c r="K316">
        <v>0.5596021735226603</v>
      </c>
      <c r="L316">
        <v>0.319653239283764</v>
      </c>
      <c r="M316">
        <v>103.33</v>
      </c>
      <c r="N316">
        <v>75.18000000000001</v>
      </c>
    </row>
    <row r="317" spans="1:14">
      <c r="A317" s="1" t="s">
        <v>329</v>
      </c>
      <c r="B317">
        <f>HYPERLINK("https://www.suredividend.com/sure-analysis-research-database/","Aware Inc.")</f>
        <v>0</v>
      </c>
      <c r="C317" t="s">
        <v>3222</v>
      </c>
      <c r="D317">
        <v>2.71</v>
      </c>
      <c r="E317">
        <v>0</v>
      </c>
      <c r="H317">
        <v>0</v>
      </c>
      <c r="I317">
        <v>58.650525</v>
      </c>
      <c r="J317">
        <v>0</v>
      </c>
      <c r="K317" t="s">
        <v>3219</v>
      </c>
      <c r="L317">
        <v>0.6460462749230931</v>
      </c>
      <c r="M317">
        <v>4.27</v>
      </c>
      <c r="N317">
        <v>2.63</v>
      </c>
    </row>
    <row r="318" spans="1:14">
      <c r="A318" s="1" t="s">
        <v>330</v>
      </c>
      <c r="B318">
        <f>HYPERLINK("https://www.suredividend.com/sure-analysis-research-database/","Axos Financial Inc.")</f>
        <v>0</v>
      </c>
      <c r="C318" t="s">
        <v>3221</v>
      </c>
      <c r="D318">
        <v>40.49</v>
      </c>
      <c r="E318">
        <v>0</v>
      </c>
      <c r="H318">
        <v>0</v>
      </c>
      <c r="I318">
        <v>2409.231891</v>
      </c>
      <c r="J318">
        <v>10.52535142513259</v>
      </c>
      <c r="K318">
        <v>0</v>
      </c>
      <c r="L318">
        <v>1.22714875023509</v>
      </c>
      <c r="M318">
        <v>62.44</v>
      </c>
      <c r="N318">
        <v>39.64</v>
      </c>
    </row>
    <row r="319" spans="1:14">
      <c r="A319" s="1" t="s">
        <v>331</v>
      </c>
      <c r="B319">
        <f>HYPERLINK("https://www.suredividend.com/sure-analysis-research-database/","Abraxas Petroleum Corp.")</f>
        <v>0</v>
      </c>
      <c r="C319" t="s">
        <v>3226</v>
      </c>
      <c r="D319">
        <v>2.18</v>
      </c>
      <c r="E319">
        <v>0</v>
      </c>
      <c r="H319">
        <v>0</v>
      </c>
      <c r="I319">
        <v>18.359764</v>
      </c>
      <c r="J319" t="s">
        <v>3219</v>
      </c>
      <c r="K319">
        <v>-0</v>
      </c>
      <c r="M319">
        <v>4.94</v>
      </c>
      <c r="N319">
        <v>0.52</v>
      </c>
    </row>
    <row r="320" spans="1:14">
      <c r="A320" s="1" t="s">
        <v>332</v>
      </c>
      <c r="B320">
        <f>HYPERLINK("https://www.suredividend.com/sure-analysis-research-database/","Accelerate Diagnostics Inc")</f>
        <v>0</v>
      </c>
      <c r="C320" t="s">
        <v>3217</v>
      </c>
      <c r="D320">
        <v>1.03</v>
      </c>
      <c r="E320">
        <v>0</v>
      </c>
      <c r="H320">
        <v>0</v>
      </c>
      <c r="I320">
        <v>71.751103</v>
      </c>
      <c r="J320">
        <v>0</v>
      </c>
      <c r="K320" t="s">
        <v>3219</v>
      </c>
      <c r="L320">
        <v>1.053039296460776</v>
      </c>
      <c r="M320">
        <v>9.359999999999999</v>
      </c>
      <c r="N320">
        <v>1.02</v>
      </c>
    </row>
    <row r="321" spans="1:14">
      <c r="A321" s="1" t="s">
        <v>333</v>
      </c>
      <c r="B321">
        <f>HYPERLINK("https://www.suredividend.com/sure-analysis-research-database/","Axogen Inc.")</f>
        <v>0</v>
      </c>
      <c r="C321" t="s">
        <v>3217</v>
      </c>
      <c r="D321">
        <v>7.25</v>
      </c>
      <c r="E321">
        <v>0</v>
      </c>
      <c r="H321">
        <v>0</v>
      </c>
      <c r="I321">
        <v>304.332424</v>
      </c>
      <c r="J321">
        <v>0</v>
      </c>
      <c r="K321" t="s">
        <v>3219</v>
      </c>
      <c r="L321">
        <v>1.814813884899609</v>
      </c>
      <c r="M321">
        <v>23.94</v>
      </c>
      <c r="N321">
        <v>6.88</v>
      </c>
    </row>
    <row r="322" spans="1:14">
      <c r="A322" s="1" t="s">
        <v>334</v>
      </c>
      <c r="B322">
        <f>HYPERLINK("https://www.suredividend.com/sure-analysis-research-database/","American Axle &amp; Manufacturing Holdings Inc")</f>
        <v>0</v>
      </c>
      <c r="C322" t="s">
        <v>3223</v>
      </c>
      <c r="D322">
        <v>6.86</v>
      </c>
      <c r="E322">
        <v>0</v>
      </c>
      <c r="H322">
        <v>0</v>
      </c>
      <c r="I322">
        <v>785.311946</v>
      </c>
      <c r="J322">
        <v>137.7740255438596</v>
      </c>
      <c r="K322">
        <v>0</v>
      </c>
      <c r="L322">
        <v>1.646244854411341</v>
      </c>
      <c r="M322">
        <v>13.06</v>
      </c>
      <c r="N322">
        <v>6.41</v>
      </c>
    </row>
    <row r="323" spans="1:14">
      <c r="A323" s="1" t="s">
        <v>335</v>
      </c>
      <c r="B323">
        <f>HYPERLINK("https://www.suredividend.com/sure-analysis-research-database/","Axonics Inc")</f>
        <v>0</v>
      </c>
      <c r="C323" t="s">
        <v>3217</v>
      </c>
      <c r="D323">
        <v>63.81</v>
      </c>
      <c r="E323">
        <v>0</v>
      </c>
      <c r="H323">
        <v>0</v>
      </c>
      <c r="I323">
        <v>2999.013337</v>
      </c>
      <c r="J323">
        <v>0</v>
      </c>
      <c r="K323" t="s">
        <v>3219</v>
      </c>
      <c r="L323">
        <v>1.736441393640253</v>
      </c>
      <c r="M323">
        <v>79.81</v>
      </c>
      <c r="N323">
        <v>42.37</v>
      </c>
    </row>
    <row r="324" spans="1:14">
      <c r="A324" s="1" t="s">
        <v>336</v>
      </c>
      <c r="B324">
        <f>HYPERLINK("https://www.suredividend.com/sure-analysis-AXP/","American Express Co.")</f>
        <v>0</v>
      </c>
      <c r="C324" t="s">
        <v>3221</v>
      </c>
      <c r="D324">
        <v>181.16</v>
      </c>
      <c r="E324">
        <v>0.01148156325899757</v>
      </c>
      <c r="F324">
        <v>0.2093023255813955</v>
      </c>
      <c r="G324">
        <v>0.1019722877214801</v>
      </c>
      <c r="H324">
        <v>1.803141024849022</v>
      </c>
      <c r="I324">
        <v>137190.458211</v>
      </c>
      <c r="J324">
        <v>17.32859141227232</v>
      </c>
      <c r="K324">
        <v>0.1799541940967088</v>
      </c>
      <c r="L324">
        <v>1.212506619560048</v>
      </c>
      <c r="M324">
        <v>198.99</v>
      </c>
      <c r="N324">
        <v>139.22</v>
      </c>
    </row>
    <row r="325" spans="1:14">
      <c r="A325" s="1" t="s">
        <v>337</v>
      </c>
      <c r="B325">
        <f>HYPERLINK("https://www.suredividend.com/sure-analysis-research-database/","AMREP Corp.")</f>
        <v>0</v>
      </c>
      <c r="C325" t="s">
        <v>3224</v>
      </c>
      <c r="D325">
        <v>12.35</v>
      </c>
      <c r="E325">
        <v>0</v>
      </c>
      <c r="H325">
        <v>0</v>
      </c>
      <c r="I325">
        <v>90.60417</v>
      </c>
      <c r="J325">
        <v>9.26328284428995</v>
      </c>
      <c r="K325">
        <v>0</v>
      </c>
      <c r="M325">
        <v>18.8</v>
      </c>
      <c r="N325">
        <v>9.76</v>
      </c>
    </row>
    <row r="326" spans="1:14">
      <c r="A326" s="1" t="s">
        <v>338</v>
      </c>
      <c r="B326">
        <f>HYPERLINK("https://www.suredividend.com/sure-analysis-AXS/","Axis Capital Holdings Ltd")</f>
        <v>0</v>
      </c>
      <c r="C326" t="s">
        <v>3221</v>
      </c>
      <c r="D326">
        <v>56.57</v>
      </c>
      <c r="E326">
        <v>0.03040480820222733</v>
      </c>
      <c r="F326">
        <v>0.02380952380952372</v>
      </c>
      <c r="G326">
        <v>0.02503093353490349</v>
      </c>
      <c r="H326">
        <v>1.680429937389165</v>
      </c>
      <c r="I326">
        <v>4797.267129</v>
      </c>
      <c r="J326">
        <v>8.153639409374209</v>
      </c>
      <c r="K326">
        <v>0.2435405706361109</v>
      </c>
      <c r="L326">
        <v>0.783111429821941</v>
      </c>
      <c r="M326">
        <v>61.39</v>
      </c>
      <c r="N326">
        <v>43.42</v>
      </c>
    </row>
    <row r="327" spans="1:14">
      <c r="A327" s="1" t="s">
        <v>339</v>
      </c>
      <c r="B327">
        <f>HYPERLINK("https://www.suredividend.com/sure-analysis-research-database/","Axsome Therapeutics Inc")</f>
        <v>0</v>
      </c>
      <c r="C327" t="s">
        <v>3217</v>
      </c>
      <c r="D327">
        <v>36.86</v>
      </c>
      <c r="E327">
        <v>0</v>
      </c>
      <c r="H327">
        <v>0</v>
      </c>
      <c r="I327">
        <v>1418.246481</v>
      </c>
      <c r="J327">
        <v>0</v>
      </c>
      <c r="K327" t="s">
        <v>3219</v>
      </c>
      <c r="L327">
        <v>1.453588879240514</v>
      </c>
      <c r="M327">
        <v>74.09999999999999</v>
      </c>
      <c r="N327">
        <v>19.38</v>
      </c>
    </row>
    <row r="328" spans="1:14">
      <c r="A328" s="1" t="s">
        <v>340</v>
      </c>
      <c r="B328">
        <f>HYPERLINK("https://www.suredividend.com/sure-analysis-research-database/","Axalta Coating Systems Ltd")</f>
        <v>0</v>
      </c>
      <c r="C328" t="s">
        <v>3218</v>
      </c>
      <c r="D328">
        <v>25.13</v>
      </c>
      <c r="E328">
        <v>0</v>
      </c>
      <c r="H328">
        <v>0</v>
      </c>
      <c r="I328">
        <v>5642.513285</v>
      </c>
      <c r="J328">
        <v>21.38125534217506</v>
      </c>
      <c r="K328">
        <v>0</v>
      </c>
      <c r="L328">
        <v>1.075886413704223</v>
      </c>
      <c r="M328">
        <v>34.2</v>
      </c>
      <c r="N328">
        <v>21.67</v>
      </c>
    </row>
    <row r="329" spans="1:14">
      <c r="A329" s="1" t="s">
        <v>341</v>
      </c>
      <c r="B329">
        <f>HYPERLINK("https://www.suredividend.com/sure-analysis-research-database/","AXT Inc")</f>
        <v>0</v>
      </c>
      <c r="C329" t="s">
        <v>3222</v>
      </c>
      <c r="D329">
        <v>6.34</v>
      </c>
      <c r="E329">
        <v>0</v>
      </c>
      <c r="H329">
        <v>0</v>
      </c>
      <c r="I329">
        <v>272.314742</v>
      </c>
      <c r="J329">
        <v>18.91337280733435</v>
      </c>
      <c r="K329">
        <v>0</v>
      </c>
      <c r="L329">
        <v>1.838601526505088</v>
      </c>
      <c r="M329">
        <v>12.35</v>
      </c>
      <c r="N329">
        <v>6.07</v>
      </c>
    </row>
    <row r="330" spans="1:14">
      <c r="A330" s="1" t="s">
        <v>342</v>
      </c>
      <c r="B330">
        <f>HYPERLINK("https://www.suredividend.com/sure-analysis-research-database/","Acuity Brands, Inc.")</f>
        <v>0</v>
      </c>
      <c r="C330" t="s">
        <v>3220</v>
      </c>
      <c r="D330">
        <v>170.79</v>
      </c>
      <c r="E330">
        <v>0.003041524674498</v>
      </c>
      <c r="F330">
        <v>0</v>
      </c>
      <c r="G330">
        <v>0</v>
      </c>
      <c r="H330">
        <v>0.519461999157647</v>
      </c>
      <c r="I330">
        <v>5905.991981</v>
      </c>
      <c r="J330">
        <v>17.0348773616383</v>
      </c>
      <c r="K330">
        <v>0.05366342966504618</v>
      </c>
      <c r="L330">
        <v>1.130126983576891</v>
      </c>
      <c r="M330">
        <v>224.28</v>
      </c>
      <c r="N330">
        <v>159.25</v>
      </c>
    </row>
    <row r="331" spans="1:14">
      <c r="A331" s="1" t="s">
        <v>343</v>
      </c>
      <c r="B331">
        <f>HYPERLINK("https://www.suredividend.com/sure-analysis-research-database/","Alteryx Inc")</f>
        <v>0</v>
      </c>
      <c r="C331" t="s">
        <v>3222</v>
      </c>
      <c r="D331">
        <v>72.02</v>
      </c>
      <c r="E331">
        <v>0</v>
      </c>
      <c r="H331">
        <v>0</v>
      </c>
      <c r="I331">
        <v>4349.199287</v>
      </c>
      <c r="J331" t="s">
        <v>3219</v>
      </c>
      <c r="K331">
        <v>-0</v>
      </c>
      <c r="L331">
        <v>1.453127961259499</v>
      </c>
      <c r="M331">
        <v>90.56999999999999</v>
      </c>
      <c r="N331">
        <v>49.67</v>
      </c>
    </row>
    <row r="332" spans="1:14">
      <c r="A332" s="1" t="s">
        <v>344</v>
      </c>
      <c r="B332">
        <f>HYPERLINK("https://www.suredividend.com/sure-analysis-research-database/","Autozone Inc.")</f>
        <v>0</v>
      </c>
      <c r="C332" t="s">
        <v>3223</v>
      </c>
      <c r="D332">
        <v>2164.6</v>
      </c>
      <c r="E332">
        <v>0</v>
      </c>
      <c r="H332">
        <v>0</v>
      </c>
      <c r="I332">
        <v>42964.859673</v>
      </c>
      <c r="J332">
        <v>17.83569836038897</v>
      </c>
      <c r="K332">
        <v>0</v>
      </c>
      <c r="L332">
        <v>0.7770209738932251</v>
      </c>
      <c r="M332">
        <v>2221.57</v>
      </c>
      <c r="N332">
        <v>1367.96</v>
      </c>
    </row>
    <row r="333" spans="1:14">
      <c r="A333" s="1" t="s">
        <v>345</v>
      </c>
      <c r="B333">
        <f>HYPERLINK("https://www.suredividend.com/sure-analysis-research-database/","Aspen Technology Inc.")</f>
        <v>0</v>
      </c>
      <c r="C333" t="s">
        <v>3222</v>
      </c>
      <c r="D333">
        <v>161.95</v>
      </c>
      <c r="E333">
        <v>0</v>
      </c>
      <c r="H333">
        <v>0</v>
      </c>
      <c r="I333">
        <v>10795.905394</v>
      </c>
      <c r="J333">
        <v>41.65038750978962</v>
      </c>
      <c r="K333">
        <v>0</v>
      </c>
      <c r="L333">
        <v>0.550120322835099</v>
      </c>
      <c r="M333">
        <v>169.22</v>
      </c>
      <c r="N333">
        <v>122.29</v>
      </c>
    </row>
    <row r="334" spans="1:14">
      <c r="A334" s="1" t="s">
        <v>346</v>
      </c>
      <c r="B334">
        <f>HYPERLINK("https://www.suredividend.com/sure-analysis-research-database/","AZZ Inc")</f>
        <v>0</v>
      </c>
      <c r="C334" t="s">
        <v>3220</v>
      </c>
      <c r="D334">
        <v>46.24</v>
      </c>
      <c r="E334">
        <v>0.014631604776621</v>
      </c>
      <c r="F334">
        <v>0</v>
      </c>
      <c r="G334">
        <v>0</v>
      </c>
      <c r="H334">
        <v>0.6765654048709671</v>
      </c>
      <c r="I334">
        <v>1141.790356</v>
      </c>
      <c r="J334">
        <v>14.53399128716904</v>
      </c>
      <c r="K334">
        <v>0.2175451462607611</v>
      </c>
      <c r="L334">
        <v>0.7962942609774031</v>
      </c>
      <c r="M334">
        <v>58.2</v>
      </c>
      <c r="N334">
        <v>44.5</v>
      </c>
    </row>
    <row r="335" spans="1:14">
      <c r="A335" s="1" t="s">
        <v>347</v>
      </c>
      <c r="B335">
        <f>HYPERLINK("https://www.suredividend.com/sure-analysis-research-database/","Barnes Group Inc.")</f>
        <v>0</v>
      </c>
      <c r="C335" t="s">
        <v>3220</v>
      </c>
      <c r="D335">
        <v>35.94</v>
      </c>
      <c r="E335">
        <v>0.017715333102134</v>
      </c>
      <c r="F335">
        <v>0</v>
      </c>
      <c r="G335">
        <v>0.02706608708935176</v>
      </c>
      <c r="H335">
        <v>0.636689071690698</v>
      </c>
      <c r="I335">
        <v>1821.884748</v>
      </c>
      <c r="J335">
        <v>18.24201484064762</v>
      </c>
      <c r="K335">
        <v>0.324841363107499</v>
      </c>
      <c r="L335">
        <v>0.9228889034108361</v>
      </c>
      <c r="M335">
        <v>56.39</v>
      </c>
      <c r="N335">
        <v>35.67</v>
      </c>
    </row>
    <row r="336" spans="1:14">
      <c r="A336" s="1" t="s">
        <v>348</v>
      </c>
      <c r="B336">
        <f>HYPERLINK("https://www.suredividend.com/sure-analysis-research-database/","Boeing Co.")</f>
        <v>0</v>
      </c>
      <c r="C336" t="s">
        <v>3220</v>
      </c>
      <c r="D336">
        <v>181.94</v>
      </c>
      <c r="E336">
        <v>0</v>
      </c>
      <c r="H336">
        <v>0</v>
      </c>
      <c r="I336">
        <v>107414.618335</v>
      </c>
      <c r="J336" t="s">
        <v>3219</v>
      </c>
      <c r="K336">
        <v>-0</v>
      </c>
      <c r="L336">
        <v>1.331677405567374</v>
      </c>
      <c r="M336">
        <v>258.4</v>
      </c>
      <c r="N336">
        <v>167.58</v>
      </c>
    </row>
    <row r="337" spans="1:14">
      <c r="A337" s="1" t="s">
        <v>349</v>
      </c>
      <c r="B337">
        <f>HYPERLINK("https://www.suredividend.com/sure-analysis-BAC/","Bank Of America Corp.")</f>
        <v>0</v>
      </c>
      <c r="C337" t="s">
        <v>3221</v>
      </c>
      <c r="D337">
        <v>37.57</v>
      </c>
      <c r="E337">
        <v>0.02235826457279744</v>
      </c>
      <c r="F337">
        <v>0.1666666666666667</v>
      </c>
      <c r="G337">
        <v>0.2286596790831472</v>
      </c>
      <c r="H337">
        <v>0.804312819178117</v>
      </c>
      <c r="I337">
        <v>302996.596715</v>
      </c>
      <c r="J337">
        <v>9.915783509981347</v>
      </c>
      <c r="K337">
        <v>0.2252977084532541</v>
      </c>
      <c r="L337">
        <v>1.036650946209794</v>
      </c>
      <c r="M337">
        <v>49.87</v>
      </c>
      <c r="N337">
        <v>35.97</v>
      </c>
    </row>
    <row r="338" spans="1:14">
      <c r="A338" s="1" t="s">
        <v>350</v>
      </c>
      <c r="B338">
        <f>HYPERLINK("https://www.suredividend.com/sure-analysis-BAH/","Booz Allen Hamilton Holding Corp")</f>
        <v>0</v>
      </c>
      <c r="C338" t="s">
        <v>3220</v>
      </c>
      <c r="D338">
        <v>87.78</v>
      </c>
      <c r="E338">
        <v>0.01686033264980633</v>
      </c>
      <c r="F338">
        <v>0.1621621621621621</v>
      </c>
      <c r="G338">
        <v>0.2039374025860854</v>
      </c>
      <c r="H338">
        <v>1.528952161321453</v>
      </c>
      <c r="I338">
        <v>11697.359853</v>
      </c>
      <c r="J338">
        <v>20.3416779457572</v>
      </c>
      <c r="K338">
        <v>0.3614544116599179</v>
      </c>
      <c r="L338">
        <v>0.407552289621086</v>
      </c>
      <c r="M338">
        <v>90.48</v>
      </c>
      <c r="N338">
        <v>69.68000000000001</v>
      </c>
    </row>
    <row r="339" spans="1:14">
      <c r="A339" s="1" t="s">
        <v>351</v>
      </c>
      <c r="B339">
        <f>HYPERLINK("https://www.suredividend.com/sure-analysis-research-database/","Banc of California Inc")</f>
        <v>0</v>
      </c>
      <c r="C339" t="s">
        <v>3221</v>
      </c>
      <c r="D339">
        <v>18.09</v>
      </c>
      <c r="E339">
        <v>0.01320450223265</v>
      </c>
      <c r="F339">
        <v>0</v>
      </c>
      <c r="G339">
        <v>-0.1432747249506905</v>
      </c>
      <c r="H339">
        <v>0.238869445388641</v>
      </c>
      <c r="I339">
        <v>1124.836869</v>
      </c>
      <c r="J339">
        <v>22.24624467159781</v>
      </c>
      <c r="K339">
        <v>0.2518126137345995</v>
      </c>
      <c r="L339">
        <v>1.063573100171944</v>
      </c>
      <c r="M339">
        <v>21.95</v>
      </c>
      <c r="N339">
        <v>15.25</v>
      </c>
    </row>
    <row r="340" spans="1:14">
      <c r="A340" s="1" t="s">
        <v>352</v>
      </c>
      <c r="B340">
        <f>HYPERLINK("https://www.suredividend.com/sure-analysis-research-database/","Bandwidth Inc")</f>
        <v>0</v>
      </c>
      <c r="C340" t="s">
        <v>3222</v>
      </c>
      <c r="D340">
        <v>29.38</v>
      </c>
      <c r="E340">
        <v>0</v>
      </c>
      <c r="H340">
        <v>0</v>
      </c>
      <c r="I340">
        <v>684.319078</v>
      </c>
      <c r="J340" t="s">
        <v>3219</v>
      </c>
      <c r="K340">
        <v>-0</v>
      </c>
      <c r="L340">
        <v>1.090181869078871</v>
      </c>
      <c r="M340">
        <v>145.97</v>
      </c>
      <c r="N340">
        <v>24.01</v>
      </c>
    </row>
    <row r="341" spans="1:14">
      <c r="A341" s="1" t="s">
        <v>353</v>
      </c>
      <c r="B341">
        <f>HYPERLINK("https://www.suredividend.com/sure-analysis-BANF/","Bancfirst Corp.")</f>
        <v>0</v>
      </c>
      <c r="C341" t="s">
        <v>3221</v>
      </c>
      <c r="D341">
        <v>83.16</v>
      </c>
      <c r="E341">
        <v>0.01731601731601732</v>
      </c>
      <c r="F341">
        <v>0.0588235294117645</v>
      </c>
      <c r="G341">
        <v>-0.01075518913431428</v>
      </c>
      <c r="H341">
        <v>1.409944824581876</v>
      </c>
      <c r="I341">
        <v>2721.459815</v>
      </c>
      <c r="J341">
        <v>16.23492104587484</v>
      </c>
      <c r="K341">
        <v>0.2803071221832755</v>
      </c>
      <c r="L341">
        <v>0.635268515268499</v>
      </c>
      <c r="M341">
        <v>84.63</v>
      </c>
      <c r="N341">
        <v>52.95</v>
      </c>
    </row>
    <row r="342" spans="1:14">
      <c r="A342" s="1" t="s">
        <v>354</v>
      </c>
      <c r="B342">
        <f>HYPERLINK("https://www.suredividend.com/sure-analysis-research-database/","Banner Corp.")</f>
        <v>0</v>
      </c>
      <c r="C342" t="s">
        <v>3221</v>
      </c>
      <c r="D342">
        <v>55.26</v>
      </c>
      <c r="E342">
        <v>0.029900892827963</v>
      </c>
      <c r="F342">
        <v>0.07317073170731692</v>
      </c>
      <c r="G342">
        <v>0.1197022052804315</v>
      </c>
      <c r="H342">
        <v>1.65232333767325</v>
      </c>
      <c r="I342">
        <v>1893.50932</v>
      </c>
      <c r="J342">
        <v>9.418195254864511</v>
      </c>
      <c r="K342">
        <v>0.2868616905682726</v>
      </c>
      <c r="L342">
        <v>0.9673577295002</v>
      </c>
      <c r="M342">
        <v>66.31</v>
      </c>
      <c r="N342">
        <v>48.03</v>
      </c>
    </row>
    <row r="343" spans="1:14">
      <c r="A343" s="1" t="s">
        <v>355</v>
      </c>
      <c r="B343">
        <f>HYPERLINK("https://www.suredividend.com/sure-analysis-research-database/","Basis Global Technologies Inc")</f>
        <v>0</v>
      </c>
      <c r="C343" t="s">
        <v>3217</v>
      </c>
      <c r="D343">
        <v>16.44</v>
      </c>
      <c r="E343">
        <v>0</v>
      </c>
      <c r="H343">
        <v>0</v>
      </c>
      <c r="I343">
        <v>0</v>
      </c>
      <c r="J343">
        <v>0</v>
      </c>
      <c r="K343" t="s">
        <v>3219</v>
      </c>
    </row>
    <row r="344" spans="1:14">
      <c r="A344" s="1" t="s">
        <v>356</v>
      </c>
      <c r="B344">
        <f>HYPERLINK("https://www.suredividend.com/sure-analysis-research-database/","Liberty Media Corp.")</f>
        <v>0</v>
      </c>
      <c r="C344" t="s">
        <v>3228</v>
      </c>
      <c r="D344">
        <v>27.74</v>
      </c>
      <c r="E344">
        <v>0</v>
      </c>
      <c r="H344">
        <v>0</v>
      </c>
      <c r="I344">
        <v>32021.177511</v>
      </c>
      <c r="J344">
        <v>0</v>
      </c>
      <c r="K344" t="s">
        <v>3219</v>
      </c>
      <c r="L344">
        <v>0.7527498690024661</v>
      </c>
      <c r="M344">
        <v>32.69</v>
      </c>
      <c r="N344">
        <v>24.75</v>
      </c>
    </row>
    <row r="345" spans="1:14">
      <c r="A345" s="1" t="s">
        <v>357</v>
      </c>
      <c r="B345">
        <f>HYPERLINK("https://www.suredividend.com/sure-analysis-research-database/","Liberty Media Corp.")</f>
        <v>0</v>
      </c>
      <c r="C345" t="s">
        <v>3228</v>
      </c>
      <c r="D345">
        <v>26.54</v>
      </c>
      <c r="E345">
        <v>0</v>
      </c>
      <c r="H345">
        <v>0</v>
      </c>
      <c r="I345">
        <v>32021.177511</v>
      </c>
      <c r="J345">
        <v>0</v>
      </c>
      <c r="K345" t="s">
        <v>3219</v>
      </c>
      <c r="L345">
        <v>0.7731371442390671</v>
      </c>
      <c r="M345">
        <v>31.27</v>
      </c>
      <c r="N345">
        <v>24.17</v>
      </c>
    </row>
    <row r="346" spans="1:14">
      <c r="A346" s="1" t="s">
        <v>358</v>
      </c>
      <c r="B346">
        <f>HYPERLINK("https://www.suredividend.com/sure-analysis-research-database/","Baxter International Inc.")</f>
        <v>0</v>
      </c>
      <c r="C346" t="s">
        <v>3217</v>
      </c>
      <c r="D346">
        <v>76.44</v>
      </c>
      <c r="E346">
        <v>0.014575776056448</v>
      </c>
      <c r="F346">
        <v>0.142857142857143</v>
      </c>
      <c r="G346">
        <v>0.1184269147201447</v>
      </c>
      <c r="H346">
        <v>1.114172321754905</v>
      </c>
      <c r="I346">
        <v>38464.37868</v>
      </c>
      <c r="J346">
        <v>29.95668121495327</v>
      </c>
      <c r="K346">
        <v>0.440384316899172</v>
      </c>
      <c r="L346">
        <v>0.334267311501476</v>
      </c>
      <c r="M346">
        <v>89.41</v>
      </c>
      <c r="N346">
        <v>72.34999999999999</v>
      </c>
    </row>
    <row r="347" spans="1:14">
      <c r="A347" s="1" t="s">
        <v>359</v>
      </c>
      <c r="B347">
        <f>HYPERLINK("https://www.suredividend.com/sure-analysis-research-database/","Bed, Bath &amp; Beyond Inc.")</f>
        <v>0</v>
      </c>
      <c r="C347" t="s">
        <v>3223</v>
      </c>
      <c r="D347">
        <v>17.325</v>
      </c>
      <c r="E347">
        <v>0</v>
      </c>
      <c r="H347">
        <v>0</v>
      </c>
      <c r="I347">
        <v>1669.050878</v>
      </c>
      <c r="J347" t="s">
        <v>3219</v>
      </c>
      <c r="K347">
        <v>-0</v>
      </c>
      <c r="L347">
        <v>1.835792583308515</v>
      </c>
      <c r="M347">
        <v>44.51</v>
      </c>
      <c r="N347">
        <v>12.39</v>
      </c>
    </row>
    <row r="348" spans="1:14">
      <c r="A348" s="1" t="s">
        <v>360</v>
      </c>
      <c r="B348">
        <f>HYPERLINK("https://www.suredividend.com/sure-analysis-research-database/","Concrete Pumping Holdings Inc")</f>
        <v>0</v>
      </c>
      <c r="C348" t="s">
        <v>3220</v>
      </c>
      <c r="D348">
        <v>6.27</v>
      </c>
      <c r="E348">
        <v>0</v>
      </c>
      <c r="H348">
        <v>0</v>
      </c>
      <c r="I348">
        <v>355.763035</v>
      </c>
      <c r="J348">
        <v>0</v>
      </c>
      <c r="K348" t="s">
        <v>3219</v>
      </c>
      <c r="L348">
        <v>0.608553484956821</v>
      </c>
      <c r="M348">
        <v>9.699999999999999</v>
      </c>
      <c r="N348">
        <v>6.24</v>
      </c>
    </row>
    <row r="349" spans="1:14">
      <c r="A349" s="1" t="s">
        <v>361</v>
      </c>
      <c r="B349">
        <f>HYPERLINK("https://www.suredividend.com/sure-analysis-research-database/","Beasley Broadcast Group Inc")</f>
        <v>0</v>
      </c>
      <c r="C349" t="s">
        <v>3228</v>
      </c>
      <c r="D349">
        <v>1.68</v>
      </c>
      <c r="E349">
        <v>0</v>
      </c>
      <c r="H349">
        <v>0</v>
      </c>
      <c r="I349">
        <v>21.358038</v>
      </c>
      <c r="J349" t="s">
        <v>3219</v>
      </c>
      <c r="K349">
        <v>-0</v>
      </c>
      <c r="L349">
        <v>0.7534309945235981</v>
      </c>
      <c r="M349">
        <v>3.39</v>
      </c>
      <c r="N349">
        <v>1.65</v>
      </c>
    </row>
    <row r="350" spans="1:14">
      <c r="A350" s="1" t="s">
        <v>362</v>
      </c>
      <c r="B350">
        <f>HYPERLINK("https://www.suredividend.com/sure-analysis-research-database/","Barrett Business Services Inc.")</f>
        <v>0</v>
      </c>
      <c r="C350" t="s">
        <v>3220</v>
      </c>
      <c r="D350">
        <v>73.47</v>
      </c>
      <c r="E350">
        <v>0.016236496475492</v>
      </c>
      <c r="F350">
        <v>0</v>
      </c>
      <c r="G350">
        <v>0.03713728933664817</v>
      </c>
      <c r="H350">
        <v>1.192895396054449</v>
      </c>
      <c r="I350">
        <v>545.332765</v>
      </c>
      <c r="J350">
        <v>14.32108944063657</v>
      </c>
      <c r="K350">
        <v>0.2385790792108898</v>
      </c>
      <c r="L350">
        <v>0.664526283353679</v>
      </c>
      <c r="M350">
        <v>86.14</v>
      </c>
      <c r="N350">
        <v>57.53</v>
      </c>
    </row>
    <row r="351" spans="1:14">
      <c r="A351" s="1" t="s">
        <v>363</v>
      </c>
      <c r="B351">
        <f>HYPERLINK("https://www.suredividend.com/sure-analysis-research-database/","Build A Bear Workshop Inc")</f>
        <v>0</v>
      </c>
      <c r="C351" t="s">
        <v>3223</v>
      </c>
      <c r="D351">
        <v>17.94</v>
      </c>
      <c r="E351">
        <v>0</v>
      </c>
      <c r="H351">
        <v>0</v>
      </c>
      <c r="I351">
        <v>292.921611</v>
      </c>
      <c r="J351">
        <v>8.715829893477745</v>
      </c>
      <c r="K351">
        <v>0</v>
      </c>
      <c r="L351">
        <v>1.413566569830515</v>
      </c>
      <c r="M351">
        <v>23.5</v>
      </c>
      <c r="N351">
        <v>7.11</v>
      </c>
    </row>
    <row r="352" spans="1:14">
      <c r="A352" s="1" t="s">
        <v>364</v>
      </c>
      <c r="B352">
        <f>HYPERLINK("https://www.suredividend.com/sure-analysis-BBY/","Best Buy Co. Inc.")</f>
        <v>0</v>
      </c>
      <c r="C352" t="s">
        <v>3223</v>
      </c>
      <c r="D352">
        <v>93.84</v>
      </c>
      <c r="E352">
        <v>0.03751065643648763</v>
      </c>
      <c r="F352">
        <v>0.2571428571428571</v>
      </c>
      <c r="G352">
        <v>0.209485736335056</v>
      </c>
      <c r="H352">
        <v>2.947702047759798</v>
      </c>
      <c r="I352">
        <v>21135.372623</v>
      </c>
      <c r="J352">
        <v>8.612621280782397</v>
      </c>
      <c r="K352">
        <v>0.2995632162357518</v>
      </c>
      <c r="L352">
        <v>1.068992354709954</v>
      </c>
      <c r="M352">
        <v>139.76</v>
      </c>
      <c r="N352">
        <v>84.81999999999999</v>
      </c>
    </row>
    <row r="353" spans="1:14">
      <c r="A353" s="1" t="s">
        <v>365</v>
      </c>
      <c r="B353">
        <f>HYPERLINK("https://www.suredividend.com/sure-analysis-BC/","Brunswick Corp.")</f>
        <v>0</v>
      </c>
      <c r="C353" t="s">
        <v>3223</v>
      </c>
      <c r="D353">
        <v>75.70999999999999</v>
      </c>
      <c r="E353">
        <v>0.01928411042134461</v>
      </c>
      <c r="F353">
        <v>0.08955223880596996</v>
      </c>
      <c r="G353">
        <v>0.1720922221921837</v>
      </c>
      <c r="H353">
        <v>1.362650992739279</v>
      </c>
      <c r="I353">
        <v>5796.605172</v>
      </c>
      <c r="J353">
        <v>9.770108160627</v>
      </c>
      <c r="K353">
        <v>0.1800067361610672</v>
      </c>
      <c r="L353">
        <v>1.302585390798948</v>
      </c>
      <c r="M353">
        <v>116.01</v>
      </c>
      <c r="N353">
        <v>72.70999999999999</v>
      </c>
    </row>
    <row r="354" spans="1:14">
      <c r="A354" s="1" t="s">
        <v>366</v>
      </c>
      <c r="B354">
        <f>HYPERLINK("https://www.suredividend.com/sure-analysis-research-database/","BCB Bancorp Inc (NJ)")</f>
        <v>0</v>
      </c>
      <c r="C354" t="s">
        <v>3221</v>
      </c>
      <c r="D354">
        <v>17.63</v>
      </c>
      <c r="E354">
        <v>0.03466310760597401</v>
      </c>
      <c r="F354">
        <v>0.1428571428571428</v>
      </c>
      <c r="G354">
        <v>0.02706608708935176</v>
      </c>
      <c r="H354">
        <v>0.6111105870933381</v>
      </c>
      <c r="I354">
        <v>299.437405</v>
      </c>
      <c r="J354">
        <v>0</v>
      </c>
      <c r="K354" t="s">
        <v>3219</v>
      </c>
      <c r="L354">
        <v>0.521135281766411</v>
      </c>
      <c r="M354">
        <v>19.2</v>
      </c>
      <c r="N354">
        <v>12.5</v>
      </c>
    </row>
    <row r="355" spans="1:14">
      <c r="A355" s="1" t="s">
        <v>367</v>
      </c>
      <c r="B355">
        <f>HYPERLINK("https://www.suredividend.com/sure-analysis-research-database/","Boise Cascade Co")</f>
        <v>0</v>
      </c>
      <c r="C355" t="s">
        <v>3218</v>
      </c>
      <c r="D355">
        <v>71.19</v>
      </c>
      <c r="E355">
        <v>0.006119094972756</v>
      </c>
      <c r="F355">
        <v>-0.9399999999999999</v>
      </c>
      <c r="G355">
        <v>-0.3456106100587627</v>
      </c>
      <c r="H355">
        <v>0.435618371110532</v>
      </c>
      <c r="I355">
        <v>2808.263396</v>
      </c>
      <c r="J355">
        <v>3.94149975716014</v>
      </c>
      <c r="K355">
        <v>0.02424142298889995</v>
      </c>
      <c r="L355">
        <v>1.569527595967762</v>
      </c>
      <c r="M355">
        <v>84.94</v>
      </c>
      <c r="N355">
        <v>46.28</v>
      </c>
    </row>
    <row r="356" spans="1:14">
      <c r="A356" s="1" t="s">
        <v>368</v>
      </c>
      <c r="B356">
        <f>HYPERLINK("https://www.suredividend.com/sure-analysis-research-database/","Brainstorm Cell Therapeutics, Inc.")</f>
        <v>0</v>
      </c>
      <c r="C356" t="s">
        <v>3217</v>
      </c>
      <c r="D356">
        <v>3.15</v>
      </c>
      <c r="E356">
        <v>0</v>
      </c>
      <c r="H356">
        <v>0</v>
      </c>
      <c r="I356">
        <v>114.931467</v>
      </c>
      <c r="J356">
        <v>0</v>
      </c>
      <c r="K356" t="s">
        <v>3219</v>
      </c>
      <c r="L356">
        <v>0.652695263068636</v>
      </c>
      <c r="M356">
        <v>4.46</v>
      </c>
      <c r="N356">
        <v>2.75</v>
      </c>
    </row>
    <row r="357" spans="1:14">
      <c r="A357" s="1" t="s">
        <v>369</v>
      </c>
      <c r="B357">
        <f>HYPERLINK("https://www.suredividend.com/sure-analysis-research-database/","Brink`s Co.")</f>
        <v>0</v>
      </c>
      <c r="C357" t="s">
        <v>3220</v>
      </c>
      <c r="D357">
        <v>65.83</v>
      </c>
      <c r="E357">
        <v>0.012101144325447</v>
      </c>
      <c r="F357">
        <v>0.3333333333333335</v>
      </c>
      <c r="G357">
        <v>0.05922384104881218</v>
      </c>
      <c r="H357">
        <v>0.7966183309442371</v>
      </c>
      <c r="I357">
        <v>3131.156618</v>
      </c>
      <c r="J357">
        <v>29.76384618089354</v>
      </c>
      <c r="K357">
        <v>0.3793420623543986</v>
      </c>
      <c r="L357">
        <v>0.7805379301282031</v>
      </c>
      <c r="M357">
        <v>80.47</v>
      </c>
      <c r="N357">
        <v>58.15</v>
      </c>
    </row>
    <row r="358" spans="1:14">
      <c r="A358" s="1" t="s">
        <v>370</v>
      </c>
      <c r="B358">
        <f>HYPERLINK("https://www.suredividend.com/sure-analysis-research-database/","Blucora Inc")</f>
        <v>0</v>
      </c>
      <c r="C358" t="s">
        <v>3221</v>
      </c>
      <c r="D358">
        <v>20.06</v>
      </c>
      <c r="E358">
        <v>0</v>
      </c>
      <c r="H358">
        <v>0</v>
      </c>
      <c r="I358">
        <v>964.488431</v>
      </c>
      <c r="J358">
        <v>124.337814987753</v>
      </c>
      <c r="K358">
        <v>0</v>
      </c>
      <c r="L358">
        <v>1.102033688845601</v>
      </c>
      <c r="M358">
        <v>20.6</v>
      </c>
      <c r="N358">
        <v>14.21</v>
      </c>
    </row>
    <row r="359" spans="1:14">
      <c r="A359" s="1" t="s">
        <v>371</v>
      </c>
      <c r="B359">
        <f>HYPERLINK("https://www.suredividend.com/sure-analysis-research-database/","Brightcove Inc")</f>
        <v>0</v>
      </c>
      <c r="C359" t="s">
        <v>3222</v>
      </c>
      <c r="D359">
        <v>7.45</v>
      </c>
      <c r="E359">
        <v>0</v>
      </c>
      <c r="H359">
        <v>0</v>
      </c>
      <c r="I359">
        <v>309.386833</v>
      </c>
      <c r="J359">
        <v>57.32570563275895</v>
      </c>
      <c r="K359">
        <v>0</v>
      </c>
      <c r="L359">
        <v>1.077846822277898</v>
      </c>
      <c r="M359">
        <v>21.6</v>
      </c>
      <c r="N359">
        <v>6.69</v>
      </c>
    </row>
    <row r="360" spans="1:14">
      <c r="A360" s="1" t="s">
        <v>372</v>
      </c>
      <c r="B360">
        <f>HYPERLINK("https://www.suredividend.com/sure-analysis-research-database/","Balchem Corp.")</f>
        <v>0</v>
      </c>
      <c r="C360" t="s">
        <v>3218</v>
      </c>
      <c r="D360">
        <v>133.42</v>
      </c>
      <c r="E360">
        <v>0.004796881919463001</v>
      </c>
      <c r="H360">
        <v>0.639999985694885</v>
      </c>
      <c r="I360">
        <v>4294.43557</v>
      </c>
      <c r="J360">
        <v>44.6852947837759</v>
      </c>
      <c r="K360">
        <v>0.2176870699642466</v>
      </c>
      <c r="L360">
        <v>0.7300441444754071</v>
      </c>
      <c r="M360">
        <v>173.8</v>
      </c>
      <c r="N360">
        <v>119.12</v>
      </c>
    </row>
    <row r="361" spans="1:14">
      <c r="A361" s="1" t="s">
        <v>373</v>
      </c>
      <c r="B361">
        <f>HYPERLINK("https://www.suredividend.com/sure-analysis-research-database/","Biocryst Pharmaceuticals Inc.")</f>
        <v>0</v>
      </c>
      <c r="C361" t="s">
        <v>3217</v>
      </c>
      <c r="D361">
        <v>11.385</v>
      </c>
      <c r="E361">
        <v>0</v>
      </c>
      <c r="H361">
        <v>0</v>
      </c>
      <c r="I361">
        <v>2102.374582</v>
      </c>
      <c r="J361" t="s">
        <v>3219</v>
      </c>
      <c r="K361">
        <v>-0</v>
      </c>
      <c r="L361">
        <v>1.374124989308078</v>
      </c>
      <c r="M361">
        <v>19.99</v>
      </c>
      <c r="N361">
        <v>10.17</v>
      </c>
    </row>
    <row r="362" spans="1:14">
      <c r="A362" s="1" t="s">
        <v>374</v>
      </c>
      <c r="B362">
        <f>HYPERLINK("https://www.suredividend.com/sure-analysis-research-database/","Belden Inc")</f>
        <v>0</v>
      </c>
      <c r="C362" t="s">
        <v>3220</v>
      </c>
      <c r="D362">
        <v>49.06</v>
      </c>
      <c r="E362">
        <v>0.004071265807840001</v>
      </c>
      <c r="F362">
        <v>0</v>
      </c>
      <c r="G362">
        <v>0</v>
      </c>
      <c r="H362">
        <v>0.199736300532663</v>
      </c>
      <c r="I362">
        <v>2169.762687</v>
      </c>
      <c r="J362">
        <v>33.94231813781776</v>
      </c>
      <c r="K362">
        <v>0.1416569507323851</v>
      </c>
      <c r="L362">
        <v>1.375613726691936</v>
      </c>
      <c r="M362">
        <v>68.75</v>
      </c>
      <c r="N362">
        <v>41.23</v>
      </c>
    </row>
    <row r="363" spans="1:14">
      <c r="A363" s="1" t="s">
        <v>375</v>
      </c>
      <c r="B363">
        <f>HYPERLINK("https://www.suredividend.com/sure-analysis-research-database/","Bridge Bancorp, Inc.")</f>
        <v>0</v>
      </c>
      <c r="C363" t="s">
        <v>3221</v>
      </c>
      <c r="D363">
        <v>24.43</v>
      </c>
      <c r="E363">
        <v>0.029108780048538</v>
      </c>
      <c r="H363">
        <v>0.711127496585787</v>
      </c>
      <c r="I363">
        <v>482.72974</v>
      </c>
      <c r="J363">
        <v>10.42950717791941</v>
      </c>
      <c r="K363">
        <v>0.3000537960277582</v>
      </c>
      <c r="L363">
        <v>1.295065825778457</v>
      </c>
      <c r="M363">
        <v>30.55</v>
      </c>
      <c r="N363">
        <v>16.33</v>
      </c>
    </row>
    <row r="364" spans="1:14">
      <c r="A364" s="1" t="s">
        <v>376</v>
      </c>
      <c r="B364">
        <f>HYPERLINK("https://www.suredividend.com/sure-analysis-research-database/","Flanigan`s Enterprises, Inc.")</f>
        <v>0</v>
      </c>
      <c r="C364" t="s">
        <v>3223</v>
      </c>
      <c r="D364">
        <v>35.55</v>
      </c>
      <c r="E364">
        <v>0.028129395218002</v>
      </c>
      <c r="H364">
        <v>1</v>
      </c>
      <c r="I364">
        <v>66.074901</v>
      </c>
      <c r="J364">
        <v>0</v>
      </c>
      <c r="K364" t="s">
        <v>3219</v>
      </c>
      <c r="M364">
        <v>46.47</v>
      </c>
      <c r="N364">
        <v>20.93</v>
      </c>
    </row>
    <row r="365" spans="1:14">
      <c r="A365" s="1" t="s">
        <v>377</v>
      </c>
      <c r="B365">
        <f>HYPERLINK("https://www.suredividend.com/sure-analysis-BDN/","Brandywine Realty Trust")</f>
        <v>0</v>
      </c>
      <c r="C365" t="s">
        <v>3224</v>
      </c>
      <c r="D365">
        <v>12.73</v>
      </c>
      <c r="E365">
        <v>0.05970149253731343</v>
      </c>
      <c r="F365">
        <v>0</v>
      </c>
      <c r="G365">
        <v>0.03496752704080697</v>
      </c>
      <c r="H365">
        <v>0.7445941962900181</v>
      </c>
      <c r="I365">
        <v>2181.7172</v>
      </c>
      <c r="J365">
        <v>183.8319177418268</v>
      </c>
      <c r="K365">
        <v>10.80688238447051</v>
      </c>
      <c r="L365">
        <v>0.8947940468705951</v>
      </c>
      <c r="M365">
        <v>14.68</v>
      </c>
      <c r="N365">
        <v>12.06</v>
      </c>
    </row>
    <row r="366" spans="1:14">
      <c r="A366" s="1" t="s">
        <v>378</v>
      </c>
      <c r="B366">
        <f>HYPERLINK("https://www.suredividend.com/sure-analysis-research-database/","Biodelivery Sciences International")</f>
        <v>0</v>
      </c>
      <c r="C366" t="s">
        <v>3217</v>
      </c>
      <c r="D366">
        <v>5.59</v>
      </c>
      <c r="E366">
        <v>0</v>
      </c>
      <c r="H366">
        <v>0</v>
      </c>
      <c r="I366">
        <v>0</v>
      </c>
      <c r="J366">
        <v>0</v>
      </c>
      <c r="K366" t="s">
        <v>3219</v>
      </c>
    </row>
    <row r="367" spans="1:14">
      <c r="A367" s="1" t="s">
        <v>379</v>
      </c>
      <c r="B367">
        <f>HYPERLINK("https://www.suredividend.com/sure-analysis-BDX/","Becton, Dickinson And Co.")</f>
        <v>0</v>
      </c>
      <c r="C367" t="s">
        <v>3217</v>
      </c>
      <c r="D367">
        <v>271.68</v>
      </c>
      <c r="E367">
        <v>0.01280918727915194</v>
      </c>
      <c r="F367">
        <v>0.04819277108433728</v>
      </c>
      <c r="G367">
        <v>0.03571264482305292</v>
      </c>
      <c r="H367">
        <v>3.301803121390055</v>
      </c>
      <c r="I367">
        <v>77366.606199</v>
      </c>
      <c r="J367">
        <v>46.18901862648359</v>
      </c>
      <c r="K367">
        <v>0.5722362428752262</v>
      </c>
      <c r="L367">
        <v>0.122795185478413</v>
      </c>
      <c r="M367">
        <v>277.29</v>
      </c>
      <c r="N367">
        <v>227.91</v>
      </c>
    </row>
    <row r="368" spans="1:14">
      <c r="A368" s="1" t="s">
        <v>380</v>
      </c>
      <c r="B368">
        <f>HYPERLINK("https://www.suredividend.com/sure-analysis-research-database/","Bloom Energy Corp")</f>
        <v>0</v>
      </c>
      <c r="C368" t="s">
        <v>3220</v>
      </c>
      <c r="D368">
        <v>22.45</v>
      </c>
      <c r="E368">
        <v>0</v>
      </c>
      <c r="H368">
        <v>0</v>
      </c>
      <c r="I368">
        <v>3620.837811</v>
      </c>
      <c r="J368" t="s">
        <v>3219</v>
      </c>
      <c r="K368">
        <v>-0</v>
      </c>
      <c r="L368">
        <v>1.960423091654313</v>
      </c>
      <c r="M368">
        <v>37.01</v>
      </c>
      <c r="N368">
        <v>12.55</v>
      </c>
    </row>
    <row r="369" spans="1:14">
      <c r="A369" s="1" t="s">
        <v>381</v>
      </c>
      <c r="B369">
        <f>HYPERLINK("https://www.suredividend.com/sure-analysis-research-database/","HeartBeam Inc")</f>
        <v>0</v>
      </c>
      <c r="C369" t="s">
        <v>3217</v>
      </c>
      <c r="D369">
        <v>1.61</v>
      </c>
      <c r="E369">
        <v>0</v>
      </c>
      <c r="H369">
        <v>0</v>
      </c>
      <c r="I369">
        <v>12.81381</v>
      </c>
      <c r="J369">
        <v>0</v>
      </c>
      <c r="K369" t="s">
        <v>3219</v>
      </c>
      <c r="M369">
        <v>5.47</v>
      </c>
      <c r="N369">
        <v>1.44</v>
      </c>
    </row>
    <row r="370" spans="1:14">
      <c r="A370" s="1" t="s">
        <v>382</v>
      </c>
      <c r="B370">
        <f>HYPERLINK("https://www.suredividend.com/sure-analysis-research-database/","Beacon Roofing Supply Inc")</f>
        <v>0</v>
      </c>
      <c r="C370" t="s">
        <v>3220</v>
      </c>
      <c r="D370">
        <v>58.54</v>
      </c>
      <c r="E370">
        <v>0</v>
      </c>
      <c r="H370">
        <v>0</v>
      </c>
      <c r="I370">
        <v>4122.784287</v>
      </c>
      <c r="J370">
        <v>18.82549902557077</v>
      </c>
      <c r="K370">
        <v>0</v>
      </c>
      <c r="L370">
        <v>1.301169937821059</v>
      </c>
      <c r="M370">
        <v>63.64</v>
      </c>
      <c r="N370">
        <v>46.62</v>
      </c>
    </row>
    <row r="371" spans="1:14">
      <c r="A371" s="1" t="s">
        <v>383</v>
      </c>
      <c r="B371">
        <f>HYPERLINK("https://www.suredividend.com/sure-analysis-research-database/","Bel Fuse Inc.")</f>
        <v>0</v>
      </c>
      <c r="C371" t="s">
        <v>3222</v>
      </c>
      <c r="D371">
        <v>23.0753</v>
      </c>
      <c r="E371">
        <v>0.007776916170986001</v>
      </c>
      <c r="F371">
        <v>0</v>
      </c>
      <c r="G371">
        <v>0</v>
      </c>
      <c r="H371">
        <v>0.179454673720371</v>
      </c>
      <c r="I371">
        <v>216.50143</v>
      </c>
      <c r="J371">
        <v>0</v>
      </c>
      <c r="K371" t="s">
        <v>3219</v>
      </c>
      <c r="M371">
        <v>23.89</v>
      </c>
      <c r="N371">
        <v>12.24</v>
      </c>
    </row>
    <row r="372" spans="1:14">
      <c r="A372" s="1" t="s">
        <v>384</v>
      </c>
      <c r="B372">
        <f>HYPERLINK("https://www.suredividend.com/sure-analysis-research-database/","Bel Fuse Inc.")</f>
        <v>0</v>
      </c>
      <c r="C372" t="s">
        <v>3222</v>
      </c>
      <c r="D372">
        <v>16.1</v>
      </c>
      <c r="E372">
        <v>0.017266148739841</v>
      </c>
      <c r="F372">
        <v>0</v>
      </c>
      <c r="G372">
        <v>0</v>
      </c>
      <c r="H372">
        <v>0.277984994711451</v>
      </c>
      <c r="I372">
        <v>216.50143</v>
      </c>
      <c r="J372">
        <v>8.722510377245076</v>
      </c>
      <c r="K372">
        <v>0.1376163340155698</v>
      </c>
      <c r="L372">
        <v>1.017210532250515</v>
      </c>
      <c r="M372">
        <v>21.56</v>
      </c>
      <c r="N372">
        <v>10.42</v>
      </c>
    </row>
    <row r="373" spans="1:14">
      <c r="A373" s="1" t="s">
        <v>385</v>
      </c>
      <c r="B373">
        <f>HYPERLINK("https://www.suredividend.com/sure-analysis-BEN/","Franklin Resources, Inc.")</f>
        <v>0</v>
      </c>
      <c r="C373" t="s">
        <v>3221</v>
      </c>
      <c r="D373">
        <v>25.57</v>
      </c>
      <c r="E373">
        <v>0.04536566288619476</v>
      </c>
      <c r="F373">
        <v>0.03571428571428559</v>
      </c>
      <c r="G373">
        <v>0.07714358779274311</v>
      </c>
      <c r="H373">
        <v>1.124257943018087</v>
      </c>
      <c r="I373">
        <v>12839.32055</v>
      </c>
      <c r="J373">
        <v>6.91512928853342</v>
      </c>
      <c r="K373">
        <v>0.2966379796881496</v>
      </c>
      <c r="L373">
        <v>1.423096656893476</v>
      </c>
      <c r="M373">
        <v>37.56</v>
      </c>
      <c r="N373">
        <v>25.45</v>
      </c>
    </row>
    <row r="374" spans="1:14">
      <c r="A374" s="1" t="s">
        <v>386</v>
      </c>
      <c r="B374">
        <f>HYPERLINK("https://www.suredividend.com/sure-analysis-research-database/","Berry Global Group Inc")</f>
        <v>0</v>
      </c>
      <c r="C374" t="s">
        <v>3223</v>
      </c>
      <c r="D374">
        <v>56.99</v>
      </c>
      <c r="E374">
        <v>0</v>
      </c>
      <c r="H374">
        <v>0</v>
      </c>
      <c r="I374">
        <v>7710.747</v>
      </c>
      <c r="J374">
        <v>10.65020303867403</v>
      </c>
      <c r="K374">
        <v>0</v>
      </c>
      <c r="L374">
        <v>0.863391927100818</v>
      </c>
      <c r="M374">
        <v>74.73</v>
      </c>
      <c r="N374">
        <v>52.54</v>
      </c>
    </row>
    <row r="375" spans="1:14">
      <c r="A375" s="1" t="s">
        <v>387</v>
      </c>
      <c r="B375">
        <f>HYPERLINK("https://www.suredividend.com/sure-analysis-research-database/","Bright Horizons Family Solutions, Inc.")</f>
        <v>0</v>
      </c>
      <c r="C375" t="s">
        <v>3223</v>
      </c>
      <c r="D375">
        <v>132.4</v>
      </c>
      <c r="E375">
        <v>0</v>
      </c>
      <c r="H375">
        <v>0</v>
      </c>
      <c r="I375">
        <v>7848.844385</v>
      </c>
      <c r="J375">
        <v>111.8802118881318</v>
      </c>
      <c r="K375">
        <v>0</v>
      </c>
      <c r="L375">
        <v>0.595648207884507</v>
      </c>
      <c r="M375">
        <v>171.91</v>
      </c>
      <c r="N375">
        <v>113.41</v>
      </c>
    </row>
    <row r="376" spans="1:14">
      <c r="A376" s="1" t="s">
        <v>388</v>
      </c>
      <c r="B376">
        <f>HYPERLINK("https://www.suredividend.com/sure-analysis-research-database/","Bankfinancial Corp")</f>
        <v>0</v>
      </c>
      <c r="C376" t="s">
        <v>3221</v>
      </c>
      <c r="D376">
        <v>10.41</v>
      </c>
      <c r="E376">
        <v>0.03790482362433</v>
      </c>
      <c r="F376">
        <v>0</v>
      </c>
      <c r="G376">
        <v>0.07394092378577932</v>
      </c>
      <c r="H376">
        <v>0.394589213929281</v>
      </c>
      <c r="I376">
        <v>137.188029</v>
      </c>
      <c r="J376">
        <v>18.51390402834008</v>
      </c>
      <c r="K376">
        <v>0.7471865440811987</v>
      </c>
      <c r="L376">
        <v>0.390854024955861</v>
      </c>
      <c r="M376">
        <v>12.56</v>
      </c>
      <c r="N376">
        <v>9.710000000000001</v>
      </c>
    </row>
    <row r="377" spans="1:14">
      <c r="A377" s="1" t="s">
        <v>389</v>
      </c>
      <c r="B377">
        <f>HYPERLINK("https://www.suredividend.com/sure-analysis-BFS/","Saul Centers, Inc.")</f>
        <v>0</v>
      </c>
      <c r="C377" t="s">
        <v>3224</v>
      </c>
      <c r="D377">
        <v>54.23</v>
      </c>
      <c r="E377">
        <v>0.04204314954822054</v>
      </c>
      <c r="F377">
        <v>0.07547169811320753</v>
      </c>
      <c r="G377">
        <v>0.02249439475955151</v>
      </c>
      <c r="H377">
        <v>2.204341642271664</v>
      </c>
      <c r="I377">
        <v>1289.983164</v>
      </c>
      <c r="J377">
        <v>34.68162828417798</v>
      </c>
      <c r="K377">
        <v>1.404039262593417</v>
      </c>
      <c r="L377">
        <v>0.885156393054204</v>
      </c>
      <c r="M377">
        <v>55.14</v>
      </c>
      <c r="N377">
        <v>38</v>
      </c>
    </row>
    <row r="378" spans="1:14">
      <c r="A378" s="1" t="s">
        <v>390</v>
      </c>
      <c r="B378">
        <f>HYPERLINK("https://www.suredividend.com/sure-analysis-research-database/","Business First Bancshares Inc.")</f>
        <v>0</v>
      </c>
      <c r="C378" t="s">
        <v>3221</v>
      </c>
      <c r="D378">
        <v>22.94</v>
      </c>
      <c r="E378">
        <v>0.020784795919012</v>
      </c>
      <c r="H378">
        <v>0.476803218382144</v>
      </c>
      <c r="I378">
        <v>467.984006</v>
      </c>
      <c r="J378">
        <v>0</v>
      </c>
      <c r="K378" t="s">
        <v>3219</v>
      </c>
      <c r="L378">
        <v>0.7051305719126191</v>
      </c>
      <c r="M378">
        <v>29.37</v>
      </c>
      <c r="N378">
        <v>21.18</v>
      </c>
    </row>
    <row r="379" spans="1:14">
      <c r="A379" s="1" t="s">
        <v>391</v>
      </c>
      <c r="B379">
        <f>HYPERLINK("https://www.suredividend.com/sure-analysis-research-database/","Bunge Ltd.")</f>
        <v>0</v>
      </c>
      <c r="C379" t="s">
        <v>3225</v>
      </c>
      <c r="D379">
        <v>123.96</v>
      </c>
      <c r="E379">
        <v>0.016602472715485</v>
      </c>
      <c r="F379">
        <v>0.05000000000000004</v>
      </c>
      <c r="G379">
        <v>0.0267868412386294</v>
      </c>
      <c r="H379">
        <v>2.058042517811601</v>
      </c>
      <c r="I379">
        <v>17585.264592</v>
      </c>
      <c r="J379">
        <v>8.60335841072407</v>
      </c>
      <c r="K379">
        <v>0.1533563724151715</v>
      </c>
      <c r="L379">
        <v>0.5225192383065891</v>
      </c>
      <c r="M379">
        <v>124.37</v>
      </c>
      <c r="N379">
        <v>70.48999999999999</v>
      </c>
    </row>
    <row r="380" spans="1:14">
      <c r="A380" s="1" t="s">
        <v>392</v>
      </c>
      <c r="B380">
        <f>HYPERLINK("https://www.suredividend.com/sure-analysis-research-database/","BGC Partners Inc")</f>
        <v>0</v>
      </c>
      <c r="C380" t="s">
        <v>3221</v>
      </c>
      <c r="D380">
        <v>3.89</v>
      </c>
      <c r="E380">
        <v>0.010249399196405</v>
      </c>
      <c r="F380">
        <v>0</v>
      </c>
      <c r="G380">
        <v>-0.4390224272769002</v>
      </c>
      <c r="H380">
        <v>0.03987016287401601</v>
      </c>
      <c r="I380">
        <v>1249.052684</v>
      </c>
      <c r="J380">
        <v>10.07243691202916</v>
      </c>
      <c r="K380">
        <v>0.1736505351655749</v>
      </c>
      <c r="L380">
        <v>1.14158071985182</v>
      </c>
      <c r="M380">
        <v>6.47</v>
      </c>
      <c r="N380">
        <v>3.81</v>
      </c>
    </row>
    <row r="381" spans="1:14">
      <c r="A381" s="1" t="s">
        <v>393</v>
      </c>
      <c r="B381">
        <f>HYPERLINK("https://www.suredividend.com/sure-analysis-research-database/","Big 5 Sporting Goods Corp")</f>
        <v>0</v>
      </c>
      <c r="C381" t="s">
        <v>3223</v>
      </c>
      <c r="D381">
        <v>16.42</v>
      </c>
      <c r="E381">
        <v>0.05493185681976601</v>
      </c>
      <c r="F381">
        <v>0</v>
      </c>
      <c r="G381">
        <v>0.1075663432482901</v>
      </c>
      <c r="H381">
        <v>0.9019810889805621</v>
      </c>
      <c r="I381">
        <v>364.849756</v>
      </c>
      <c r="J381">
        <v>3.563473095735745</v>
      </c>
      <c r="K381">
        <v>0.1982376019737499</v>
      </c>
      <c r="L381">
        <v>1.739381291505874</v>
      </c>
      <c r="M381">
        <v>45.13</v>
      </c>
      <c r="N381">
        <v>13.55</v>
      </c>
    </row>
    <row r="382" spans="1:14">
      <c r="A382" s="1" t="s">
        <v>394</v>
      </c>
      <c r="B382">
        <f>HYPERLINK("https://www.suredividend.com/sure-analysis-BGS/","B&amp;G Foods, Inc")</f>
        <v>0</v>
      </c>
      <c r="C382" t="s">
        <v>3225</v>
      </c>
      <c r="D382">
        <v>27.61</v>
      </c>
      <c r="E382">
        <v>0.06881564650488953</v>
      </c>
      <c r="F382">
        <v>0</v>
      </c>
      <c r="G382">
        <v>0.004264547100649496</v>
      </c>
      <c r="H382">
        <v>1.854285883566208</v>
      </c>
      <c r="I382">
        <v>1900.841815</v>
      </c>
      <c r="J382">
        <v>28.21789134925701</v>
      </c>
      <c r="K382">
        <v>1.817927336829616</v>
      </c>
      <c r="L382">
        <v>0.215282876634341</v>
      </c>
      <c r="M382">
        <v>34.3</v>
      </c>
      <c r="N382">
        <v>24.66</v>
      </c>
    </row>
    <row r="383" spans="1:14">
      <c r="A383" s="1" t="s">
        <v>395</v>
      </c>
      <c r="B383">
        <f>HYPERLINK("https://www.suredividend.com/sure-analysis-research-database/","BGSF Inc")</f>
        <v>0</v>
      </c>
      <c r="C383" t="s">
        <v>3220</v>
      </c>
      <c r="D383">
        <v>11.95</v>
      </c>
      <c r="E383">
        <v>0.040498310938641</v>
      </c>
      <c r="F383">
        <v>0.4999999999999998</v>
      </c>
      <c r="G383">
        <v>-0.09711954855256577</v>
      </c>
      <c r="H383">
        <v>0.48395481571676</v>
      </c>
      <c r="I383">
        <v>124.58126</v>
      </c>
      <c r="J383">
        <v>0</v>
      </c>
      <c r="K383" t="s">
        <v>3219</v>
      </c>
      <c r="L383">
        <v>0.383396827168518</v>
      </c>
      <c r="M383">
        <v>15.49</v>
      </c>
      <c r="N383">
        <v>11.15</v>
      </c>
    </row>
    <row r="384" spans="1:14">
      <c r="A384" s="1" t="s">
        <v>396</v>
      </c>
      <c r="B384">
        <f>HYPERLINK("https://www.suredividend.com/sure-analysis-research-database/","Biglari Holdings Inc.")</f>
        <v>0</v>
      </c>
      <c r="C384" t="s">
        <v>3223</v>
      </c>
      <c r="D384">
        <v>138.32</v>
      </c>
      <c r="E384">
        <v>0</v>
      </c>
      <c r="H384">
        <v>0</v>
      </c>
      <c r="I384">
        <v>430.939085</v>
      </c>
      <c r="J384">
        <v>12.14665665482834</v>
      </c>
      <c r="K384">
        <v>0</v>
      </c>
      <c r="L384">
        <v>0.655696417316603</v>
      </c>
      <c r="M384">
        <v>188.5</v>
      </c>
      <c r="N384">
        <v>110.56</v>
      </c>
    </row>
    <row r="385" spans="1:14">
      <c r="A385" s="1" t="s">
        <v>397</v>
      </c>
      <c r="B385">
        <f>HYPERLINK("https://www.suredividend.com/sure-analysis-research-database/","Bar Harbor Bankshares Inc")</f>
        <v>0</v>
      </c>
      <c r="C385" t="s">
        <v>3221</v>
      </c>
      <c r="D385">
        <v>27.91</v>
      </c>
      <c r="E385">
        <v>0.033990868281136</v>
      </c>
      <c r="F385">
        <v>0.09090909090909083</v>
      </c>
      <c r="G385">
        <v>0.05150994555278943</v>
      </c>
      <c r="H385">
        <v>0.9486851337265111</v>
      </c>
      <c r="I385">
        <v>419.001833</v>
      </c>
      <c r="J385">
        <v>0</v>
      </c>
      <c r="K385" t="s">
        <v>3219</v>
      </c>
      <c r="L385">
        <v>0.7628808851026581</v>
      </c>
      <c r="M385">
        <v>32.43</v>
      </c>
      <c r="N385">
        <v>24.56</v>
      </c>
    </row>
    <row r="386" spans="1:14">
      <c r="A386" s="1" t="s">
        <v>398</v>
      </c>
      <c r="B386">
        <f>HYPERLINK("https://www.suredividend.com/sure-analysis-research-database/","Benchmark Electronics Inc.")</f>
        <v>0</v>
      </c>
      <c r="C386" t="s">
        <v>3222</v>
      </c>
      <c r="D386">
        <v>23.38</v>
      </c>
      <c r="E386">
        <v>0.027967280210822</v>
      </c>
      <c r="H386">
        <v>0.653875011329022</v>
      </c>
      <c r="I386">
        <v>822.936651</v>
      </c>
      <c r="J386">
        <v>23.00633635616438</v>
      </c>
      <c r="K386">
        <v>0.6599465193066432</v>
      </c>
      <c r="L386">
        <v>0.8462699747493021</v>
      </c>
      <c r="M386">
        <v>31.55</v>
      </c>
      <c r="N386">
        <v>21.97</v>
      </c>
    </row>
    <row r="387" spans="1:14">
      <c r="A387" s="1" t="s">
        <v>399</v>
      </c>
      <c r="B387">
        <f>HYPERLINK("https://www.suredividend.com/sure-analysis-research-database/","Brighthouse Financial Inc")</f>
        <v>0</v>
      </c>
      <c r="C387" t="s">
        <v>3221</v>
      </c>
      <c r="D387">
        <v>53.43</v>
      </c>
      <c r="E387">
        <v>0</v>
      </c>
      <c r="H387">
        <v>0</v>
      </c>
      <c r="I387">
        <v>4094.364195</v>
      </c>
      <c r="J387" t="s">
        <v>3219</v>
      </c>
      <c r="K387">
        <v>-0</v>
      </c>
      <c r="L387">
        <v>1.437173370121137</v>
      </c>
      <c r="M387">
        <v>62.33</v>
      </c>
      <c r="N387">
        <v>40.03</v>
      </c>
    </row>
    <row r="388" spans="1:14">
      <c r="A388" s="1" t="s">
        <v>400</v>
      </c>
      <c r="B388">
        <f>HYPERLINK("https://www.suredividend.com/sure-analysis-research-database/","Berkshire Hills Bancorp Inc.")</f>
        <v>0</v>
      </c>
      <c r="C388" t="s">
        <v>3221</v>
      </c>
      <c r="D388">
        <v>27.95</v>
      </c>
      <c r="E388">
        <v>0.017068090001844</v>
      </c>
      <c r="F388">
        <v>0</v>
      </c>
      <c r="G388">
        <v>-0.1058870393420188</v>
      </c>
      <c r="H388">
        <v>0.4770531155515521</v>
      </c>
      <c r="I388">
        <v>1337.679565</v>
      </c>
      <c r="J388">
        <v>11.27283392857143</v>
      </c>
      <c r="K388">
        <v>0.1996038140383063</v>
      </c>
      <c r="L388">
        <v>0.884377929202767</v>
      </c>
      <c r="M388">
        <v>31.66</v>
      </c>
      <c r="N388">
        <v>20.65</v>
      </c>
    </row>
    <row r="389" spans="1:14">
      <c r="A389" s="1" t="s">
        <v>401</v>
      </c>
      <c r="B389">
        <f>HYPERLINK("https://www.suredividend.com/sure-analysis-research-database/","Braemar Hotels &amp; Resorts Inc")</f>
        <v>0</v>
      </c>
      <c r="C389" t="s">
        <v>3224</v>
      </c>
      <c r="D389">
        <v>5.98</v>
      </c>
      <c r="E389">
        <v>0.001672240765298</v>
      </c>
      <c r="H389">
        <v>0.009999999776482001</v>
      </c>
      <c r="I389">
        <v>390.786111</v>
      </c>
      <c r="J389" t="s">
        <v>3219</v>
      </c>
      <c r="K389" t="s">
        <v>3219</v>
      </c>
      <c r="L389">
        <v>1.143552360108082</v>
      </c>
      <c r="M389">
        <v>7.24</v>
      </c>
      <c r="N389">
        <v>4.18</v>
      </c>
    </row>
    <row r="390" spans="1:14">
      <c r="A390" s="1" t="s">
        <v>402</v>
      </c>
      <c r="B390">
        <f>HYPERLINK("https://www.suredividend.com/sure-analysis-research-database/","Biohaven Pharmaceutical Holding Company Ltd")</f>
        <v>0</v>
      </c>
      <c r="C390" t="s">
        <v>3217</v>
      </c>
      <c r="D390">
        <v>110.88</v>
      </c>
      <c r="E390">
        <v>0</v>
      </c>
      <c r="H390">
        <v>0</v>
      </c>
      <c r="I390">
        <v>7820.024446</v>
      </c>
      <c r="J390" t="s">
        <v>3219</v>
      </c>
      <c r="K390">
        <v>-0</v>
      </c>
      <c r="L390">
        <v>0.9833416763003421</v>
      </c>
      <c r="M390">
        <v>151.51</v>
      </c>
      <c r="N390">
        <v>65.23999999999999</v>
      </c>
    </row>
    <row r="391" spans="1:14">
      <c r="A391" s="1" t="s">
        <v>403</v>
      </c>
      <c r="B391">
        <f>HYPERLINK("https://www.suredividend.com/sure-analysis-research-database/","Big Lots Inc")</f>
        <v>0</v>
      </c>
      <c r="C391" t="s">
        <v>3225</v>
      </c>
      <c r="D391">
        <v>36.95</v>
      </c>
      <c r="E391">
        <v>0.0321182164989</v>
      </c>
      <c r="F391">
        <v>0</v>
      </c>
      <c r="G391">
        <v>0.03713728933664817</v>
      </c>
      <c r="H391">
        <v>1.186768099634356</v>
      </c>
      <c r="I391">
        <v>1055.200807</v>
      </c>
      <c r="J391">
        <v>5.935497122253598</v>
      </c>
      <c r="K391">
        <v>0.2226581800439692</v>
      </c>
      <c r="L391">
        <v>1.3539522245044</v>
      </c>
      <c r="M391">
        <v>71.37</v>
      </c>
      <c r="N391">
        <v>31.18</v>
      </c>
    </row>
    <row r="392" spans="1:14">
      <c r="A392" s="1" t="s">
        <v>404</v>
      </c>
      <c r="B392">
        <f>HYPERLINK("https://www.suredividend.com/sure-analysis-research-database/","Biogen Inc")</f>
        <v>0</v>
      </c>
      <c r="C392" t="s">
        <v>3217</v>
      </c>
      <c r="D392">
        <v>212.55</v>
      </c>
      <c r="E392">
        <v>0</v>
      </c>
      <c r="H392">
        <v>0</v>
      </c>
      <c r="I392">
        <v>31236.941652</v>
      </c>
      <c r="J392">
        <v>20.07386520927319</v>
      </c>
      <c r="K392">
        <v>0</v>
      </c>
      <c r="L392">
        <v>0.554976626966579</v>
      </c>
      <c r="M392">
        <v>468.55</v>
      </c>
      <c r="N392">
        <v>192.67</v>
      </c>
    </row>
    <row r="393" spans="1:14">
      <c r="A393" s="1" t="s">
        <v>405</v>
      </c>
      <c r="B393">
        <f>HYPERLINK("https://www.suredividend.com/sure-analysis-research-database/","Bio-Rad Laboratories Inc.")</f>
        <v>0</v>
      </c>
      <c r="C393" t="s">
        <v>3217</v>
      </c>
      <c r="D393">
        <v>548.1900000000001</v>
      </c>
      <c r="E393">
        <v>0</v>
      </c>
      <c r="H393">
        <v>0</v>
      </c>
      <c r="I393">
        <v>16617.472708</v>
      </c>
      <c r="J393">
        <v>3.913767370954393</v>
      </c>
      <c r="K393">
        <v>0</v>
      </c>
      <c r="L393">
        <v>0.918463367740438</v>
      </c>
      <c r="M393">
        <v>832.7</v>
      </c>
      <c r="N393">
        <v>524.1900000000001</v>
      </c>
    </row>
    <row r="394" spans="1:14">
      <c r="A394" s="1" t="s">
        <v>406</v>
      </c>
      <c r="B394">
        <f>HYPERLINK("https://www.suredividend.com/sure-analysis-research-database/","Biocept Inc")</f>
        <v>0</v>
      </c>
      <c r="C394" t="s">
        <v>3217</v>
      </c>
      <c r="D394">
        <v>1.83</v>
      </c>
      <c r="E394">
        <v>0</v>
      </c>
      <c r="H394">
        <v>0</v>
      </c>
      <c r="I394">
        <v>30.835795</v>
      </c>
      <c r="J394">
        <v>0</v>
      </c>
      <c r="K394" t="s">
        <v>3219</v>
      </c>
      <c r="L394">
        <v>0.9970287377650781</v>
      </c>
      <c r="M394">
        <v>5.19</v>
      </c>
      <c r="N394">
        <v>1.78</v>
      </c>
    </row>
    <row r="395" spans="1:14">
      <c r="A395" s="1" t="s">
        <v>407</v>
      </c>
      <c r="B395">
        <f>HYPERLINK("https://www.suredividend.com/sure-analysis-research-database/","Biolase Inc")</f>
        <v>0</v>
      </c>
      <c r="C395" t="s">
        <v>3217</v>
      </c>
      <c r="D395">
        <v>0.3067</v>
      </c>
      <c r="E395">
        <v>0</v>
      </c>
      <c r="H395">
        <v>0</v>
      </c>
      <c r="I395">
        <v>47.337827</v>
      </c>
      <c r="J395" t="s">
        <v>3219</v>
      </c>
      <c r="K395">
        <v>-0</v>
      </c>
      <c r="L395">
        <v>1.378323488847851</v>
      </c>
      <c r="M395">
        <v>0.9394</v>
      </c>
      <c r="N395">
        <v>0.301</v>
      </c>
    </row>
    <row r="396" spans="1:14">
      <c r="A396" s="1" t="s">
        <v>408</v>
      </c>
      <c r="B396">
        <f>HYPERLINK("https://www.suredividend.com/sure-analysis-research-database/","BioPlus Acquisition Corp")</f>
        <v>0</v>
      </c>
      <c r="C396" t="s">
        <v>3219</v>
      </c>
      <c r="D396">
        <v>9.92</v>
      </c>
      <c r="E396">
        <v>0</v>
      </c>
      <c r="H396">
        <v>0</v>
      </c>
      <c r="I396">
        <v>233.7152</v>
      </c>
      <c r="J396">
        <v>0</v>
      </c>
      <c r="K396" t="s">
        <v>3219</v>
      </c>
      <c r="M396">
        <v>9.99</v>
      </c>
      <c r="N396">
        <v>9.779999999999999</v>
      </c>
    </row>
    <row r="397" spans="1:14">
      <c r="A397" s="1" t="s">
        <v>409</v>
      </c>
      <c r="B397">
        <f>HYPERLINK("https://www.suredividend.com/sure-analysis-research-database/","BJ`s Wholesale Club Holdings Inc")</f>
        <v>0</v>
      </c>
      <c r="C397" t="s">
        <v>3225</v>
      </c>
      <c r="D397">
        <v>67.37</v>
      </c>
      <c r="E397">
        <v>0</v>
      </c>
      <c r="H397">
        <v>0</v>
      </c>
      <c r="I397">
        <v>9114.453884</v>
      </c>
      <c r="J397">
        <v>21.36273563578748</v>
      </c>
      <c r="K397">
        <v>0</v>
      </c>
      <c r="L397">
        <v>0.712431114742289</v>
      </c>
      <c r="M397">
        <v>74.09</v>
      </c>
      <c r="N397">
        <v>42.62</v>
      </c>
    </row>
    <row r="398" spans="1:14">
      <c r="A398" s="1" t="s">
        <v>410</v>
      </c>
      <c r="B398">
        <f>HYPERLINK("https://www.suredividend.com/sure-analysis-research-database/","BJ`s Restaurant Inc.")</f>
        <v>0</v>
      </c>
      <c r="C398" t="s">
        <v>3223</v>
      </c>
      <c r="D398">
        <v>27.55</v>
      </c>
      <c r="E398">
        <v>0</v>
      </c>
      <c r="H398">
        <v>0</v>
      </c>
      <c r="I398">
        <v>645.00498</v>
      </c>
      <c r="J398" t="s">
        <v>3219</v>
      </c>
      <c r="K398">
        <v>-0</v>
      </c>
      <c r="L398">
        <v>1.355897015533794</v>
      </c>
      <c r="M398">
        <v>63</v>
      </c>
      <c r="N398">
        <v>24.02</v>
      </c>
    </row>
    <row r="399" spans="1:14">
      <c r="A399" s="1" t="s">
        <v>411</v>
      </c>
      <c r="B399">
        <f>HYPERLINK("https://www.suredividend.com/sure-analysis-BK/","Bank Of New York Mellon Corp")</f>
        <v>0</v>
      </c>
      <c r="C399" t="s">
        <v>3221</v>
      </c>
      <c r="D399">
        <v>47.29</v>
      </c>
      <c r="E399">
        <v>0.0287587227743709</v>
      </c>
      <c r="F399">
        <v>0.09677419354838723</v>
      </c>
      <c r="G399">
        <v>0.1234275325950922</v>
      </c>
      <c r="H399">
        <v>1.318452084427378</v>
      </c>
      <c r="I399">
        <v>38168.053806</v>
      </c>
      <c r="J399">
        <v>10.75156445235493</v>
      </c>
      <c r="K399">
        <v>0.3176992974523802</v>
      </c>
      <c r="L399">
        <v>1.04139042459747</v>
      </c>
      <c r="M399">
        <v>64.63</v>
      </c>
      <c r="N399">
        <v>45</v>
      </c>
    </row>
    <row r="400" spans="1:14">
      <c r="A400" s="1" t="s">
        <v>412</v>
      </c>
      <c r="B400">
        <f>HYPERLINK("https://www.suredividend.com/sure-analysis-research-database/","Brookdale Senior Living Inc")</f>
        <v>0</v>
      </c>
      <c r="C400" t="s">
        <v>3217</v>
      </c>
      <c r="D400">
        <v>7.48</v>
      </c>
      <c r="E400">
        <v>0</v>
      </c>
      <c r="H400">
        <v>0</v>
      </c>
      <c r="I400">
        <v>1386.074114</v>
      </c>
      <c r="J400" t="s">
        <v>3219</v>
      </c>
      <c r="K400">
        <v>-0</v>
      </c>
      <c r="L400">
        <v>1.072732229840257</v>
      </c>
      <c r="M400">
        <v>8.949999999999999</v>
      </c>
      <c r="N400">
        <v>4.64</v>
      </c>
    </row>
    <row r="401" spans="1:14">
      <c r="A401" s="1" t="s">
        <v>413</v>
      </c>
      <c r="B401">
        <f>HYPERLINK("https://www.suredividend.com/sure-analysis-research-database/","Buckle, Inc.")</f>
        <v>0</v>
      </c>
      <c r="C401" t="s">
        <v>3223</v>
      </c>
      <c r="D401">
        <v>32.5</v>
      </c>
      <c r="E401">
        <v>0.041275282469616</v>
      </c>
      <c r="F401">
        <v>0.06060606060606055</v>
      </c>
      <c r="G401">
        <v>-0.2752203363223045</v>
      </c>
      <c r="H401">
        <v>1.341446680262544</v>
      </c>
      <c r="I401">
        <v>1628.082658</v>
      </c>
      <c r="J401">
        <v>6.389147859273213</v>
      </c>
      <c r="K401">
        <v>0.2599702868725861</v>
      </c>
      <c r="L401">
        <v>1.587009890854725</v>
      </c>
      <c r="M401">
        <v>56.06</v>
      </c>
      <c r="N401">
        <v>30.56</v>
      </c>
    </row>
    <row r="402" spans="1:14">
      <c r="A402" s="1" t="s">
        <v>414</v>
      </c>
      <c r="B402">
        <f>HYPERLINK("https://www.suredividend.com/sure-analysis-BKH/","Black Hills Corporation")</f>
        <v>0</v>
      </c>
      <c r="C402" t="s">
        <v>3227</v>
      </c>
      <c r="D402">
        <v>78.65000000000001</v>
      </c>
      <c r="E402">
        <v>0.03026064844246662</v>
      </c>
      <c r="F402">
        <v>0.05309734513274322</v>
      </c>
      <c r="G402">
        <v>0.05981824312960904</v>
      </c>
      <c r="H402">
        <v>2.290218944187472</v>
      </c>
      <c r="I402">
        <v>5098.992205</v>
      </c>
      <c r="J402">
        <v>21.53799971889467</v>
      </c>
      <c r="K402">
        <v>0.6123580064672385</v>
      </c>
      <c r="L402">
        <v>0.3846281414954401</v>
      </c>
      <c r="M402">
        <v>79.34999999999999</v>
      </c>
      <c r="N402">
        <v>60.85</v>
      </c>
    </row>
    <row r="403" spans="1:14">
      <c r="A403" s="1" t="s">
        <v>415</v>
      </c>
      <c r="B403">
        <f>HYPERLINK("https://www.suredividend.com/sure-analysis-research-database/","Black Knight Inc")</f>
        <v>0</v>
      </c>
      <c r="C403" t="s">
        <v>3222</v>
      </c>
      <c r="D403">
        <v>67.70999999999999</v>
      </c>
      <c r="E403">
        <v>0</v>
      </c>
      <c r="H403">
        <v>0</v>
      </c>
      <c r="I403">
        <v>10514.197711</v>
      </c>
      <c r="J403">
        <v>50.57334156277057</v>
      </c>
      <c r="K403">
        <v>0</v>
      </c>
      <c r="L403">
        <v>0.678825458336311</v>
      </c>
      <c r="M403">
        <v>84.27</v>
      </c>
      <c r="N403">
        <v>52</v>
      </c>
    </row>
    <row r="404" spans="1:14">
      <c r="A404" s="1" t="s">
        <v>416</v>
      </c>
      <c r="B404">
        <f>HYPERLINK("https://www.suredividend.com/sure-analysis-research-database/","Booking Holdings Inc")</f>
        <v>0</v>
      </c>
      <c r="C404" t="s">
        <v>3223</v>
      </c>
      <c r="D404">
        <v>2227.29</v>
      </c>
      <c r="E404">
        <v>0</v>
      </c>
      <c r="H404">
        <v>0</v>
      </c>
      <c r="I404">
        <v>91460.289506</v>
      </c>
      <c r="J404">
        <v>78.5066862709442</v>
      </c>
      <c r="K404">
        <v>0</v>
      </c>
      <c r="L404">
        <v>1.346290241762011</v>
      </c>
      <c r="M404">
        <v>2715.66</v>
      </c>
      <c r="N404">
        <v>1796.45</v>
      </c>
    </row>
    <row r="405" spans="1:14">
      <c r="A405" s="1" t="s">
        <v>417</v>
      </c>
      <c r="B405">
        <f>HYPERLINK("https://www.suredividend.com/sure-analysis-research-database/","Bank Of South Carolina Corp.")</f>
        <v>0</v>
      </c>
      <c r="C405" t="s">
        <v>3221</v>
      </c>
      <c r="D405">
        <v>17.9</v>
      </c>
      <c r="E405">
        <v>0.03750033790351801</v>
      </c>
      <c r="H405">
        <v>0.671256048472972</v>
      </c>
      <c r="I405">
        <v>99.23717000000001</v>
      </c>
      <c r="J405">
        <v>0</v>
      </c>
      <c r="K405" t="s">
        <v>3219</v>
      </c>
      <c r="M405">
        <v>22.56</v>
      </c>
      <c r="N405">
        <v>17</v>
      </c>
    </row>
    <row r="406" spans="1:14">
      <c r="A406" s="1" t="s">
        <v>418</v>
      </c>
      <c r="B406">
        <f>HYPERLINK("https://www.suredividend.com/sure-analysis-research-database/","BK Technologies Corp")</f>
        <v>0</v>
      </c>
      <c r="C406" t="s">
        <v>3222</v>
      </c>
      <c r="D406">
        <v>2.2299</v>
      </c>
      <c r="E406">
        <v>0.031139760496506</v>
      </c>
      <c r="H406">
        <v>0.06943855193115901</v>
      </c>
      <c r="I406">
        <v>37.570691</v>
      </c>
      <c r="J406">
        <v>0</v>
      </c>
      <c r="K406" t="s">
        <v>3219</v>
      </c>
      <c r="L406">
        <v>0.8895282025430451</v>
      </c>
      <c r="M406">
        <v>5.08</v>
      </c>
      <c r="N406">
        <v>1.57</v>
      </c>
    </row>
    <row r="407" spans="1:14">
      <c r="A407" s="1" t="s">
        <v>419</v>
      </c>
      <c r="B407">
        <f>HYPERLINK("https://www.suredividend.com/sure-analysis-research-database/","BankUnited Inc")</f>
        <v>0</v>
      </c>
      <c r="C407" t="s">
        <v>3221</v>
      </c>
      <c r="D407">
        <v>42.2</v>
      </c>
      <c r="E407">
        <v>0.022095571053176</v>
      </c>
      <c r="F407">
        <v>0.08695652173913038</v>
      </c>
      <c r="G407">
        <v>0.03548578845590522</v>
      </c>
      <c r="H407">
        <v>0.9324330984440481</v>
      </c>
      <c r="I407">
        <v>3573.284873</v>
      </c>
      <c r="J407">
        <v>8.736787361641886</v>
      </c>
      <c r="K407">
        <v>0.2062905085053204</v>
      </c>
      <c r="L407">
        <v>1.111130231455108</v>
      </c>
      <c r="M407">
        <v>48.47</v>
      </c>
      <c r="N407">
        <v>36.47</v>
      </c>
    </row>
    <row r="408" spans="1:14">
      <c r="A408" s="1" t="s">
        <v>420</v>
      </c>
      <c r="B408">
        <f>HYPERLINK("https://www.suredividend.com/sure-analysis-research-database/","BlackLine Inc")</f>
        <v>0</v>
      </c>
      <c r="C408" t="s">
        <v>3222</v>
      </c>
      <c r="D408">
        <v>69.59</v>
      </c>
      <c r="E408">
        <v>0</v>
      </c>
      <c r="H408">
        <v>0</v>
      </c>
      <c r="I408">
        <v>4122.324125</v>
      </c>
      <c r="J408" t="s">
        <v>3219</v>
      </c>
      <c r="K408">
        <v>-0</v>
      </c>
      <c r="L408">
        <v>1.420442326412646</v>
      </c>
      <c r="M408">
        <v>135</v>
      </c>
      <c r="N408">
        <v>65.15000000000001</v>
      </c>
    </row>
    <row r="409" spans="1:14">
      <c r="A409" s="1" t="s">
        <v>421</v>
      </c>
      <c r="B409">
        <f>HYPERLINK("https://www.suredividend.com/sure-analysis-research-database/","Blue Bird Corp")</f>
        <v>0</v>
      </c>
      <c r="C409" t="s">
        <v>3223</v>
      </c>
      <c r="D409">
        <v>17.9</v>
      </c>
      <c r="E409">
        <v>0</v>
      </c>
      <c r="H409">
        <v>0</v>
      </c>
      <c r="I409">
        <v>572.357405</v>
      </c>
      <c r="J409">
        <v>0</v>
      </c>
      <c r="K409" t="s">
        <v>3219</v>
      </c>
      <c r="L409">
        <v>1.369975720751329</v>
      </c>
      <c r="M409">
        <v>28.68</v>
      </c>
      <c r="N409">
        <v>13.79</v>
      </c>
    </row>
    <row r="410" spans="1:14">
      <c r="A410" s="1" t="s">
        <v>422</v>
      </c>
      <c r="B410">
        <f>HYPERLINK("https://www.suredividend.com/sure-analysis-research-database/","Bellicum Pharmaceuticals Inc")</f>
        <v>0</v>
      </c>
      <c r="C410" t="s">
        <v>3217</v>
      </c>
      <c r="D410">
        <v>2.02</v>
      </c>
      <c r="E410">
        <v>0</v>
      </c>
      <c r="H410">
        <v>0</v>
      </c>
      <c r="I410">
        <v>17.275458</v>
      </c>
      <c r="J410">
        <v>0</v>
      </c>
      <c r="K410" t="s">
        <v>3219</v>
      </c>
      <c r="L410">
        <v>0.860047716328827</v>
      </c>
      <c r="M410">
        <v>4.04</v>
      </c>
      <c r="N410">
        <v>1.36</v>
      </c>
    </row>
    <row r="411" spans="1:14">
      <c r="A411" s="1" t="s">
        <v>423</v>
      </c>
      <c r="B411">
        <f>HYPERLINK("https://www.suredividend.com/sure-analysis-research-database/","TopBuild Corp")</f>
        <v>0</v>
      </c>
      <c r="C411" t="s">
        <v>3220</v>
      </c>
      <c r="D411">
        <v>170.85</v>
      </c>
      <c r="E411">
        <v>0</v>
      </c>
      <c r="H411">
        <v>0</v>
      </c>
      <c r="I411">
        <v>5639.173339</v>
      </c>
      <c r="J411">
        <v>17.40399652717767</v>
      </c>
      <c r="K411">
        <v>0</v>
      </c>
      <c r="L411">
        <v>1.619594247453936</v>
      </c>
      <c r="M411">
        <v>284.07</v>
      </c>
      <c r="N411">
        <v>165.01</v>
      </c>
    </row>
    <row r="412" spans="1:14">
      <c r="A412" s="1" t="s">
        <v>424</v>
      </c>
      <c r="B412">
        <f>HYPERLINK("https://www.suredividend.com/sure-analysis-research-database/","Builders Firstsource Inc")</f>
        <v>0</v>
      </c>
      <c r="C412" t="s">
        <v>3220</v>
      </c>
      <c r="D412">
        <v>61.16</v>
      </c>
      <c r="E412">
        <v>0</v>
      </c>
      <c r="H412">
        <v>0</v>
      </c>
      <c r="I412">
        <v>10811.408608</v>
      </c>
      <c r="J412">
        <v>6.265972152547558</v>
      </c>
      <c r="K412">
        <v>0</v>
      </c>
      <c r="L412">
        <v>1.803373746587971</v>
      </c>
      <c r="M412">
        <v>86.48</v>
      </c>
      <c r="N412">
        <v>39.24</v>
      </c>
    </row>
    <row r="413" spans="1:14">
      <c r="A413" s="1" t="s">
        <v>425</v>
      </c>
      <c r="B413">
        <f>HYPERLINK("https://www.suredividend.com/sure-analysis-research-database/","Biolife Solutions Inc")</f>
        <v>0</v>
      </c>
      <c r="C413" t="s">
        <v>3217</v>
      </c>
      <c r="D413">
        <v>16.94</v>
      </c>
      <c r="E413">
        <v>0</v>
      </c>
      <c r="H413">
        <v>0</v>
      </c>
      <c r="I413">
        <v>713.088673</v>
      </c>
      <c r="J413">
        <v>0</v>
      </c>
      <c r="K413" t="s">
        <v>3219</v>
      </c>
      <c r="L413">
        <v>1.737393770276412</v>
      </c>
      <c r="M413">
        <v>60.67</v>
      </c>
      <c r="N413">
        <v>16.92</v>
      </c>
    </row>
    <row r="414" spans="1:14">
      <c r="A414" s="1" t="s">
        <v>426</v>
      </c>
      <c r="B414">
        <f>HYPERLINK("https://www.suredividend.com/sure-analysis-BLK/","Blackrock Inc.")</f>
        <v>0</v>
      </c>
      <c r="C414" t="s">
        <v>3221</v>
      </c>
      <c r="D414">
        <v>688.17</v>
      </c>
      <c r="E414">
        <v>0.02836508420884375</v>
      </c>
      <c r="F414">
        <v>0.1815980629539951</v>
      </c>
      <c r="G414">
        <v>0.1431308956083013</v>
      </c>
      <c r="H414">
        <v>17.1326270041216</v>
      </c>
      <c r="I414">
        <v>104413.032302</v>
      </c>
      <c r="J414">
        <v>17.69412511480427</v>
      </c>
      <c r="K414">
        <v>0.4482633962355206</v>
      </c>
      <c r="L414">
        <v>1.225268645578602</v>
      </c>
      <c r="M414">
        <v>962.28</v>
      </c>
      <c r="N414">
        <v>660.15</v>
      </c>
    </row>
    <row r="415" spans="1:14">
      <c r="A415" s="1" t="s">
        <v>427</v>
      </c>
      <c r="B415">
        <f>HYPERLINK("https://www.suredividend.com/sure-analysis-research-database/","Blackbaud Inc")</f>
        <v>0</v>
      </c>
      <c r="C415" t="s">
        <v>3222</v>
      </c>
      <c r="D415">
        <v>56.91</v>
      </c>
      <c r="E415">
        <v>0</v>
      </c>
      <c r="H415">
        <v>0</v>
      </c>
      <c r="I415">
        <v>2958.391229</v>
      </c>
      <c r="J415">
        <v>519.1981798525799</v>
      </c>
      <c r="K415">
        <v>0</v>
      </c>
      <c r="L415">
        <v>1.339931097066887</v>
      </c>
      <c r="M415">
        <v>86.95999999999999</v>
      </c>
      <c r="N415">
        <v>53.81</v>
      </c>
    </row>
    <row r="416" spans="1:14">
      <c r="A416" s="1" t="s">
        <v>428</v>
      </c>
      <c r="B416">
        <f>HYPERLINK("https://www.suredividend.com/sure-analysis-research-database/","Ball Corp.")</f>
        <v>0</v>
      </c>
      <c r="C416" t="s">
        <v>3223</v>
      </c>
      <c r="D416">
        <v>87.15000000000001</v>
      </c>
      <c r="E416">
        <v>0.008579927014960001</v>
      </c>
      <c r="F416">
        <v>0.3333333333333335</v>
      </c>
      <c r="G416">
        <v>0.1486983549970351</v>
      </c>
      <c r="H416">
        <v>0.7477406393537671</v>
      </c>
      <c r="I416">
        <v>27993.644624</v>
      </c>
      <c r="J416">
        <v>31.88342212346242</v>
      </c>
      <c r="K416">
        <v>0.2821662790014215</v>
      </c>
      <c r="L416">
        <v>0.386035363885577</v>
      </c>
      <c r="M416">
        <v>97.77</v>
      </c>
      <c r="N416">
        <v>77.45</v>
      </c>
    </row>
    <row r="417" spans="1:14">
      <c r="A417" s="1" t="s">
        <v>429</v>
      </c>
      <c r="B417">
        <f>HYPERLINK("https://www.suredividend.com/sure-analysis-research-database/","Bloomin Brands Inc")</f>
        <v>0</v>
      </c>
      <c r="C417" t="s">
        <v>3223</v>
      </c>
      <c r="D417">
        <v>21.44</v>
      </c>
      <c r="E417">
        <v>0.006529850774069</v>
      </c>
      <c r="H417">
        <v>0.140000000596046</v>
      </c>
      <c r="I417">
        <v>1921.744148</v>
      </c>
      <c r="J417">
        <v>8.915330881491965</v>
      </c>
      <c r="K417">
        <v>0.070000000298023</v>
      </c>
      <c r="L417">
        <v>1.431479194906921</v>
      </c>
      <c r="M417">
        <v>32.62</v>
      </c>
      <c r="N417">
        <v>17.19</v>
      </c>
    </row>
    <row r="418" spans="1:14">
      <c r="A418" s="1" t="s">
        <v>430</v>
      </c>
      <c r="B418">
        <f>HYPERLINK("https://www.suredividend.com/sure-analysis-research-database/","Bluebird bio Inc")</f>
        <v>0</v>
      </c>
      <c r="C418" t="s">
        <v>3217</v>
      </c>
      <c r="D418">
        <v>4.54</v>
      </c>
      <c r="E418">
        <v>0</v>
      </c>
      <c r="H418">
        <v>0</v>
      </c>
      <c r="I418">
        <v>324.307069</v>
      </c>
      <c r="J418" t="s">
        <v>3219</v>
      </c>
      <c r="K418">
        <v>-0</v>
      </c>
      <c r="L418">
        <v>1.528211613680617</v>
      </c>
      <c r="M418">
        <v>23.28</v>
      </c>
      <c r="N418">
        <v>4.04</v>
      </c>
    </row>
    <row r="419" spans="1:14">
      <c r="A419" s="1" t="s">
        <v>431</v>
      </c>
      <c r="B419">
        <f>HYPERLINK("https://www.suredividend.com/sure-analysis-research-database/","BMC Stock Holdings Inc")</f>
        <v>0</v>
      </c>
      <c r="C419" t="s">
        <v>3220</v>
      </c>
      <c r="D419">
        <v>53.68</v>
      </c>
      <c r="E419">
        <v>0</v>
      </c>
      <c r="H419">
        <v>0</v>
      </c>
      <c r="I419">
        <v>0</v>
      </c>
      <c r="J419">
        <v>0</v>
      </c>
      <c r="K419" t="s">
        <v>3219</v>
      </c>
    </row>
    <row r="420" spans="1:14">
      <c r="A420" s="1" t="s">
        <v>432</v>
      </c>
      <c r="B420">
        <f>HYPERLINK("https://www.suredividend.com/sure-analysis-BMI/","Badger Meter Inc.")</f>
        <v>0</v>
      </c>
      <c r="C420" t="s">
        <v>3220</v>
      </c>
      <c r="D420">
        <v>93.81</v>
      </c>
      <c r="E420">
        <v>0.008527875493017803</v>
      </c>
      <c r="F420">
        <v>0.1111111111111112</v>
      </c>
      <c r="G420">
        <v>0.1170340997937203</v>
      </c>
      <c r="H420">
        <v>0.7777817158275441</v>
      </c>
      <c r="I420">
        <v>2743.890717</v>
      </c>
      <c r="J420">
        <v>45.06751719466527</v>
      </c>
      <c r="K420">
        <v>0.3739335172247808</v>
      </c>
      <c r="L420">
        <v>1.296756474610466</v>
      </c>
      <c r="M420">
        <v>112.13</v>
      </c>
      <c r="N420">
        <v>85.37</v>
      </c>
    </row>
    <row r="421" spans="1:14">
      <c r="A421" s="1" t="s">
        <v>433</v>
      </c>
      <c r="B421">
        <f>HYPERLINK("https://www.suredividend.com/sure-analysis-research-database/","Bank of Marin Bancorp")</f>
        <v>0</v>
      </c>
      <c r="C421" t="s">
        <v>3221</v>
      </c>
      <c r="D421">
        <v>32.02</v>
      </c>
      <c r="E421">
        <v>0.029383572163004</v>
      </c>
      <c r="F421">
        <v>0.04347826086956519</v>
      </c>
      <c r="G421">
        <v>-0.02328131613882611</v>
      </c>
      <c r="H421">
        <v>0.9408619806594061</v>
      </c>
      <c r="I421">
        <v>512.360922</v>
      </c>
      <c r="J421">
        <v>15.41955343565668</v>
      </c>
      <c r="K421">
        <v>0.4090704263736549</v>
      </c>
      <c r="L421">
        <v>0.531259860284502</v>
      </c>
      <c r="M421">
        <v>39.39</v>
      </c>
      <c r="N421">
        <v>30.08</v>
      </c>
    </row>
    <row r="422" spans="1:14">
      <c r="A422" s="1" t="s">
        <v>434</v>
      </c>
      <c r="B422">
        <f>HYPERLINK("https://www.suredividend.com/sure-analysis-research-database/","Biomarin Pharmaceutical Inc.")</f>
        <v>0</v>
      </c>
      <c r="C422" t="s">
        <v>3217</v>
      </c>
      <c r="D422">
        <v>82.95</v>
      </c>
      <c r="E422">
        <v>0</v>
      </c>
      <c r="H422">
        <v>0</v>
      </c>
      <c r="I422">
        <v>15337.299801</v>
      </c>
      <c r="J422" t="s">
        <v>3219</v>
      </c>
      <c r="K422">
        <v>-0</v>
      </c>
      <c r="L422">
        <v>0.8321451280234251</v>
      </c>
      <c r="M422">
        <v>94.2</v>
      </c>
      <c r="N422">
        <v>71.59</v>
      </c>
    </row>
    <row r="423" spans="1:14">
      <c r="A423" s="1" t="s">
        <v>435</v>
      </c>
      <c r="B423">
        <f>HYPERLINK("https://www.suredividend.com/sure-analysis-research-database/","Bryn Mawr Bank Corp.")</f>
        <v>0</v>
      </c>
      <c r="C423" t="s">
        <v>3221</v>
      </c>
      <c r="D423">
        <v>45.01</v>
      </c>
      <c r="E423">
        <v>0</v>
      </c>
      <c r="H423">
        <v>1.100000023841858</v>
      </c>
      <c r="I423">
        <v>0</v>
      </c>
      <c r="J423">
        <v>0</v>
      </c>
      <c r="K423">
        <v>0.304709147878631</v>
      </c>
    </row>
    <row r="424" spans="1:14">
      <c r="A424" s="1" t="s">
        <v>436</v>
      </c>
      <c r="B424">
        <f>HYPERLINK("https://www.suredividend.com/sure-analysis-BMY/","Bristol-Myers Squibb Co.")</f>
        <v>0</v>
      </c>
      <c r="C424" t="s">
        <v>3217</v>
      </c>
      <c r="D424">
        <v>77.51000000000001</v>
      </c>
      <c r="E424">
        <v>0.02786737195200619</v>
      </c>
      <c r="F424">
        <v>0.1020408163265307</v>
      </c>
      <c r="G424">
        <v>0.06724918187953888</v>
      </c>
      <c r="H424">
        <v>2.036517340719738</v>
      </c>
      <c r="I424">
        <v>168949.540678</v>
      </c>
      <c r="J424">
        <v>24.15635411469832</v>
      </c>
      <c r="K424">
        <v>0.6527299168973519</v>
      </c>
      <c r="L424">
        <v>0.227480854705152</v>
      </c>
      <c r="M424">
        <v>78.13</v>
      </c>
      <c r="N424">
        <v>52.37</v>
      </c>
    </row>
    <row r="425" spans="1:14">
      <c r="A425" s="1" t="s">
        <v>437</v>
      </c>
      <c r="B425">
        <f>HYPERLINK("https://www.suredividend.com/sure-analysis-research-database/","Barnes &amp; Noble Education Inc")</f>
        <v>0</v>
      </c>
      <c r="C425" t="s">
        <v>3223</v>
      </c>
      <c r="D425">
        <v>3.62</v>
      </c>
      <c r="E425">
        <v>0</v>
      </c>
      <c r="H425">
        <v>0</v>
      </c>
      <c r="I425">
        <v>188.406343</v>
      </c>
      <c r="J425" t="s">
        <v>3219</v>
      </c>
      <c r="K425">
        <v>-0</v>
      </c>
      <c r="L425">
        <v>1.788952861311789</v>
      </c>
      <c r="M425">
        <v>12.01</v>
      </c>
      <c r="N425">
        <v>3.31</v>
      </c>
    </row>
    <row r="426" spans="1:14">
      <c r="A426" s="1" t="s">
        <v>438</v>
      </c>
      <c r="B426">
        <f>HYPERLINK("https://www.suredividend.com/sure-analysis-research-database/","Benefitfocus Inc")</f>
        <v>0</v>
      </c>
      <c r="C426" t="s">
        <v>3222</v>
      </c>
      <c r="D426">
        <v>12.23</v>
      </c>
      <c r="E426">
        <v>0</v>
      </c>
      <c r="H426">
        <v>0</v>
      </c>
      <c r="I426">
        <v>409.909632</v>
      </c>
      <c r="J426" t="s">
        <v>3219</v>
      </c>
      <c r="K426">
        <v>-0</v>
      </c>
      <c r="L426">
        <v>0.9041757603829391</v>
      </c>
      <c r="M426">
        <v>15.2</v>
      </c>
      <c r="N426">
        <v>9.25</v>
      </c>
    </row>
    <row r="427" spans="1:14">
      <c r="A427" s="1" t="s">
        <v>439</v>
      </c>
      <c r="B427">
        <f>HYPERLINK("https://www.suredividend.com/sure-analysis-research-database/","Bank of Commerce Holdings")</f>
        <v>0</v>
      </c>
      <c r="C427" t="s">
        <v>3221</v>
      </c>
      <c r="D427">
        <v>15.17</v>
      </c>
      <c r="E427">
        <v>0</v>
      </c>
      <c r="H427">
        <v>0.239999994635582</v>
      </c>
      <c r="I427">
        <v>0</v>
      </c>
      <c r="J427">
        <v>0</v>
      </c>
      <c r="K427" t="s">
        <v>3219</v>
      </c>
    </row>
    <row r="428" spans="1:14">
      <c r="A428" s="1" t="s">
        <v>440</v>
      </c>
      <c r="B428">
        <f>HYPERLINK("https://www.suredividend.com/sure-analysis-research-database/","Bank of Hawaii Corp.")</f>
        <v>0</v>
      </c>
      <c r="C428" t="s">
        <v>3221</v>
      </c>
      <c r="D428">
        <v>78.68000000000001</v>
      </c>
      <c r="E428">
        <v>0.034771645007227</v>
      </c>
      <c r="F428">
        <v>0.0447761194029852</v>
      </c>
      <c r="G428">
        <v>0.06961037572506878</v>
      </c>
      <c r="H428">
        <v>2.735833029168697</v>
      </c>
      <c r="I428">
        <v>3177.978278</v>
      </c>
      <c r="J428">
        <v>12.69175860110145</v>
      </c>
      <c r="K428">
        <v>0.4377332846669916</v>
      </c>
      <c r="L428">
        <v>0.846561184385148</v>
      </c>
      <c r="M428">
        <v>92.87</v>
      </c>
      <c r="N428">
        <v>74.41</v>
      </c>
    </row>
    <row r="429" spans="1:14">
      <c r="A429" s="1" t="s">
        <v>441</v>
      </c>
      <c r="B429">
        <f>HYPERLINK("https://www.suredividend.com/sure-analysis-research-database/","BOK Financial Corp.")</f>
        <v>0</v>
      </c>
      <c r="C429" t="s">
        <v>3221</v>
      </c>
      <c r="D429">
        <v>88.59999999999999</v>
      </c>
      <c r="E429">
        <v>0.023521065996808</v>
      </c>
      <c r="F429">
        <v>0.01923076923076916</v>
      </c>
      <c r="G429">
        <v>0.03792181163298758</v>
      </c>
      <c r="H429">
        <v>2.083966447317264</v>
      </c>
      <c r="I429">
        <v>6034.136845</v>
      </c>
      <c r="J429">
        <v>9.83043430375581</v>
      </c>
      <c r="K429">
        <v>0.2328454131080742</v>
      </c>
      <c r="L429">
        <v>1.017402492694609</v>
      </c>
      <c r="M429">
        <v>119.59</v>
      </c>
      <c r="N429">
        <v>76.43000000000001</v>
      </c>
    </row>
    <row r="430" spans="1:14">
      <c r="A430" s="1" t="s">
        <v>442</v>
      </c>
      <c r="B430">
        <f>HYPERLINK("https://www.suredividend.com/sure-analysis-research-database/","Boston Omaha Corp")</f>
        <v>0</v>
      </c>
      <c r="C430" t="s">
        <v>3228</v>
      </c>
      <c r="D430">
        <v>25.76</v>
      </c>
      <c r="E430">
        <v>0</v>
      </c>
      <c r="H430">
        <v>0</v>
      </c>
      <c r="I430">
        <v>734.689497</v>
      </c>
      <c r="J430">
        <v>0</v>
      </c>
      <c r="K430" t="s">
        <v>3219</v>
      </c>
      <c r="L430">
        <v>1.424991853937054</v>
      </c>
      <c r="M430">
        <v>47.65</v>
      </c>
      <c r="N430">
        <v>23.85</v>
      </c>
    </row>
    <row r="431" spans="1:14">
      <c r="A431" s="1" t="s">
        <v>443</v>
      </c>
      <c r="B431">
        <f>HYPERLINK("https://www.suredividend.com/sure-analysis-research-database/","DMC Global Inc")</f>
        <v>0</v>
      </c>
      <c r="C431" t="s">
        <v>3226</v>
      </c>
      <c r="D431">
        <v>28.36</v>
      </c>
      <c r="E431">
        <v>0</v>
      </c>
      <c r="H431">
        <v>0</v>
      </c>
      <c r="I431">
        <v>551.8141900000001</v>
      </c>
      <c r="J431" t="s">
        <v>3219</v>
      </c>
      <c r="K431">
        <v>-0</v>
      </c>
      <c r="L431">
        <v>1.105069416436547</v>
      </c>
      <c r="M431">
        <v>63.5</v>
      </c>
      <c r="N431">
        <v>26.07</v>
      </c>
    </row>
    <row r="432" spans="1:14">
      <c r="A432" s="1" t="s">
        <v>444</v>
      </c>
      <c r="B432">
        <f>HYPERLINK("https://www.suredividend.com/sure-analysis-research-database/","Boot Barn Holdings Inc")</f>
        <v>0</v>
      </c>
      <c r="C432" t="s">
        <v>3223</v>
      </c>
      <c r="D432">
        <v>94.51000000000001</v>
      </c>
      <c r="E432">
        <v>0</v>
      </c>
      <c r="H432">
        <v>0</v>
      </c>
      <c r="I432">
        <v>2804.12323</v>
      </c>
      <c r="J432">
        <v>16.27569508337735</v>
      </c>
      <c r="K432">
        <v>0</v>
      </c>
      <c r="L432">
        <v>1.805785949610166</v>
      </c>
      <c r="M432">
        <v>134.5</v>
      </c>
      <c r="N432">
        <v>64.17</v>
      </c>
    </row>
    <row r="433" spans="1:14">
      <c r="A433" s="1" t="s">
        <v>445</v>
      </c>
      <c r="B433">
        <f>HYPERLINK("https://www.suredividend.com/sure-analysis-research-database/","Bank of James Financial Group Inc")</f>
        <v>0</v>
      </c>
      <c r="C433" t="s">
        <v>3221</v>
      </c>
      <c r="D433">
        <v>14.89</v>
      </c>
      <c r="E433">
        <v>0.018276106301029</v>
      </c>
      <c r="F433">
        <v>0</v>
      </c>
      <c r="G433">
        <v>0.03131030647754507</v>
      </c>
      <c r="H433">
        <v>0.272131222822328</v>
      </c>
      <c r="I433">
        <v>70.58838299999999</v>
      </c>
      <c r="J433">
        <v>0</v>
      </c>
      <c r="K433" t="s">
        <v>3219</v>
      </c>
      <c r="M433">
        <v>19.51</v>
      </c>
      <c r="N433">
        <v>12.77</v>
      </c>
    </row>
    <row r="434" spans="1:14">
      <c r="A434" s="1" t="s">
        <v>446</v>
      </c>
      <c r="B434">
        <f>HYPERLINK("https://www.suredividend.com/sure-analysis-research-database/","Box Inc")</f>
        <v>0</v>
      </c>
      <c r="C434" t="s">
        <v>3222</v>
      </c>
      <c r="D434">
        <v>30.82</v>
      </c>
      <c r="E434">
        <v>0</v>
      </c>
      <c r="H434">
        <v>0</v>
      </c>
      <c r="I434">
        <v>4420.318095</v>
      </c>
      <c r="J434" t="s">
        <v>3219</v>
      </c>
      <c r="K434">
        <v>-0</v>
      </c>
      <c r="L434">
        <v>1.072909878680741</v>
      </c>
      <c r="M434">
        <v>31.85</v>
      </c>
      <c r="N434">
        <v>20.36</v>
      </c>
    </row>
    <row r="435" spans="1:14">
      <c r="A435" s="1" t="s">
        <v>447</v>
      </c>
      <c r="B435">
        <f>HYPERLINK("https://www.suredividend.com/sure-analysis-research-database/","Boston Private Financial Holdings Inc")</f>
        <v>0</v>
      </c>
      <c r="C435" t="s">
        <v>3221</v>
      </c>
      <c r="D435">
        <v>14.75</v>
      </c>
      <c r="E435">
        <v>0</v>
      </c>
      <c r="H435">
        <v>0.239999994635581</v>
      </c>
      <c r="I435">
        <v>0</v>
      </c>
      <c r="J435">
        <v>0</v>
      </c>
      <c r="K435">
        <v>0.3617726780759437</v>
      </c>
    </row>
    <row r="436" spans="1:14">
      <c r="A436" s="1" t="s">
        <v>448</v>
      </c>
      <c r="B436">
        <f>HYPERLINK("https://www.suredividend.com/sure-analysis-research-database/","Blueprint Medicines Corp")</f>
        <v>0</v>
      </c>
      <c r="C436" t="s">
        <v>3217</v>
      </c>
      <c r="D436">
        <v>68.02</v>
      </c>
      <c r="E436">
        <v>0</v>
      </c>
      <c r="H436">
        <v>0</v>
      </c>
      <c r="I436">
        <v>4027.021118</v>
      </c>
      <c r="J436" t="s">
        <v>3219</v>
      </c>
      <c r="K436">
        <v>-0</v>
      </c>
      <c r="L436">
        <v>1.355743161362999</v>
      </c>
      <c r="M436">
        <v>117.86</v>
      </c>
      <c r="N436">
        <v>53.26</v>
      </c>
    </row>
    <row r="437" spans="1:14">
      <c r="A437" s="1" t="s">
        <v>449</v>
      </c>
      <c r="B437">
        <f>HYPERLINK("https://www.suredividend.com/sure-analysis-research-database/","Popular Inc.")</f>
        <v>0</v>
      </c>
      <c r="C437" t="s">
        <v>3221</v>
      </c>
      <c r="D437">
        <v>80.81</v>
      </c>
      <c r="E437">
        <v>0.023301218739296</v>
      </c>
      <c r="F437">
        <v>0.2222222222222223</v>
      </c>
      <c r="G437">
        <v>0.1708049129648923</v>
      </c>
      <c r="H437">
        <v>1.882971486322513</v>
      </c>
      <c r="I437">
        <v>6181.181305</v>
      </c>
      <c r="J437">
        <v>6.621674989978329</v>
      </c>
      <c r="K437">
        <v>0.1643081576197655</v>
      </c>
      <c r="L437">
        <v>1.155224384811982</v>
      </c>
      <c r="M437">
        <v>98.81</v>
      </c>
      <c r="N437">
        <v>67.04000000000001</v>
      </c>
    </row>
    <row r="438" spans="1:14">
      <c r="A438" s="1" t="s">
        <v>450</v>
      </c>
      <c r="B438">
        <f>HYPERLINK("https://www.suredividend.com/sure-analysis-research-database/","Bank of Princeton")</f>
        <v>0</v>
      </c>
      <c r="C438" t="s">
        <v>3221</v>
      </c>
      <c r="D438">
        <v>29.1</v>
      </c>
      <c r="E438">
        <v>0.02688933413864</v>
      </c>
      <c r="H438">
        <v>0.78247962343443</v>
      </c>
      <c r="I438">
        <v>173.549548</v>
      </c>
      <c r="J438">
        <v>0</v>
      </c>
      <c r="K438" t="s">
        <v>3219</v>
      </c>
      <c r="M438">
        <v>31.79</v>
      </c>
      <c r="N438">
        <v>24.92</v>
      </c>
    </row>
    <row r="439" spans="1:14">
      <c r="A439" s="1" t="s">
        <v>451</v>
      </c>
      <c r="B439">
        <f>HYPERLINK("https://www.suredividend.com/sure-analysis-research-database/","Bio-Path Holdings Inc")</f>
        <v>0</v>
      </c>
      <c r="C439" t="s">
        <v>3217</v>
      </c>
      <c r="D439">
        <v>3.02</v>
      </c>
      <c r="E439">
        <v>0</v>
      </c>
      <c r="H439">
        <v>0</v>
      </c>
      <c r="I439">
        <v>21.623695</v>
      </c>
      <c r="J439">
        <v>0</v>
      </c>
      <c r="K439" t="s">
        <v>3219</v>
      </c>
      <c r="L439">
        <v>1.134917425201675</v>
      </c>
      <c r="M439">
        <v>8.619999999999999</v>
      </c>
      <c r="N439">
        <v>2.86</v>
      </c>
    </row>
    <row r="440" spans="1:14">
      <c r="A440" s="1" t="s">
        <v>452</v>
      </c>
      <c r="B440">
        <f>HYPERLINK("https://www.suredividend.com/sure-analysis-BR/","Broadridge Financial Solutions, Inc.")</f>
        <v>0</v>
      </c>
      <c r="C440" t="s">
        <v>3222</v>
      </c>
      <c r="D440">
        <v>153.52</v>
      </c>
      <c r="E440">
        <v>0.01667535174570088</v>
      </c>
      <c r="F440">
        <v>0.1130434782608694</v>
      </c>
      <c r="G440">
        <v>0.1416505936344823</v>
      </c>
      <c r="H440">
        <v>2.480330625792148</v>
      </c>
      <c r="I440">
        <v>17926.925407</v>
      </c>
      <c r="J440">
        <v>33.21646360377989</v>
      </c>
      <c r="K440">
        <v>0.5439321547789798</v>
      </c>
      <c r="L440">
        <v>0.8762263607046311</v>
      </c>
      <c r="M440">
        <v>184.58</v>
      </c>
      <c r="N440">
        <v>136.97</v>
      </c>
    </row>
    <row r="441" spans="1:14">
      <c r="A441" s="1" t="s">
        <v>453</v>
      </c>
      <c r="B441">
        <f>HYPERLINK("https://www.suredividend.com/sure-analysis-BRC/","Brady Corp.")</f>
        <v>0</v>
      </c>
      <c r="C441" t="s">
        <v>3220</v>
      </c>
      <c r="D441">
        <v>44.92</v>
      </c>
      <c r="E441">
        <v>0.02003561887800534</v>
      </c>
      <c r="F441">
        <v>0.02272727272727271</v>
      </c>
      <c r="G441">
        <v>0.01879248178299053</v>
      </c>
      <c r="H441">
        <v>0.8888782498138451</v>
      </c>
      <c r="I441">
        <v>2159.123148</v>
      </c>
      <c r="J441">
        <v>16.18933580121019</v>
      </c>
      <c r="K441">
        <v>0.3499520668558445</v>
      </c>
      <c r="L441">
        <v>0.7582994393609951</v>
      </c>
      <c r="M441">
        <v>60.93</v>
      </c>
      <c r="N441">
        <v>41.49</v>
      </c>
    </row>
    <row r="442" spans="1:14">
      <c r="A442" s="1" t="s">
        <v>454</v>
      </c>
      <c r="B442">
        <f>HYPERLINK("https://www.suredividend.com/sure-analysis-research-database/","Bluerock Residential Growth REIT Inc")</f>
        <v>0</v>
      </c>
      <c r="C442" t="s">
        <v>3224</v>
      </c>
      <c r="D442">
        <v>26.51</v>
      </c>
      <c r="E442">
        <v>0.024253596131873</v>
      </c>
      <c r="F442">
        <v>0</v>
      </c>
      <c r="G442">
        <v>0.1093928901257029</v>
      </c>
      <c r="H442">
        <v>0.642962833455979</v>
      </c>
      <c r="I442">
        <v>775.929116</v>
      </c>
      <c r="J442">
        <v>394.8748684427481</v>
      </c>
      <c r="K442">
        <v>8.584283490734032</v>
      </c>
      <c r="L442">
        <v>-0.048790225445783</v>
      </c>
      <c r="M442">
        <v>27.15</v>
      </c>
      <c r="N442">
        <v>8.44</v>
      </c>
    </row>
    <row r="443" spans="1:14">
      <c r="A443" s="1" t="s">
        <v>455</v>
      </c>
      <c r="B443">
        <f>HYPERLINK("https://www.suredividend.com/sure-analysis-research-database/","Bridgford Foods Corporation")</f>
        <v>0</v>
      </c>
      <c r="C443" t="s">
        <v>3225</v>
      </c>
      <c r="D443">
        <v>10.5801</v>
      </c>
      <c r="E443">
        <v>0</v>
      </c>
      <c r="H443">
        <v>0</v>
      </c>
      <c r="I443">
        <v>96.03379</v>
      </c>
      <c r="J443">
        <v>0</v>
      </c>
      <c r="K443" t="s">
        <v>3219</v>
      </c>
      <c r="M443">
        <v>21.8</v>
      </c>
      <c r="N443">
        <v>10.26</v>
      </c>
    </row>
    <row r="444" spans="1:14">
      <c r="A444" s="1" t="s">
        <v>456</v>
      </c>
      <c r="B444">
        <f>HYPERLINK("https://www.suredividend.com/sure-analysis-research-database/","Brookline Bancorp, Inc.")</f>
        <v>0</v>
      </c>
      <c r="C444" t="s">
        <v>3221</v>
      </c>
      <c r="D444">
        <v>14.77</v>
      </c>
      <c r="E444">
        <v>0.032812914598945</v>
      </c>
      <c r="F444">
        <v>0.08695652173913038</v>
      </c>
      <c r="G444">
        <v>0.06790716584560208</v>
      </c>
      <c r="H444">
        <v>0.48464674862643</v>
      </c>
      <c r="I444">
        <v>1154.123487</v>
      </c>
      <c r="J444">
        <v>9.997604705128204</v>
      </c>
      <c r="K444">
        <v>0.3274640193421824</v>
      </c>
      <c r="L444">
        <v>0.713612624802895</v>
      </c>
      <c r="M444">
        <v>17.61</v>
      </c>
      <c r="N444">
        <v>12.93</v>
      </c>
    </row>
    <row r="445" spans="1:14">
      <c r="A445" s="1" t="s">
        <v>457</v>
      </c>
      <c r="B445">
        <f>HYPERLINK("https://www.suredividend.com/sure-analysis-research-database/","Bruker Corp")</f>
        <v>0</v>
      </c>
      <c r="C445" t="s">
        <v>3217</v>
      </c>
      <c r="D445">
        <v>62.14</v>
      </c>
      <c r="E445">
        <v>0.002733501235833</v>
      </c>
      <c r="F445">
        <v>0.25</v>
      </c>
      <c r="G445">
        <v>0.04563955259127317</v>
      </c>
      <c r="H445">
        <v>0.169859766794706</v>
      </c>
      <c r="I445">
        <v>9369.059510999999</v>
      </c>
      <c r="J445">
        <v>33.81111335611693</v>
      </c>
      <c r="K445">
        <v>0.09384517502469945</v>
      </c>
      <c r="L445">
        <v>1.188149382204156</v>
      </c>
      <c r="M445">
        <v>92.23999999999999</v>
      </c>
      <c r="N445">
        <v>60.84</v>
      </c>
    </row>
    <row r="446" spans="1:14">
      <c r="A446" s="1" t="s">
        <v>458</v>
      </c>
      <c r="B446">
        <f>HYPERLINK("https://www.suredividend.com/sure-analysis-research-database/","Barnwell Industries Inc.")</f>
        <v>0</v>
      </c>
      <c r="C446" t="s">
        <v>3226</v>
      </c>
      <c r="D446">
        <v>2.68</v>
      </c>
      <c r="E446">
        <v>0</v>
      </c>
      <c r="H446">
        <v>0</v>
      </c>
      <c r="I446">
        <v>26.683921</v>
      </c>
      <c r="J446">
        <v>0</v>
      </c>
      <c r="K446" t="s">
        <v>3219</v>
      </c>
      <c r="L446">
        <v>0.263418147822871</v>
      </c>
      <c r="M446">
        <v>6.38</v>
      </c>
      <c r="N446">
        <v>2</v>
      </c>
    </row>
    <row r="447" spans="1:14">
      <c r="A447" s="1" t="s">
        <v>459</v>
      </c>
      <c r="B447">
        <f>HYPERLINK("https://www.suredividend.com/sure-analysis-BRO/","Brown &amp; Brown, Inc.")</f>
        <v>0</v>
      </c>
      <c r="C447" t="s">
        <v>3221</v>
      </c>
      <c r="D447">
        <v>71.26000000000001</v>
      </c>
      <c r="E447">
        <v>0.005753578445130508</v>
      </c>
      <c r="H447">
        <v>0.389105492126548</v>
      </c>
      <c r="I447">
        <v>20175.275787</v>
      </c>
      <c r="J447">
        <v>35.13864690895601</v>
      </c>
      <c r="K447">
        <v>0.1879736676939846</v>
      </c>
      <c r="L447">
        <v>0.9875245947932241</v>
      </c>
      <c r="M447">
        <v>74</v>
      </c>
      <c r="N447">
        <v>48.83</v>
      </c>
    </row>
    <row r="448" spans="1:14">
      <c r="A448" s="1" t="s">
        <v>460</v>
      </c>
      <c r="B448">
        <f>HYPERLINK("https://www.suredividend.com/sure-analysis-research-database/","BRT Apartments Corp")</f>
        <v>0</v>
      </c>
      <c r="C448" t="s">
        <v>3224</v>
      </c>
      <c r="D448">
        <v>23.09</v>
      </c>
      <c r="E448">
        <v>0.03879274297632501</v>
      </c>
      <c r="H448">
        <v>0.8957244353233521</v>
      </c>
      <c r="I448">
        <v>427.865181</v>
      </c>
      <c r="J448">
        <v>14.6962004932335</v>
      </c>
      <c r="K448">
        <v>0.5268967266607953</v>
      </c>
      <c r="L448">
        <v>0.7377459530365461</v>
      </c>
      <c r="M448">
        <v>25.31</v>
      </c>
      <c r="N448">
        <v>15.31</v>
      </c>
    </row>
    <row r="449" spans="1:14">
      <c r="A449" s="1" t="s">
        <v>461</v>
      </c>
      <c r="B449">
        <f>HYPERLINK("https://www.suredividend.com/sure-analysis-BRX/","Brixmor Property Group Inc")</f>
        <v>0</v>
      </c>
      <c r="C449" t="s">
        <v>3224</v>
      </c>
      <c r="D449">
        <v>26.01</v>
      </c>
      <c r="E449">
        <v>0.03690888119953863</v>
      </c>
      <c r="H449">
        <v>0.8978248114698991</v>
      </c>
      <c r="I449">
        <v>7746.91703</v>
      </c>
      <c r="J449">
        <v>28.7520256158908</v>
      </c>
      <c r="K449">
        <v>0.9958127900065429</v>
      </c>
      <c r="L449">
        <v>1.036669958809379</v>
      </c>
      <c r="M449">
        <v>26.9</v>
      </c>
      <c r="N449">
        <v>19.99</v>
      </c>
    </row>
    <row r="450" spans="1:14">
      <c r="A450" s="1" t="s">
        <v>462</v>
      </c>
      <c r="B450">
        <f>HYPERLINK("https://www.suredividend.com/sure-analysis-research-database/","Berry Corp")</f>
        <v>0</v>
      </c>
      <c r="C450" t="s">
        <v>3226</v>
      </c>
      <c r="D450">
        <v>12.09</v>
      </c>
      <c r="E450">
        <v>0.018026739064684</v>
      </c>
      <c r="H450">
        <v>0.217943275292037</v>
      </c>
      <c r="I450">
        <v>976.382839</v>
      </c>
      <c r="J450">
        <v>0</v>
      </c>
      <c r="K450" t="s">
        <v>3219</v>
      </c>
      <c r="L450">
        <v>1.18221393347434</v>
      </c>
      <c r="M450">
        <v>12.55</v>
      </c>
      <c r="N450">
        <v>4.61</v>
      </c>
    </row>
    <row r="451" spans="1:14">
      <c r="A451" s="1" t="s">
        <v>463</v>
      </c>
      <c r="B451">
        <f>HYPERLINK("https://www.suredividend.com/sure-analysis-research-database/","Bassett Furniture Industries Inc.")</f>
        <v>0</v>
      </c>
      <c r="C451" t="s">
        <v>3223</v>
      </c>
      <c r="D451">
        <v>17.46</v>
      </c>
      <c r="E451">
        <v>0.028609065627384</v>
      </c>
      <c r="F451">
        <v>11</v>
      </c>
      <c r="G451">
        <v>0.3378414360792157</v>
      </c>
      <c r="H451">
        <v>0.499514285854142</v>
      </c>
      <c r="I451">
        <v>168.662413</v>
      </c>
      <c r="J451">
        <v>8.603469328708426</v>
      </c>
      <c r="K451">
        <v>0.249757142927071</v>
      </c>
      <c r="L451">
        <v>1.283895869118934</v>
      </c>
      <c r="M451">
        <v>33.42</v>
      </c>
      <c r="N451">
        <v>12.1</v>
      </c>
    </row>
    <row r="452" spans="1:14">
      <c r="A452" s="1" t="s">
        <v>464</v>
      </c>
      <c r="B452">
        <f>HYPERLINK("https://www.suredividend.com/sure-analysis-research-database/","Biosig Technologies Inc")</f>
        <v>0</v>
      </c>
      <c r="C452" t="s">
        <v>3217</v>
      </c>
      <c r="D452">
        <v>1.02</v>
      </c>
      <c r="E452">
        <v>0</v>
      </c>
      <c r="H452">
        <v>0</v>
      </c>
      <c r="I452">
        <v>39.19254</v>
      </c>
      <c r="J452">
        <v>0</v>
      </c>
      <c r="K452" t="s">
        <v>3219</v>
      </c>
      <c r="L452">
        <v>1.333180360040276</v>
      </c>
      <c r="M452">
        <v>4.58</v>
      </c>
      <c r="N452">
        <v>0.9</v>
      </c>
    </row>
    <row r="453" spans="1:14">
      <c r="A453" s="1" t="s">
        <v>465</v>
      </c>
      <c r="B453">
        <f>HYPERLINK("https://www.suredividend.com/sure-analysis-research-database/","BSquare Corp")</f>
        <v>0</v>
      </c>
      <c r="C453" t="s">
        <v>3222</v>
      </c>
      <c r="D453">
        <v>1.66</v>
      </c>
      <c r="E453">
        <v>0</v>
      </c>
      <c r="H453">
        <v>0</v>
      </c>
      <c r="I453">
        <v>33.911431</v>
      </c>
      <c r="J453" t="s">
        <v>3219</v>
      </c>
      <c r="K453">
        <v>-0</v>
      </c>
      <c r="L453">
        <v>1.258109640229409</v>
      </c>
      <c r="M453">
        <v>8.199999999999999</v>
      </c>
      <c r="N453">
        <v>1.41</v>
      </c>
    </row>
    <row r="454" spans="1:14">
      <c r="A454" s="1" t="s">
        <v>466</v>
      </c>
      <c r="B454">
        <f>HYPERLINK("https://www.suredividend.com/sure-analysis-research-database/","Sierra Bancorp")</f>
        <v>0</v>
      </c>
      <c r="C454" t="s">
        <v>3221</v>
      </c>
      <c r="D454">
        <v>23.71</v>
      </c>
      <c r="E454">
        <v>0.036639917224795</v>
      </c>
      <c r="F454">
        <v>0.09523809523809534</v>
      </c>
      <c r="G454">
        <v>0.1043836287043816</v>
      </c>
      <c r="H454">
        <v>0.868732437399902</v>
      </c>
      <c r="I454">
        <v>357.689819</v>
      </c>
      <c r="J454">
        <v>8.316047119873524</v>
      </c>
      <c r="K454">
        <v>0.3102615847856793</v>
      </c>
      <c r="L454">
        <v>0.689896551940807</v>
      </c>
      <c r="M454">
        <v>28.67</v>
      </c>
      <c r="N454">
        <v>22.01</v>
      </c>
    </row>
    <row r="455" spans="1:14">
      <c r="A455" s="1" t="s">
        <v>467</v>
      </c>
      <c r="B455">
        <f>HYPERLINK("https://www.suredividend.com/sure-analysis-research-database/","Biospecifics Technologies Corp.")</f>
        <v>0</v>
      </c>
      <c r="C455" t="s">
        <v>3217</v>
      </c>
      <c r="D455">
        <v>88.53</v>
      </c>
      <c r="E455">
        <v>0</v>
      </c>
      <c r="H455">
        <v>0</v>
      </c>
      <c r="I455">
        <v>0</v>
      </c>
      <c r="J455">
        <v>0</v>
      </c>
      <c r="K455">
        <v>0</v>
      </c>
    </row>
    <row r="456" spans="1:14">
      <c r="A456" s="1" t="s">
        <v>468</v>
      </c>
      <c r="B456">
        <f>HYPERLINK("https://www.suredividend.com/sure-analysis-research-database/","Boston Scientific Corp.")</f>
        <v>0</v>
      </c>
      <c r="C456" t="s">
        <v>3217</v>
      </c>
      <c r="D456">
        <v>44.25</v>
      </c>
      <c r="E456">
        <v>0</v>
      </c>
      <c r="H456">
        <v>0</v>
      </c>
      <c r="I456">
        <v>63132.568506</v>
      </c>
      <c r="J456">
        <v>64.15911433536586</v>
      </c>
      <c r="K456">
        <v>0</v>
      </c>
      <c r="L456">
        <v>0.804463910475062</v>
      </c>
      <c r="M456">
        <v>46.29</v>
      </c>
      <c r="N456">
        <v>37.96</v>
      </c>
    </row>
    <row r="457" spans="1:14">
      <c r="A457" s="1" t="s">
        <v>469</v>
      </c>
      <c r="B457">
        <f>HYPERLINK("https://www.suredividend.com/sure-analysis-research-database/","Ballantyne Strong Inc")</f>
        <v>0</v>
      </c>
      <c r="C457" t="s">
        <v>3223</v>
      </c>
      <c r="D457">
        <v>3.1</v>
      </c>
      <c r="E457">
        <v>0</v>
      </c>
      <c r="H457">
        <v>0</v>
      </c>
      <c r="I457">
        <v>59.682239</v>
      </c>
      <c r="J457">
        <v>3.327325556113063</v>
      </c>
      <c r="K457">
        <v>0</v>
      </c>
      <c r="L457">
        <v>0.9412358676946201</v>
      </c>
      <c r="M457">
        <v>5.47</v>
      </c>
      <c r="N457">
        <v>2.59</v>
      </c>
    </row>
    <row r="458" spans="1:14">
      <c r="A458" s="1" t="s">
        <v>470</v>
      </c>
      <c r="B458">
        <f>HYPERLINK("https://www.suredividend.com/sure-analysis-research-database/","Peabody Energy Corp.")</f>
        <v>0</v>
      </c>
      <c r="C458" t="s">
        <v>3226</v>
      </c>
      <c r="D458">
        <v>32.54</v>
      </c>
      <c r="E458">
        <v>0</v>
      </c>
      <c r="H458">
        <v>0</v>
      </c>
      <c r="I458">
        <v>4498.990976</v>
      </c>
      <c r="J458">
        <v>12.49372667453485</v>
      </c>
      <c r="K458">
        <v>0</v>
      </c>
      <c r="L458">
        <v>0.50979669846179</v>
      </c>
      <c r="M458">
        <v>32.69</v>
      </c>
      <c r="N458">
        <v>3.44</v>
      </c>
    </row>
    <row r="459" spans="1:14">
      <c r="A459" s="1" t="s">
        <v>471</v>
      </c>
      <c r="B459">
        <f>HYPERLINK("https://www.suredividend.com/sure-analysis-research-database/","Burlington Stores Inc")</f>
        <v>0</v>
      </c>
      <c r="C459" t="s">
        <v>3223</v>
      </c>
      <c r="D459">
        <v>213.85</v>
      </c>
      <c r="E459">
        <v>0</v>
      </c>
      <c r="H459">
        <v>0</v>
      </c>
      <c r="I459">
        <v>14135.339154</v>
      </c>
      <c r="J459">
        <v>34.57434137716803</v>
      </c>
      <c r="K459">
        <v>0</v>
      </c>
      <c r="L459">
        <v>1.271309264494066</v>
      </c>
      <c r="M459">
        <v>357.34</v>
      </c>
      <c r="N459">
        <v>171.15</v>
      </c>
    </row>
    <row r="460" spans="1:14">
      <c r="A460" s="1" t="s">
        <v>472</v>
      </c>
      <c r="B460">
        <f>HYPERLINK("https://www.suredividend.com/sure-analysis-research-database/","First Busey Corp.")</f>
        <v>0</v>
      </c>
      <c r="C460" t="s">
        <v>3221</v>
      </c>
      <c r="D460">
        <v>24.1</v>
      </c>
      <c r="E460">
        <v>0.03768937275723101</v>
      </c>
      <c r="F460">
        <v>0</v>
      </c>
      <c r="G460">
        <v>0.05024607263868264</v>
      </c>
      <c r="H460">
        <v>0.9083138834492821</v>
      </c>
      <c r="I460">
        <v>1331.757445</v>
      </c>
      <c r="J460">
        <v>10.78791601795073</v>
      </c>
      <c r="K460">
        <v>0.4128699470224009</v>
      </c>
      <c r="L460">
        <v>0.8403372705047401</v>
      </c>
      <c r="M460">
        <v>29.49</v>
      </c>
      <c r="N460">
        <v>20.45</v>
      </c>
    </row>
    <row r="461" spans="1:14">
      <c r="A461" s="1" t="s">
        <v>473</v>
      </c>
      <c r="B461">
        <f>HYPERLINK("https://www.suredividend.com/sure-analysis-research-database/","BrightView Holdings Inc")</f>
        <v>0</v>
      </c>
      <c r="C461" t="s">
        <v>3220</v>
      </c>
      <c r="D461">
        <v>13.07</v>
      </c>
      <c r="E461">
        <v>0</v>
      </c>
      <c r="H461">
        <v>0</v>
      </c>
      <c r="I461">
        <v>1297.851</v>
      </c>
      <c r="J461">
        <v>0</v>
      </c>
      <c r="K461" t="s">
        <v>3219</v>
      </c>
      <c r="L461">
        <v>1.075371670179491</v>
      </c>
      <c r="M461">
        <v>19.17</v>
      </c>
      <c r="N461">
        <v>12.11</v>
      </c>
    </row>
    <row r="462" spans="1:14">
      <c r="A462" s="1" t="s">
        <v>474</v>
      </c>
      <c r="B462">
        <f>HYPERLINK("https://www.suredividend.com/sure-analysis-research-database/","Babcock &amp; Wilcox Enterprises Inc")</f>
        <v>0</v>
      </c>
      <c r="C462" t="s">
        <v>3220</v>
      </c>
      <c r="D462">
        <v>7.73</v>
      </c>
      <c r="E462">
        <v>0</v>
      </c>
      <c r="H462">
        <v>0</v>
      </c>
      <c r="I462">
        <v>662.181274</v>
      </c>
      <c r="J462">
        <v>30.42133847062066</v>
      </c>
      <c r="K462">
        <v>0</v>
      </c>
      <c r="L462">
        <v>1.655025346222154</v>
      </c>
      <c r="M462">
        <v>10.37</v>
      </c>
      <c r="N462">
        <v>5.81</v>
      </c>
    </row>
    <row r="463" spans="1:14">
      <c r="A463" s="1" t="s">
        <v>475</v>
      </c>
      <c r="B463">
        <f>HYPERLINK("https://www.suredividend.com/sure-analysis-BWA/","BorgWarner Inc")</f>
        <v>0</v>
      </c>
      <c r="C463" t="s">
        <v>3223</v>
      </c>
      <c r="D463">
        <v>37.01</v>
      </c>
      <c r="E463">
        <v>0.01837341259119157</v>
      </c>
      <c r="F463">
        <v>0</v>
      </c>
      <c r="G463">
        <v>0.03959498820755258</v>
      </c>
      <c r="H463">
        <v>0.675990897443797</v>
      </c>
      <c r="I463">
        <v>8881.404098000001</v>
      </c>
      <c r="J463">
        <v>16.53892755662942</v>
      </c>
      <c r="K463">
        <v>0.3017816506445522</v>
      </c>
      <c r="L463">
        <v>1.107911415416029</v>
      </c>
      <c r="M463">
        <v>54.9</v>
      </c>
      <c r="N463">
        <v>34.85</v>
      </c>
    </row>
    <row r="464" spans="1:14">
      <c r="A464" s="1" t="s">
        <v>476</v>
      </c>
      <c r="B464">
        <f>HYPERLINK("https://www.suredividend.com/sure-analysis-research-database/","Bridgewater Bancshares Inc")</f>
        <v>0</v>
      </c>
      <c r="C464" t="s">
        <v>3221</v>
      </c>
      <c r="D464">
        <v>16.26</v>
      </c>
      <c r="E464">
        <v>0</v>
      </c>
      <c r="H464">
        <v>0</v>
      </c>
      <c r="I464">
        <v>458.81177</v>
      </c>
      <c r="J464">
        <v>0</v>
      </c>
      <c r="K464" t="s">
        <v>3219</v>
      </c>
      <c r="L464">
        <v>0.588201313861623</v>
      </c>
      <c r="M464">
        <v>20.05</v>
      </c>
      <c r="N464">
        <v>15.22</v>
      </c>
    </row>
    <row r="465" spans="1:14">
      <c r="A465" s="1" t="s">
        <v>477</v>
      </c>
      <c r="B465">
        <f>HYPERLINK("https://www.suredividend.com/sure-analysis-research-database/","Broadwind Inc")</f>
        <v>0</v>
      </c>
      <c r="C465" t="s">
        <v>3220</v>
      </c>
      <c r="D465">
        <v>2.03</v>
      </c>
      <c r="E465">
        <v>0</v>
      </c>
      <c r="H465">
        <v>0</v>
      </c>
      <c r="I465">
        <v>40.636816</v>
      </c>
      <c r="J465">
        <v>14.2735567544784</v>
      </c>
      <c r="K465">
        <v>0</v>
      </c>
      <c r="L465">
        <v>1.777634995807045</v>
      </c>
      <c r="M465">
        <v>5.9</v>
      </c>
      <c r="N465">
        <v>1.52</v>
      </c>
    </row>
    <row r="466" spans="1:14">
      <c r="A466" s="1" t="s">
        <v>478</v>
      </c>
      <c r="B466">
        <f>HYPERLINK("https://www.suredividend.com/sure-analysis-research-database/","Bankwell Financial Group Inc")</f>
        <v>0</v>
      </c>
      <c r="C466" t="s">
        <v>3221</v>
      </c>
      <c r="D466">
        <v>32.9</v>
      </c>
      <c r="E466">
        <v>0.021109444375853</v>
      </c>
      <c r="F466">
        <v>0.4285714285714286</v>
      </c>
      <c r="G466">
        <v>0.2336341725167208</v>
      </c>
      <c r="H466">
        <v>0.694500719965587</v>
      </c>
      <c r="I466">
        <v>258.843711</v>
      </c>
      <c r="J466">
        <v>0</v>
      </c>
      <c r="K466" t="s">
        <v>3219</v>
      </c>
      <c r="L466">
        <v>0.4386421326776661</v>
      </c>
      <c r="M466">
        <v>35.34</v>
      </c>
      <c r="N466">
        <v>26.18</v>
      </c>
    </row>
    <row r="467" spans="1:14">
      <c r="A467" s="1" t="s">
        <v>479</v>
      </c>
      <c r="B467">
        <f>HYPERLINK("https://www.suredividend.com/sure-analysis-research-database/","BWX Technologies Inc")</f>
        <v>0</v>
      </c>
      <c r="C467" t="s">
        <v>3220</v>
      </c>
      <c r="D467">
        <v>55.83</v>
      </c>
      <c r="E467">
        <v>0.015134052331491</v>
      </c>
      <c r="F467">
        <v>0.04761904761904767</v>
      </c>
      <c r="G467">
        <v>0.1486983549970351</v>
      </c>
      <c r="H467">
        <v>0.8449341416671871</v>
      </c>
      <c r="I467">
        <v>5102.831182</v>
      </c>
      <c r="J467">
        <v>16.68295190403797</v>
      </c>
      <c r="K467">
        <v>0.2607821424898725</v>
      </c>
      <c r="L467">
        <v>0.4970251274322181</v>
      </c>
      <c r="M467">
        <v>67.64</v>
      </c>
      <c r="N467">
        <v>42.41</v>
      </c>
    </row>
    <row r="468" spans="1:14">
      <c r="A468" s="1" t="s">
        <v>480</v>
      </c>
      <c r="B468">
        <f>HYPERLINK("https://www.suredividend.com/sure-analysis-research-database/","Bluelinx Hldgs Inc")</f>
        <v>0</v>
      </c>
      <c r="C468" t="s">
        <v>3220</v>
      </c>
      <c r="D468">
        <v>63.51</v>
      </c>
      <c r="E468">
        <v>0</v>
      </c>
      <c r="H468">
        <v>0</v>
      </c>
      <c r="I468">
        <v>618.0449609999999</v>
      </c>
      <c r="J468">
        <v>2.087051970195824</v>
      </c>
      <c r="K468">
        <v>0</v>
      </c>
      <c r="L468">
        <v>2.067466854658996</v>
      </c>
      <c r="M468">
        <v>96.63</v>
      </c>
      <c r="N468">
        <v>35</v>
      </c>
    </row>
    <row r="469" spans="1:14">
      <c r="A469" s="1" t="s">
        <v>481</v>
      </c>
      <c r="B469">
        <f>HYPERLINK("https://www.suredividend.com/sure-analysis-BXMT/","Blackstone Mortgage Trust Inc")</f>
        <v>0</v>
      </c>
      <c r="C469" t="s">
        <v>3224</v>
      </c>
      <c r="D469">
        <v>31.94</v>
      </c>
      <c r="E469">
        <v>0.07764558547276143</v>
      </c>
      <c r="F469">
        <v>0</v>
      </c>
      <c r="G469">
        <v>0</v>
      </c>
      <c r="H469">
        <v>2.409370426690667</v>
      </c>
      <c r="I469">
        <v>5385.341788</v>
      </c>
      <c r="J469">
        <v>12.84692680397812</v>
      </c>
      <c r="K469">
        <v>0.8698088182998797</v>
      </c>
      <c r="L469">
        <v>0.7911206907417281</v>
      </c>
      <c r="M469">
        <v>32.75</v>
      </c>
      <c r="N469">
        <v>27.42</v>
      </c>
    </row>
    <row r="470" spans="1:14">
      <c r="A470" s="1" t="s">
        <v>482</v>
      </c>
      <c r="B470">
        <f>HYPERLINK("https://www.suredividend.com/sure-analysis-BXP/","Boston Properties, Inc.")</f>
        <v>0</v>
      </c>
      <c r="C470" t="s">
        <v>3224</v>
      </c>
      <c r="D470">
        <v>124.59</v>
      </c>
      <c r="E470">
        <v>0.03146319929368328</v>
      </c>
      <c r="F470">
        <v>0</v>
      </c>
      <c r="G470">
        <v>0.05495263799739813</v>
      </c>
      <c r="H470">
        <v>3.873391818688169</v>
      </c>
      <c r="I470">
        <v>19520.735534</v>
      </c>
      <c r="J470">
        <v>39.33863511860595</v>
      </c>
      <c r="K470">
        <v>1.221890163624028</v>
      </c>
      <c r="L470">
        <v>0.8642156516780871</v>
      </c>
      <c r="M470">
        <v>132.42</v>
      </c>
      <c r="N470">
        <v>99.84</v>
      </c>
    </row>
    <row r="471" spans="1:14">
      <c r="A471" s="1" t="s">
        <v>483</v>
      </c>
      <c r="B471">
        <f>HYPERLINK("https://www.suredividend.com/sure-analysis-research-database/","Byline Bancorp Inc")</f>
        <v>0</v>
      </c>
      <c r="C471" t="s">
        <v>3221</v>
      </c>
      <c r="D471">
        <v>24.22</v>
      </c>
      <c r="E471">
        <v>0.01356231180172</v>
      </c>
      <c r="H471">
        <v>0.328479191837672</v>
      </c>
      <c r="I471">
        <v>916.23623</v>
      </c>
      <c r="J471">
        <v>9.9588729608052</v>
      </c>
      <c r="K471">
        <v>0.1368663299323634</v>
      </c>
      <c r="L471">
        <v>0.7740107157947911</v>
      </c>
      <c r="M471">
        <v>29.05</v>
      </c>
      <c r="N471">
        <v>20.78</v>
      </c>
    </row>
    <row r="472" spans="1:14">
      <c r="A472" s="1" t="s">
        <v>484</v>
      </c>
      <c r="B472">
        <f>HYPERLINK("https://www.suredividend.com/sure-analysis-research-database/","Boyd Gaming Corp.")</f>
        <v>0</v>
      </c>
      <c r="C472" t="s">
        <v>3223</v>
      </c>
      <c r="D472">
        <v>62.3</v>
      </c>
      <c r="E472">
        <v>0.002407704750569</v>
      </c>
      <c r="H472">
        <v>0.150000005960464</v>
      </c>
      <c r="I472">
        <v>6851.262702</v>
      </c>
      <c r="J472">
        <v>14.77055467159359</v>
      </c>
      <c r="K472">
        <v>0.03685503831952432</v>
      </c>
      <c r="L472">
        <v>1.412168164891351</v>
      </c>
      <c r="M472">
        <v>72.55</v>
      </c>
      <c r="N472">
        <v>50.26</v>
      </c>
    </row>
    <row r="473" spans="1:14">
      <c r="A473" s="1" t="s">
        <v>485</v>
      </c>
      <c r="B473">
        <f>HYPERLINK("https://www.suredividend.com/sure-analysis-research-database/","Broadway Financial Corp.")</f>
        <v>0</v>
      </c>
      <c r="C473" t="s">
        <v>3221</v>
      </c>
      <c r="D473">
        <v>1.58</v>
      </c>
      <c r="E473">
        <v>0</v>
      </c>
      <c r="H473">
        <v>0</v>
      </c>
      <c r="I473">
        <v>69.00496099999999</v>
      </c>
      <c r="J473">
        <v>0</v>
      </c>
      <c r="K473" t="s">
        <v>3219</v>
      </c>
      <c r="L473">
        <v>0.870641700133104</v>
      </c>
      <c r="M473">
        <v>4.28</v>
      </c>
      <c r="N473">
        <v>1.44</v>
      </c>
    </row>
    <row r="474" spans="1:14">
      <c r="A474" s="1" t="s">
        <v>486</v>
      </c>
      <c r="B474">
        <f>HYPERLINK("https://www.suredividend.com/sure-analysis-research-database/","Beyond Meat Inc")</f>
        <v>0</v>
      </c>
      <c r="C474" t="s">
        <v>3225</v>
      </c>
      <c r="D474">
        <v>43.01</v>
      </c>
      <c r="E474">
        <v>0</v>
      </c>
      <c r="H474">
        <v>0</v>
      </c>
      <c r="I474">
        <v>2732.221433</v>
      </c>
      <c r="J474" t="s">
        <v>3219</v>
      </c>
      <c r="K474">
        <v>-0</v>
      </c>
      <c r="L474">
        <v>1.589713918766018</v>
      </c>
      <c r="M474">
        <v>160.28</v>
      </c>
      <c r="N474">
        <v>35.74</v>
      </c>
    </row>
    <row r="475" spans="1:14">
      <c r="A475" s="1" t="s">
        <v>487</v>
      </c>
      <c r="B475">
        <f>HYPERLINK("https://www.suredividend.com/sure-analysis-research-database/","Beazer Homes USA Inc.")</f>
        <v>0</v>
      </c>
      <c r="C475" t="s">
        <v>3223</v>
      </c>
      <c r="D475">
        <v>14.92</v>
      </c>
      <c r="E475">
        <v>0</v>
      </c>
      <c r="H475">
        <v>0</v>
      </c>
      <c r="I475">
        <v>469.378843</v>
      </c>
      <c r="J475">
        <v>3.239128303694043</v>
      </c>
      <c r="K475">
        <v>0</v>
      </c>
      <c r="L475">
        <v>1.638545009048825</v>
      </c>
      <c r="M475">
        <v>26.12</v>
      </c>
      <c r="N475">
        <v>13.78</v>
      </c>
    </row>
    <row r="476" spans="1:14">
      <c r="A476" s="1" t="s">
        <v>488</v>
      </c>
      <c r="B476">
        <f>HYPERLINK("https://www.suredividend.com/sure-analysis-C/","Citigroup Inc")</f>
        <v>0</v>
      </c>
      <c r="C476" t="s">
        <v>3221</v>
      </c>
      <c r="D476">
        <v>50.93</v>
      </c>
      <c r="E476">
        <v>0.04005497741998822</v>
      </c>
      <c r="F476">
        <v>0</v>
      </c>
      <c r="G476">
        <v>0.2609272740661635</v>
      </c>
      <c r="H476">
        <v>2.017037866016784</v>
      </c>
      <c r="I476">
        <v>100886.96264</v>
      </c>
      <c r="J476">
        <v>4.860148503713749</v>
      </c>
      <c r="K476">
        <v>0.1991152878595048</v>
      </c>
      <c r="L476">
        <v>0.7945337017249811</v>
      </c>
      <c r="M476">
        <v>78.5</v>
      </c>
      <c r="N476">
        <v>49.04</v>
      </c>
    </row>
    <row r="477" spans="1:14">
      <c r="A477" s="1" t="s">
        <v>489</v>
      </c>
      <c r="B477">
        <f>HYPERLINK("https://www.suredividend.com/sure-analysis-research-database/","Cable One Inc")</f>
        <v>0</v>
      </c>
      <c r="C477" t="s">
        <v>3228</v>
      </c>
      <c r="D477">
        <v>1428</v>
      </c>
      <c r="E477">
        <v>0.007510205045137001</v>
      </c>
      <c r="F477">
        <v>0.1000000000000001</v>
      </c>
      <c r="G477">
        <v>0.1288813207301975</v>
      </c>
      <c r="H477">
        <v>10.7245728044565</v>
      </c>
      <c r="I477">
        <v>8584.823268</v>
      </c>
      <c r="J477">
        <v>29.41781096825484</v>
      </c>
      <c r="K477">
        <v>0.2347247276090282</v>
      </c>
      <c r="L477">
        <v>0.691162277547535</v>
      </c>
      <c r="M477">
        <v>2129.14</v>
      </c>
      <c r="N477">
        <v>1375.63</v>
      </c>
    </row>
    <row r="478" spans="1:14">
      <c r="A478" s="1" t="s">
        <v>490</v>
      </c>
      <c r="B478">
        <f>HYPERLINK("https://www.suredividend.com/sure-analysis-research-database/","Camden National Corp.")</f>
        <v>0</v>
      </c>
      <c r="C478" t="s">
        <v>3221</v>
      </c>
      <c r="D478">
        <v>47.02</v>
      </c>
      <c r="E478">
        <v>0.031946737175396</v>
      </c>
      <c r="F478">
        <v>0.1111111111111112</v>
      </c>
      <c r="G478">
        <v>0.1170340997937203</v>
      </c>
      <c r="H478">
        <v>1.502135581987163</v>
      </c>
      <c r="I478">
        <v>13400.283873</v>
      </c>
      <c r="J478">
        <v>194.7036480442869</v>
      </c>
      <c r="K478">
        <v>0.3265512134754702</v>
      </c>
      <c r="L478">
        <v>0.6037407085453911</v>
      </c>
      <c r="M478">
        <v>51.72</v>
      </c>
      <c r="N478">
        <v>42.6</v>
      </c>
    </row>
    <row r="479" spans="1:14">
      <c r="A479" s="1" t="s">
        <v>491</v>
      </c>
      <c r="B479">
        <f>HYPERLINK("https://www.suredividend.com/sure-analysis-research-database/","Credit Acceptance Corp.")</f>
        <v>0</v>
      </c>
      <c r="C479" t="s">
        <v>3221</v>
      </c>
      <c r="D479">
        <v>585.9299999999999</v>
      </c>
      <c r="E479">
        <v>0</v>
      </c>
      <c r="H479">
        <v>0</v>
      </c>
      <c r="I479">
        <v>8270.024025000001</v>
      </c>
      <c r="J479">
        <v>8.629890457215902</v>
      </c>
      <c r="K479">
        <v>0</v>
      </c>
      <c r="L479">
        <v>0.8472479808165001</v>
      </c>
      <c r="M479">
        <v>703.27</v>
      </c>
      <c r="N479">
        <v>366.19</v>
      </c>
    </row>
    <row r="480" spans="1:14">
      <c r="A480" s="1" t="s">
        <v>492</v>
      </c>
      <c r="B480">
        <f>HYPERLINK("https://www.suredividend.com/sure-analysis-research-database/","Caci International Inc.")</f>
        <v>0</v>
      </c>
      <c r="C480" t="s">
        <v>3222</v>
      </c>
      <c r="D480">
        <v>294.32</v>
      </c>
      <c r="E480">
        <v>0</v>
      </c>
      <c r="H480">
        <v>0</v>
      </c>
      <c r="I480">
        <v>6888.733249</v>
      </c>
      <c r="J480">
        <v>15.80967355581106</v>
      </c>
      <c r="K480">
        <v>0</v>
      </c>
      <c r="L480">
        <v>0.446731759045932</v>
      </c>
      <c r="M480">
        <v>313.52</v>
      </c>
      <c r="N480">
        <v>238.29</v>
      </c>
    </row>
    <row r="481" spans="1:14">
      <c r="A481" s="1" t="s">
        <v>493</v>
      </c>
      <c r="B481">
        <f>HYPERLINK("https://www.suredividend.com/sure-analysis-research-database/","Cadence Bank")</f>
        <v>0</v>
      </c>
      <c r="C481" t="s">
        <v>3221</v>
      </c>
      <c r="D481">
        <v>26.35</v>
      </c>
      <c r="E481">
        <v>0.030634204432145</v>
      </c>
      <c r="H481">
        <v>0.807211286787036</v>
      </c>
      <c r="I481">
        <v>2704.725552</v>
      </c>
      <c r="J481">
        <v>0</v>
      </c>
      <c r="K481" t="s">
        <v>3219</v>
      </c>
      <c r="L481">
        <v>1.109932948213507</v>
      </c>
      <c r="M481">
        <v>33.99</v>
      </c>
      <c r="N481">
        <v>24.7</v>
      </c>
    </row>
    <row r="482" spans="1:14">
      <c r="A482" s="1" t="s">
        <v>494</v>
      </c>
      <c r="B482">
        <f>HYPERLINK("https://www.suredividend.com/sure-analysis-CAG/","Conagra Brands Inc")</f>
        <v>0</v>
      </c>
      <c r="C482" t="s">
        <v>3225</v>
      </c>
      <c r="D482">
        <v>35.62</v>
      </c>
      <c r="E482">
        <v>0.03509264458169568</v>
      </c>
      <c r="F482">
        <v>0.1363636363636362</v>
      </c>
      <c r="G482">
        <v>0.09336207394327811</v>
      </c>
      <c r="H482">
        <v>1.196477759573574</v>
      </c>
      <c r="I482">
        <v>17093.156583</v>
      </c>
      <c r="J482">
        <v>16.45471369185599</v>
      </c>
      <c r="K482">
        <v>0.5565012835225926</v>
      </c>
      <c r="L482">
        <v>0.141556299033306</v>
      </c>
      <c r="M482">
        <v>38.02</v>
      </c>
      <c r="N482">
        <v>30.06</v>
      </c>
    </row>
    <row r="483" spans="1:14">
      <c r="A483" s="1" t="s">
        <v>495</v>
      </c>
      <c r="B483">
        <f>HYPERLINK("https://www.suredividend.com/sure-analysis-CAH/","Cardinal Health, Inc.")</f>
        <v>0</v>
      </c>
      <c r="C483" t="s">
        <v>3217</v>
      </c>
      <c r="D483">
        <v>62.96</v>
      </c>
      <c r="E483">
        <v>0.03113087674714104</v>
      </c>
      <c r="F483">
        <v>0.01008437950195518</v>
      </c>
      <c r="G483">
        <v>0.01199262075611318</v>
      </c>
      <c r="H483">
        <v>1.936918694757532</v>
      </c>
      <c r="I483">
        <v>17443.78524</v>
      </c>
      <c r="J483">
        <v>31.43024367625225</v>
      </c>
      <c r="K483">
        <v>1.008811820186215</v>
      </c>
      <c r="L483">
        <v>0.557256354882825</v>
      </c>
      <c r="M483">
        <v>64.12</v>
      </c>
      <c r="N483">
        <v>45.03</v>
      </c>
    </row>
    <row r="484" spans="1:14">
      <c r="A484" s="1" t="s">
        <v>496</v>
      </c>
      <c r="B484">
        <f>HYPERLINK("https://www.suredividend.com/sure-analysis-research-database/","Cai International Inc")</f>
        <v>0</v>
      </c>
      <c r="C484" t="s">
        <v>3220</v>
      </c>
      <c r="D484">
        <v>56</v>
      </c>
      <c r="E484">
        <v>0.020353586160917</v>
      </c>
      <c r="H484">
        <v>1.139800825011352</v>
      </c>
      <c r="I484">
        <v>972.022744</v>
      </c>
      <c r="J484">
        <v>7.46246012821005</v>
      </c>
      <c r="K484">
        <v>0.1550749421784152</v>
      </c>
      <c r="L484">
        <v>0.271361684984798</v>
      </c>
      <c r="M484">
        <v>56.13</v>
      </c>
      <c r="N484">
        <v>29.43</v>
      </c>
    </row>
    <row r="485" spans="1:14">
      <c r="A485" s="1" t="s">
        <v>497</v>
      </c>
      <c r="B485">
        <f>HYPERLINK("https://www.suredividend.com/sure-analysis-research-database/","Cheesecake Factory Inc.")</f>
        <v>0</v>
      </c>
      <c r="C485" t="s">
        <v>3223</v>
      </c>
      <c r="D485">
        <v>36.77</v>
      </c>
      <c r="E485">
        <v>0</v>
      </c>
      <c r="H485">
        <v>0</v>
      </c>
      <c r="I485">
        <v>1939.662654</v>
      </c>
      <c r="J485">
        <v>39.47940513240113</v>
      </c>
      <c r="K485">
        <v>0</v>
      </c>
      <c r="L485">
        <v>1.270530533921558</v>
      </c>
      <c r="M485">
        <v>65.81</v>
      </c>
      <c r="N485">
        <v>31.43</v>
      </c>
    </row>
    <row r="486" spans="1:14">
      <c r="A486" s="1" t="s">
        <v>498</v>
      </c>
      <c r="B486">
        <f>HYPERLINK("https://www.suredividend.com/sure-analysis-research-database/","Caleres Inc")</f>
        <v>0</v>
      </c>
      <c r="C486" t="s">
        <v>3223</v>
      </c>
      <c r="D486">
        <v>21.45</v>
      </c>
      <c r="E486">
        <v>0.012987632035337</v>
      </c>
      <c r="F486">
        <v>0</v>
      </c>
      <c r="G486">
        <v>0</v>
      </c>
      <c r="H486">
        <v>0.278584707157988</v>
      </c>
      <c r="I486">
        <v>814.456371</v>
      </c>
      <c r="J486">
        <v>6.16839500518794</v>
      </c>
      <c r="K486">
        <v>0.07825413122415394</v>
      </c>
      <c r="L486">
        <v>1.743295262453676</v>
      </c>
      <c r="M486">
        <v>29.07</v>
      </c>
      <c r="N486">
        <v>17.76</v>
      </c>
    </row>
    <row r="487" spans="1:14">
      <c r="A487" s="1" t="s">
        <v>499</v>
      </c>
      <c r="B487">
        <f>HYPERLINK("https://www.suredividend.com/sure-analysis-research-database/","Calithera Biosciences Inc")</f>
        <v>0</v>
      </c>
      <c r="C487" t="s">
        <v>3217</v>
      </c>
      <c r="D487">
        <v>0.31</v>
      </c>
      <c r="E487">
        <v>0</v>
      </c>
      <c r="H487">
        <v>0</v>
      </c>
      <c r="I487">
        <v>23.22708</v>
      </c>
      <c r="J487">
        <v>0</v>
      </c>
      <c r="K487" t="s">
        <v>3219</v>
      </c>
      <c r="L487">
        <v>1.688680821450385</v>
      </c>
      <c r="M487">
        <v>2.59</v>
      </c>
      <c r="N487">
        <v>0.31</v>
      </c>
    </row>
    <row r="488" spans="1:14">
      <c r="A488" s="1" t="s">
        <v>500</v>
      </c>
      <c r="B488">
        <f>HYPERLINK("https://www.suredividend.com/sure-analysis-research-database/","Cal-Maine Foods, Inc.")</f>
        <v>0</v>
      </c>
      <c r="C488" t="s">
        <v>3225</v>
      </c>
      <c r="D488">
        <v>54.36</v>
      </c>
      <c r="E488">
        <v>0.0006254599309730001</v>
      </c>
      <c r="H488">
        <v>0.034000001847743</v>
      </c>
      <c r="I488">
        <v>2399.465784</v>
      </c>
      <c r="J488">
        <v>698.9413876725895</v>
      </c>
      <c r="K488">
        <v>0.4829545717008949</v>
      </c>
      <c r="L488">
        <v>0.121035504365359</v>
      </c>
      <c r="M488">
        <v>59.95</v>
      </c>
      <c r="N488">
        <v>33.85</v>
      </c>
    </row>
    <row r="489" spans="1:14">
      <c r="A489" s="1" t="s">
        <v>501</v>
      </c>
      <c r="B489">
        <f>HYPERLINK("https://www.suredividend.com/sure-analysis-research-database/","Calix Inc")</f>
        <v>0</v>
      </c>
      <c r="C489" t="s">
        <v>3222</v>
      </c>
      <c r="D489">
        <v>38.68</v>
      </c>
      <c r="E489">
        <v>0</v>
      </c>
      <c r="H489">
        <v>0</v>
      </c>
      <c r="I489">
        <v>2499.206588</v>
      </c>
      <c r="J489">
        <v>10.48421661243907</v>
      </c>
      <c r="K489">
        <v>0</v>
      </c>
      <c r="L489">
        <v>2.401842262597577</v>
      </c>
      <c r="M489">
        <v>80.95</v>
      </c>
      <c r="N489">
        <v>36.5</v>
      </c>
    </row>
    <row r="490" spans="1:14">
      <c r="A490" s="1" t="s">
        <v>502</v>
      </c>
      <c r="B490">
        <f>HYPERLINK("https://www.suredividend.com/sure-analysis-research-database/","Calamp Corp.")</f>
        <v>0</v>
      </c>
      <c r="C490" t="s">
        <v>3222</v>
      </c>
      <c r="D490">
        <v>6.09</v>
      </c>
      <c r="E490">
        <v>0</v>
      </c>
      <c r="H490">
        <v>0</v>
      </c>
      <c r="I490">
        <v>73.17889599999999</v>
      </c>
      <c r="J490" t="s">
        <v>3219</v>
      </c>
      <c r="K490">
        <v>-0</v>
      </c>
      <c r="L490">
        <v>1.115740189209599</v>
      </c>
      <c r="M490">
        <v>14.51</v>
      </c>
      <c r="N490">
        <v>4.99</v>
      </c>
    </row>
    <row r="491" spans="1:14">
      <c r="A491" s="1" t="s">
        <v>503</v>
      </c>
      <c r="B491">
        <f>HYPERLINK("https://www.suredividend.com/sure-analysis-research-database/","Capricor Therapeutics Inc")</f>
        <v>0</v>
      </c>
      <c r="C491" t="s">
        <v>3217</v>
      </c>
      <c r="D491">
        <v>3.29</v>
      </c>
      <c r="E491">
        <v>0</v>
      </c>
      <c r="H491">
        <v>0</v>
      </c>
      <c r="I491">
        <v>80.026473</v>
      </c>
      <c r="J491">
        <v>0</v>
      </c>
      <c r="K491" t="s">
        <v>3219</v>
      </c>
      <c r="L491">
        <v>0.854639645095815</v>
      </c>
      <c r="M491">
        <v>6.22</v>
      </c>
      <c r="N491">
        <v>2.56</v>
      </c>
    </row>
    <row r="492" spans="1:14">
      <c r="A492" s="1" t="s">
        <v>504</v>
      </c>
      <c r="B492">
        <f>HYPERLINK("https://www.suredividend.com/sure-analysis-research-database/","Avis Budget Group Inc")</f>
        <v>0</v>
      </c>
      <c r="C492" t="s">
        <v>3220</v>
      </c>
      <c r="D492">
        <v>265.42</v>
      </c>
      <c r="E492">
        <v>0</v>
      </c>
      <c r="H492">
        <v>0</v>
      </c>
      <c r="I492">
        <v>13690.607521</v>
      </c>
      <c r="J492">
        <v>10.65416927702724</v>
      </c>
      <c r="K492">
        <v>0</v>
      </c>
      <c r="L492">
        <v>2.351483561469259</v>
      </c>
      <c r="M492">
        <v>545.11</v>
      </c>
      <c r="N492">
        <v>65.87</v>
      </c>
    </row>
    <row r="493" spans="1:14">
      <c r="A493" s="1" t="s">
        <v>505</v>
      </c>
      <c r="B493">
        <f>HYPERLINK("https://www.suredividend.com/sure-analysis-research-database/","Cara Therapeutics Inc")</f>
        <v>0</v>
      </c>
      <c r="C493" t="s">
        <v>3217</v>
      </c>
      <c r="D493">
        <v>13.84</v>
      </c>
      <c r="E493">
        <v>0</v>
      </c>
      <c r="H493">
        <v>0</v>
      </c>
      <c r="I493">
        <v>740.174438</v>
      </c>
      <c r="J493" t="s">
        <v>3219</v>
      </c>
      <c r="K493">
        <v>-0</v>
      </c>
      <c r="L493">
        <v>0.8367322952107931</v>
      </c>
      <c r="M493">
        <v>28.72</v>
      </c>
      <c r="N493">
        <v>9.630000000000001</v>
      </c>
    </row>
    <row r="494" spans="1:14">
      <c r="A494" s="1" t="s">
        <v>506</v>
      </c>
      <c r="B494">
        <f>HYPERLINK("https://www.suredividend.com/sure-analysis-research-database/","Carter Bankshares Inc")</f>
        <v>0</v>
      </c>
      <c r="C494" t="s">
        <v>3221</v>
      </c>
      <c r="D494">
        <v>17.08</v>
      </c>
      <c r="E494">
        <v>0</v>
      </c>
      <c r="H494">
        <v>0</v>
      </c>
      <c r="I494">
        <v>433.114538</v>
      </c>
      <c r="J494">
        <v>0</v>
      </c>
      <c r="K494" t="s">
        <v>3219</v>
      </c>
      <c r="L494">
        <v>0.874955179686799</v>
      </c>
      <c r="M494">
        <v>17.8</v>
      </c>
      <c r="N494">
        <v>10.02</v>
      </c>
    </row>
    <row r="495" spans="1:14">
      <c r="A495" s="1" t="s">
        <v>507</v>
      </c>
      <c r="B495">
        <f>HYPERLINK("https://www.suredividend.com/sure-analysis-research-database/","CarGurus Inc")</f>
        <v>0</v>
      </c>
      <c r="C495" t="s">
        <v>3228</v>
      </c>
      <c r="D495">
        <v>42.87</v>
      </c>
      <c r="E495">
        <v>0</v>
      </c>
      <c r="H495">
        <v>0</v>
      </c>
      <c r="I495">
        <v>4375.570492</v>
      </c>
      <c r="J495" t="s">
        <v>3219</v>
      </c>
      <c r="K495">
        <v>-0</v>
      </c>
      <c r="L495">
        <v>2.060858718209187</v>
      </c>
      <c r="M495">
        <v>50.03</v>
      </c>
      <c r="N495">
        <v>23.15</v>
      </c>
    </row>
    <row r="496" spans="1:14">
      <c r="A496" s="1" t="s">
        <v>508</v>
      </c>
      <c r="B496">
        <f>HYPERLINK("https://www.suredividend.com/sure-analysis-research-database/","Cars.com")</f>
        <v>0</v>
      </c>
      <c r="C496" t="s">
        <v>3223</v>
      </c>
      <c r="D496">
        <v>12.82</v>
      </c>
      <c r="E496">
        <v>0</v>
      </c>
      <c r="H496">
        <v>0</v>
      </c>
      <c r="I496">
        <v>886.763874</v>
      </c>
      <c r="J496">
        <v>114.8806677263894</v>
      </c>
      <c r="K496">
        <v>0</v>
      </c>
      <c r="L496">
        <v>1.391230210888747</v>
      </c>
      <c r="M496">
        <v>19.09</v>
      </c>
      <c r="N496">
        <v>11.53</v>
      </c>
    </row>
    <row r="497" spans="1:14">
      <c r="A497" s="1" t="s">
        <v>509</v>
      </c>
      <c r="B497">
        <f>HYPERLINK("https://www.suredividend.com/sure-analysis-research-database/","Casa Systems Inc")</f>
        <v>0</v>
      </c>
      <c r="C497" t="s">
        <v>3222</v>
      </c>
      <c r="D497">
        <v>3.89</v>
      </c>
      <c r="E497">
        <v>0</v>
      </c>
      <c r="H497">
        <v>0</v>
      </c>
      <c r="I497">
        <v>330.003587</v>
      </c>
      <c r="J497">
        <v>102.9010249547864</v>
      </c>
      <c r="K497">
        <v>0</v>
      </c>
      <c r="L497">
        <v>1.53031734249768</v>
      </c>
      <c r="M497">
        <v>9.75</v>
      </c>
      <c r="N497">
        <v>3.68</v>
      </c>
    </row>
    <row r="498" spans="1:14">
      <c r="A498" s="1" t="s">
        <v>510</v>
      </c>
      <c r="B498">
        <f>HYPERLINK("https://www.suredividend.com/sure-analysis-research-database/","Meta Financial Group Inc.")</f>
        <v>0</v>
      </c>
      <c r="C498" t="s">
        <v>3221</v>
      </c>
      <c r="D498">
        <v>48.18</v>
      </c>
      <c r="E498">
        <v>0.004145105914797</v>
      </c>
      <c r="F498">
        <v>0</v>
      </c>
      <c r="G498">
        <v>-0.1739519118078667</v>
      </c>
      <c r="H498">
        <v>0.199711202974963</v>
      </c>
      <c r="I498">
        <v>1438.168327</v>
      </c>
      <c r="J498">
        <v>8.366405231823524</v>
      </c>
      <c r="K498">
        <v>0.03617956575633388</v>
      </c>
      <c r="L498">
        <v>1.277301134952102</v>
      </c>
      <c r="M498">
        <v>65.83</v>
      </c>
      <c r="N498">
        <v>43.47</v>
      </c>
    </row>
    <row r="499" spans="1:14">
      <c r="A499" s="1" t="s">
        <v>511</v>
      </c>
      <c r="B499">
        <f>HYPERLINK("https://www.suredividend.com/sure-analysis-research-database/","CASI Pharmaceuticals Inc")</f>
        <v>0</v>
      </c>
      <c r="C499" t="s">
        <v>3217</v>
      </c>
      <c r="D499">
        <v>0.6205000000000001</v>
      </c>
      <c r="E499">
        <v>0</v>
      </c>
      <c r="H499">
        <v>0</v>
      </c>
      <c r="I499">
        <v>84.753987</v>
      </c>
      <c r="J499" t="s">
        <v>3219</v>
      </c>
      <c r="K499">
        <v>-0</v>
      </c>
      <c r="L499">
        <v>1.144506156711172</v>
      </c>
      <c r="M499">
        <v>1.99</v>
      </c>
      <c r="N499">
        <v>0.5625</v>
      </c>
    </row>
    <row r="500" spans="1:14">
      <c r="A500" s="1" t="s">
        <v>512</v>
      </c>
      <c r="B500">
        <f>HYPERLINK("https://www.suredividend.com/sure-analysis-research-database/","Cass Information Systems Inc")</f>
        <v>0</v>
      </c>
      <c r="C500" t="s">
        <v>3220</v>
      </c>
      <c r="D500">
        <v>39.95</v>
      </c>
      <c r="E500">
        <v>0.027258737667123</v>
      </c>
      <c r="F500">
        <v>0.03703703703703698</v>
      </c>
      <c r="G500">
        <v>0.04012620718096094</v>
      </c>
      <c r="H500">
        <v>1.088986569801576</v>
      </c>
      <c r="I500">
        <v>545.7175590000001</v>
      </c>
      <c r="J500">
        <v>19.0783652391274</v>
      </c>
      <c r="K500">
        <v>0.544493284900788</v>
      </c>
      <c r="L500">
        <v>0.5611218777132311</v>
      </c>
      <c r="M500">
        <v>47.26</v>
      </c>
      <c r="N500">
        <v>35.96</v>
      </c>
    </row>
    <row r="501" spans="1:14">
      <c r="A501" s="1" t="s">
        <v>513</v>
      </c>
      <c r="B501">
        <f>HYPERLINK("https://www.suredividend.com/sure-analysis-research-database/","Casey`s General Stores, Inc.")</f>
        <v>0</v>
      </c>
      <c r="C501" t="s">
        <v>3225</v>
      </c>
      <c r="D501">
        <v>209.24</v>
      </c>
      <c r="E501">
        <v>0.006577296769594</v>
      </c>
      <c r="F501">
        <v>0.02941176470588247</v>
      </c>
      <c r="G501">
        <v>0.07837884744794921</v>
      </c>
      <c r="H501">
        <v>1.376233576069877</v>
      </c>
      <c r="I501">
        <v>7765.203146</v>
      </c>
      <c r="J501">
        <v>24.1371262055503</v>
      </c>
      <c r="K501">
        <v>0.1600271600081252</v>
      </c>
      <c r="L501">
        <v>0.777298317916556</v>
      </c>
      <c r="M501">
        <v>227.93</v>
      </c>
      <c r="N501">
        <v>170.82</v>
      </c>
    </row>
    <row r="502" spans="1:14">
      <c r="A502" s="1" t="s">
        <v>514</v>
      </c>
      <c r="B502">
        <f>HYPERLINK("https://www.suredividend.com/sure-analysis-CAT/","Caterpillar Inc.")</f>
        <v>0</v>
      </c>
      <c r="C502" t="s">
        <v>3220</v>
      </c>
      <c r="D502">
        <v>227.81</v>
      </c>
      <c r="E502">
        <v>0.01948992581537246</v>
      </c>
      <c r="F502">
        <v>0.07766990291262132</v>
      </c>
      <c r="G502">
        <v>0.07588648169622769</v>
      </c>
      <c r="H502">
        <v>4.327170518873987</v>
      </c>
      <c r="I502">
        <v>122080.656898</v>
      </c>
      <c r="J502">
        <v>18.81347771587455</v>
      </c>
      <c r="K502">
        <v>0.3657794183325433</v>
      </c>
      <c r="L502">
        <v>0.59181900367336</v>
      </c>
      <c r="M502">
        <v>242.85</v>
      </c>
      <c r="N502">
        <v>179.67</v>
      </c>
    </row>
    <row r="503" spans="1:14">
      <c r="A503" s="1" t="s">
        <v>515</v>
      </c>
      <c r="B503">
        <f>HYPERLINK("https://www.suredividend.com/sure-analysis-research-database/","Cambridge Bancorp")</f>
        <v>0</v>
      </c>
      <c r="C503" t="s">
        <v>3221</v>
      </c>
      <c r="D503">
        <v>79.81999999999999</v>
      </c>
      <c r="E503">
        <v>0.030630379707808</v>
      </c>
      <c r="F503">
        <v>0.1636363636363636</v>
      </c>
      <c r="G503">
        <v>0.06827835368843793</v>
      </c>
      <c r="H503">
        <v>2.444916908277294</v>
      </c>
      <c r="I503">
        <v>558.858772</v>
      </c>
      <c r="J503">
        <v>0</v>
      </c>
      <c r="K503" t="s">
        <v>3219</v>
      </c>
      <c r="L503">
        <v>0.6290433232945221</v>
      </c>
      <c r="M503">
        <v>96.88</v>
      </c>
      <c r="N503">
        <v>77.27</v>
      </c>
    </row>
    <row r="504" spans="1:14">
      <c r="A504" s="1" t="s">
        <v>516</v>
      </c>
      <c r="B504">
        <f>HYPERLINK("https://www.suredividend.com/sure-analysis-research-database/","Cardtronics plc")</f>
        <v>0</v>
      </c>
      <c r="C504" t="s">
        <v>3220</v>
      </c>
      <c r="D504">
        <v>39.01</v>
      </c>
      <c r="E504">
        <v>0</v>
      </c>
      <c r="H504">
        <v>0</v>
      </c>
      <c r="I504">
        <v>0</v>
      </c>
      <c r="J504">
        <v>0</v>
      </c>
      <c r="K504">
        <v>0</v>
      </c>
    </row>
    <row r="505" spans="1:14">
      <c r="A505" s="1" t="s">
        <v>517</v>
      </c>
      <c r="B505">
        <f>HYPERLINK("https://www.suredividend.com/sure-analysis-research-database/","Cato Corp.")</f>
        <v>0</v>
      </c>
      <c r="C505" t="s">
        <v>3223</v>
      </c>
      <c r="D505">
        <v>14.48</v>
      </c>
      <c r="E505">
        <v>0.042195654261965</v>
      </c>
      <c r="H505">
        <v>0.6109930737132531</v>
      </c>
      <c r="I505">
        <v>285.145749</v>
      </c>
      <c r="J505">
        <v>8.168726882287221</v>
      </c>
      <c r="K505">
        <v>0.3702988325534867</v>
      </c>
      <c r="L505">
        <v>1.076347645920989</v>
      </c>
      <c r="M505">
        <v>19.46</v>
      </c>
      <c r="N505">
        <v>11.98</v>
      </c>
    </row>
    <row r="506" spans="1:14">
      <c r="A506" s="1" t="s">
        <v>518</v>
      </c>
      <c r="B506">
        <f>HYPERLINK("https://www.suredividend.com/sure-analysis-research-database/","Cathay General Bancorp")</f>
        <v>0</v>
      </c>
      <c r="C506" t="s">
        <v>3221</v>
      </c>
      <c r="D506">
        <v>42.25</v>
      </c>
      <c r="E506">
        <v>0.030546565000588</v>
      </c>
      <c r="F506">
        <v>0.09677419354838723</v>
      </c>
      <c r="G506">
        <v>0.1011637965442986</v>
      </c>
      <c r="H506">
        <v>1.290592371274872</v>
      </c>
      <c r="I506">
        <v>3172.056401</v>
      </c>
      <c r="J506">
        <v>10.63363682853733</v>
      </c>
      <c r="K506">
        <v>0.3396295713881242</v>
      </c>
      <c r="L506">
        <v>1.091944790274507</v>
      </c>
      <c r="M506">
        <v>48.52</v>
      </c>
      <c r="N506">
        <v>34.97</v>
      </c>
    </row>
    <row r="507" spans="1:14">
      <c r="A507" s="1" t="s">
        <v>519</v>
      </c>
      <c r="B507">
        <f>HYPERLINK("https://www.suredividend.com/sure-analysis-CB/","Chubb Limited")</f>
        <v>0</v>
      </c>
      <c r="C507" t="s">
        <v>3221</v>
      </c>
      <c r="D507">
        <v>210.52</v>
      </c>
      <c r="E507">
        <v>0.01520045601368041</v>
      </c>
      <c r="F507">
        <v>0.02564102564102577</v>
      </c>
      <c r="G507">
        <v>0.02415650466561892</v>
      </c>
      <c r="H507">
        <v>3.180850624190754</v>
      </c>
      <c r="I507">
        <v>89183.832826</v>
      </c>
      <c r="J507">
        <v>10.44429474479447</v>
      </c>
      <c r="K507">
        <v>0.1650674947685913</v>
      </c>
      <c r="L507">
        <v>0.7904323192097811</v>
      </c>
      <c r="M507">
        <v>218.99</v>
      </c>
      <c r="N507">
        <v>153.87</v>
      </c>
    </row>
    <row r="508" spans="1:14">
      <c r="A508" s="1" t="s">
        <v>520</v>
      </c>
      <c r="B508">
        <f>HYPERLINK("https://www.suredividend.com/sure-analysis-research-database/","Colony Bankcorp, Inc.")</f>
        <v>0</v>
      </c>
      <c r="C508" t="s">
        <v>3221</v>
      </c>
      <c r="D508">
        <v>17.65</v>
      </c>
      <c r="E508">
        <v>0.023307987358207</v>
      </c>
      <c r="F508">
        <v>0.04878048780487787</v>
      </c>
      <c r="G508">
        <v>0.3387321435503967</v>
      </c>
      <c r="H508">
        <v>0.4113859768723611</v>
      </c>
      <c r="I508">
        <v>310.398777</v>
      </c>
      <c r="J508">
        <v>0</v>
      </c>
      <c r="K508" t="s">
        <v>3219</v>
      </c>
      <c r="M508">
        <v>19.36</v>
      </c>
      <c r="N508">
        <v>14.16</v>
      </c>
    </row>
    <row r="509" spans="1:14">
      <c r="A509" s="1" t="s">
        <v>521</v>
      </c>
      <c r="B509">
        <f>HYPERLINK("https://www.suredividend.com/sure-analysis-research-database/","Cymabay Therapeutics Inc")</f>
        <v>0</v>
      </c>
      <c r="C509" t="s">
        <v>3217</v>
      </c>
      <c r="D509">
        <v>3.1</v>
      </c>
      <c r="E509">
        <v>0</v>
      </c>
      <c r="H509">
        <v>0</v>
      </c>
      <c r="I509">
        <v>262.501611</v>
      </c>
      <c r="J509">
        <v>0</v>
      </c>
      <c r="K509" t="s">
        <v>3219</v>
      </c>
      <c r="L509">
        <v>0.850432455364687</v>
      </c>
      <c r="M509">
        <v>5.06</v>
      </c>
      <c r="N509">
        <v>2.67</v>
      </c>
    </row>
    <row r="510" spans="1:14">
      <c r="A510" s="1" t="s">
        <v>522</v>
      </c>
      <c r="B510">
        <f>HYPERLINK("https://www.suredividend.com/sure-analysis-research-database/","Cincinnati Bell, Inc.")</f>
        <v>0</v>
      </c>
      <c r="C510" t="s">
        <v>3228</v>
      </c>
      <c r="D510">
        <v>15.48</v>
      </c>
      <c r="E510">
        <v>0</v>
      </c>
      <c r="H510">
        <v>0</v>
      </c>
      <c r="I510">
        <v>788.250052</v>
      </c>
      <c r="J510" t="s">
        <v>3219</v>
      </c>
      <c r="K510">
        <v>-0</v>
      </c>
      <c r="L510">
        <v>0.024309038434413</v>
      </c>
      <c r="M510">
        <v>15.51</v>
      </c>
      <c r="N510">
        <v>14.96</v>
      </c>
    </row>
    <row r="511" spans="1:14">
      <c r="A511" s="1" t="s">
        <v>523</v>
      </c>
      <c r="B511">
        <f>HYPERLINK("https://www.suredividend.com/sure-analysis-research-database/","CB Financial Services Inc")</f>
        <v>0</v>
      </c>
      <c r="C511" t="s">
        <v>3221</v>
      </c>
      <c r="D511">
        <v>22.7</v>
      </c>
      <c r="E511">
        <v>0.041891439879676</v>
      </c>
      <c r="F511">
        <v>0</v>
      </c>
      <c r="G511">
        <v>0.01755457717558762</v>
      </c>
      <c r="H511">
        <v>0.9509356852686671</v>
      </c>
      <c r="I511">
        <v>117.061562</v>
      </c>
      <c r="J511">
        <v>0</v>
      </c>
      <c r="K511" t="s">
        <v>3219</v>
      </c>
      <c r="M511">
        <v>26.71</v>
      </c>
      <c r="N511">
        <v>20.31</v>
      </c>
    </row>
    <row r="512" spans="1:14">
      <c r="A512" s="1" t="s">
        <v>524</v>
      </c>
      <c r="B512">
        <f>HYPERLINK("https://www.suredividend.com/sure-analysis-research-database/","Catalyst Biosciences Inc")</f>
        <v>0</v>
      </c>
      <c r="C512" t="s">
        <v>3217</v>
      </c>
      <c r="D512">
        <v>0.5425</v>
      </c>
      <c r="E512">
        <v>0</v>
      </c>
      <c r="H512">
        <v>0</v>
      </c>
      <c r="I512">
        <v>17.039766</v>
      </c>
      <c r="J512" t="s">
        <v>3219</v>
      </c>
      <c r="K512">
        <v>-0</v>
      </c>
      <c r="L512">
        <v>0.9189900336934861</v>
      </c>
      <c r="M512">
        <v>5.47</v>
      </c>
      <c r="N512">
        <v>0.5</v>
      </c>
    </row>
    <row r="513" spans="1:14">
      <c r="A513" s="1" t="s">
        <v>525</v>
      </c>
      <c r="B513">
        <f>HYPERLINK("https://www.suredividend.com/sure-analysis-research-database/","CBL&amp; Associates Properties, Inc.")</f>
        <v>0</v>
      </c>
      <c r="C513" t="s">
        <v>3224</v>
      </c>
      <c r="D513">
        <v>31.97</v>
      </c>
      <c r="E513">
        <v>0</v>
      </c>
      <c r="H513">
        <v>0</v>
      </c>
      <c r="I513">
        <v>1016.88504</v>
      </c>
      <c r="J513" t="s">
        <v>3219</v>
      </c>
      <c r="K513">
        <v>-0</v>
      </c>
      <c r="M513">
        <v>43.5</v>
      </c>
      <c r="N513">
        <v>25.96</v>
      </c>
    </row>
    <row r="514" spans="1:14">
      <c r="A514" s="1" t="s">
        <v>526</v>
      </c>
      <c r="B514">
        <f>HYPERLINK("https://www.suredividend.com/sure-analysis-research-database/","Cellular Biomedicine Group Inc")</f>
        <v>0</v>
      </c>
      <c r="C514" t="s">
        <v>3217</v>
      </c>
      <c r="D514">
        <v>19.75</v>
      </c>
      <c r="E514">
        <v>0</v>
      </c>
      <c r="H514">
        <v>0</v>
      </c>
      <c r="I514">
        <v>0</v>
      </c>
      <c r="J514">
        <v>0</v>
      </c>
      <c r="K514" t="s">
        <v>3219</v>
      </c>
    </row>
    <row r="515" spans="1:14">
      <c r="A515" s="1" t="s">
        <v>527</v>
      </c>
      <c r="B515">
        <f>HYPERLINK("https://www.suredividend.com/sure-analysis-research-database/","Cboe Global Markets Inc.")</f>
        <v>0</v>
      </c>
      <c r="C515" t="s">
        <v>3221</v>
      </c>
      <c r="D515">
        <v>117.33</v>
      </c>
      <c r="E515">
        <v>0.015762533950629</v>
      </c>
      <c r="F515">
        <v>0.1428571428571428</v>
      </c>
      <c r="G515">
        <v>0.1393581040567025</v>
      </c>
      <c r="H515">
        <v>1.849418108427371</v>
      </c>
      <c r="I515">
        <v>12457.155715</v>
      </c>
      <c r="J515">
        <v>23.62441819611226</v>
      </c>
      <c r="K515">
        <v>0.3758979895177584</v>
      </c>
      <c r="L515">
        <v>0.60236521231184</v>
      </c>
      <c r="M515">
        <v>137.39</v>
      </c>
      <c r="N515">
        <v>98.98999999999999</v>
      </c>
    </row>
    <row r="516" spans="1:14">
      <c r="A516" s="1" t="s">
        <v>528</v>
      </c>
      <c r="B516">
        <f>HYPERLINK("https://www.suredividend.com/sure-analysis-research-database/","CBRE Group Inc")</f>
        <v>0</v>
      </c>
      <c r="C516" t="s">
        <v>3224</v>
      </c>
      <c r="D516">
        <v>85.56</v>
      </c>
      <c r="E516">
        <v>0</v>
      </c>
      <c r="H516">
        <v>0</v>
      </c>
      <c r="I516">
        <v>28291.921995</v>
      </c>
      <c r="J516">
        <v>15.40472749532554</v>
      </c>
      <c r="K516">
        <v>0</v>
      </c>
      <c r="L516">
        <v>1.184986633186636</v>
      </c>
      <c r="M516">
        <v>111</v>
      </c>
      <c r="N516">
        <v>79.84</v>
      </c>
    </row>
    <row r="517" spans="1:14">
      <c r="A517" s="1" t="s">
        <v>529</v>
      </c>
      <c r="B517">
        <f>HYPERLINK("https://www.suredividend.com/sure-analysis-CBRL/","Cracker Barrel Old Country Store Inc")</f>
        <v>0</v>
      </c>
      <c r="C517" t="s">
        <v>3223</v>
      </c>
      <c r="D517">
        <v>118.49</v>
      </c>
      <c r="E517">
        <v>0.04388555996286607</v>
      </c>
      <c r="H517">
        <v>4.828021781960744</v>
      </c>
      <c r="I517">
        <v>2752.030019</v>
      </c>
      <c r="J517">
        <v>19.54108780314273</v>
      </c>
      <c r="K517">
        <v>0.8100707687853597</v>
      </c>
      <c r="L517">
        <v>1.169735931418906</v>
      </c>
      <c r="M517">
        <v>168.11</v>
      </c>
      <c r="N517">
        <v>106.06</v>
      </c>
    </row>
    <row r="518" spans="1:14">
      <c r="A518" s="1" t="s">
        <v>530</v>
      </c>
      <c r="B518">
        <f>HYPERLINK("https://www.suredividend.com/sure-analysis-CBSH/","Commerce Bancshares, Inc.")</f>
        <v>0</v>
      </c>
      <c r="C518" t="s">
        <v>3221</v>
      </c>
      <c r="D518">
        <v>70.34</v>
      </c>
      <c r="E518">
        <v>0.01492749502416833</v>
      </c>
      <c r="F518">
        <v>0.00952380952380949</v>
      </c>
      <c r="G518">
        <v>0.03326726610994291</v>
      </c>
      <c r="H518">
        <v>1.023665981993342</v>
      </c>
      <c r="I518">
        <v>8518.884153000001</v>
      </c>
      <c r="J518">
        <v>16.19809163129684</v>
      </c>
      <c r="K518">
        <v>0.237509508583142</v>
      </c>
      <c r="L518">
        <v>0.8405765485026481</v>
      </c>
      <c r="M518">
        <v>76.48</v>
      </c>
      <c r="N518">
        <v>61.57</v>
      </c>
    </row>
    <row r="519" spans="1:14">
      <c r="A519" s="1" t="s">
        <v>531</v>
      </c>
      <c r="B519">
        <f>HYPERLINK("https://www.suredividend.com/sure-analysis-research-database/","Cabot Corp.")</f>
        <v>0</v>
      </c>
      <c r="C519" t="s">
        <v>3218</v>
      </c>
      <c r="D519">
        <v>67.11</v>
      </c>
      <c r="E519">
        <v>0.021277797433485</v>
      </c>
      <c r="F519">
        <v>0.05714285714285694</v>
      </c>
      <c r="G519">
        <v>0.03270964718488734</v>
      </c>
      <c r="H519">
        <v>1.427952985761192</v>
      </c>
      <c r="I519">
        <v>3797.540886</v>
      </c>
      <c r="J519">
        <v>38.75041720622449</v>
      </c>
      <c r="K519">
        <v>0.8302052242797628</v>
      </c>
      <c r="L519">
        <v>1.128314148261905</v>
      </c>
      <c r="M519">
        <v>74.48999999999999</v>
      </c>
      <c r="N519">
        <v>47.05</v>
      </c>
    </row>
    <row r="520" spans="1:14">
      <c r="A520" s="1" t="s">
        <v>532</v>
      </c>
      <c r="B520">
        <f>HYPERLINK("https://www.suredividend.com/sure-analysis-research-database/","CBTX Inc")</f>
        <v>0</v>
      </c>
      <c r="C520" t="s">
        <v>3221</v>
      </c>
      <c r="D520">
        <v>28.78</v>
      </c>
      <c r="E520">
        <v>0.017949608889448</v>
      </c>
      <c r="H520">
        <v>0.51658974383832</v>
      </c>
      <c r="I520">
        <v>708.231536</v>
      </c>
      <c r="J520">
        <v>0</v>
      </c>
      <c r="K520" t="s">
        <v>3219</v>
      </c>
      <c r="L520">
        <v>0.6210534591747541</v>
      </c>
      <c r="M520">
        <v>32.66</v>
      </c>
      <c r="N520">
        <v>24.39</v>
      </c>
    </row>
    <row r="521" spans="1:14">
      <c r="A521" s="1" t="s">
        <v>533</v>
      </c>
      <c r="B521">
        <f>HYPERLINK("https://www.suredividend.com/sure-analysis-CBU/","Community Bank System, Inc.")</f>
        <v>0</v>
      </c>
      <c r="C521" t="s">
        <v>3221</v>
      </c>
      <c r="D521">
        <v>67.87</v>
      </c>
      <c r="E521">
        <v>0.02534256667157802</v>
      </c>
      <c r="F521">
        <v>0.02380952380952372</v>
      </c>
      <c r="G521">
        <v>0.06087373042094901</v>
      </c>
      <c r="H521">
        <v>1.694746751591654</v>
      </c>
      <c r="I521">
        <v>3658.974116</v>
      </c>
      <c r="J521">
        <v>19.33417939238781</v>
      </c>
      <c r="K521">
        <v>0.4869961929861075</v>
      </c>
      <c r="L521">
        <v>0.659427599054479</v>
      </c>
      <c r="M521">
        <v>80.19</v>
      </c>
      <c r="N521">
        <v>64.23</v>
      </c>
    </row>
    <row r="522" spans="1:14">
      <c r="A522" s="1" t="s">
        <v>534</v>
      </c>
      <c r="B522">
        <f>HYPERLINK("https://www.suredividend.com/sure-analysis-research-database/","Cbiz Inc")</f>
        <v>0</v>
      </c>
      <c r="C522" t="s">
        <v>3220</v>
      </c>
      <c r="D522">
        <v>41.64</v>
      </c>
      <c r="E522">
        <v>0</v>
      </c>
      <c r="H522">
        <v>0</v>
      </c>
      <c r="I522">
        <v>2172.594149</v>
      </c>
      <c r="J522">
        <v>30.64869650683482</v>
      </c>
      <c r="K522">
        <v>0</v>
      </c>
      <c r="L522">
        <v>0.793800879836942</v>
      </c>
      <c r="M522">
        <v>42.62</v>
      </c>
      <c r="N522">
        <v>30.68</v>
      </c>
    </row>
    <row r="523" spans="1:14">
      <c r="A523" s="1" t="s">
        <v>535</v>
      </c>
      <c r="B523">
        <f>HYPERLINK("https://www.suredividend.com/sure-analysis-CC/","Chemours Company")</f>
        <v>0</v>
      </c>
      <c r="C523" t="s">
        <v>3218</v>
      </c>
      <c r="D523">
        <v>33.8</v>
      </c>
      <c r="E523">
        <v>0.02958579881656805</v>
      </c>
      <c r="F523">
        <v>0</v>
      </c>
      <c r="G523">
        <v>0.5281421358157987</v>
      </c>
      <c r="H523">
        <v>0.9877292388447321</v>
      </c>
      <c r="I523">
        <v>5384.540468</v>
      </c>
      <c r="J523">
        <v>8.856152085197367</v>
      </c>
      <c r="K523">
        <v>0.2743692330124256</v>
      </c>
      <c r="L523">
        <v>1.601584325026264</v>
      </c>
      <c r="M523">
        <v>37.95</v>
      </c>
      <c r="N523">
        <v>22.56</v>
      </c>
    </row>
    <row r="524" spans="1:14">
      <c r="A524" s="1" t="s">
        <v>536</v>
      </c>
      <c r="B524">
        <f>HYPERLINK("https://www.suredividend.com/sure-analysis-research-database/","Capital City Bank Group, Inc.")</f>
        <v>0</v>
      </c>
      <c r="C524" t="s">
        <v>3221</v>
      </c>
      <c r="D524">
        <v>25</v>
      </c>
      <c r="E524">
        <v>0.024979364949567</v>
      </c>
      <c r="F524">
        <v>0.06666666666666665</v>
      </c>
      <c r="G524">
        <v>0.2619146889603865</v>
      </c>
      <c r="H524">
        <v>0.624484123739196</v>
      </c>
      <c r="I524">
        <v>423.543025</v>
      </c>
      <c r="J524">
        <v>12.68244774823332</v>
      </c>
      <c r="K524">
        <v>0.315396022090503</v>
      </c>
      <c r="L524">
        <v>0.564420411102881</v>
      </c>
      <c r="M524">
        <v>28.71</v>
      </c>
      <c r="N524">
        <v>21.76</v>
      </c>
    </row>
    <row r="525" spans="1:14">
      <c r="A525" s="1" t="s">
        <v>537</v>
      </c>
      <c r="B525">
        <f>HYPERLINK("https://www.suredividend.com/sure-analysis-research-database/","Chase Corp.")</f>
        <v>0</v>
      </c>
      <c r="C525" t="s">
        <v>3218</v>
      </c>
      <c r="D525">
        <v>87.28</v>
      </c>
      <c r="E525">
        <v>0.011457378551787</v>
      </c>
      <c r="H525">
        <v>1</v>
      </c>
      <c r="I525">
        <v>826.4445449999999</v>
      </c>
      <c r="J525">
        <v>0</v>
      </c>
      <c r="K525" t="s">
        <v>3219</v>
      </c>
      <c r="L525">
        <v>0.722634092319831</v>
      </c>
      <c r="M525">
        <v>119.24</v>
      </c>
      <c r="N525">
        <v>83.59</v>
      </c>
    </row>
    <row r="526" spans="1:14">
      <c r="A526" s="1" t="s">
        <v>538</v>
      </c>
      <c r="B526">
        <f>HYPERLINK("https://www.suredividend.com/sure-analysis-CCI/","Crown Castle International Corp")</f>
        <v>0</v>
      </c>
      <c r="C526" t="s">
        <v>3224</v>
      </c>
      <c r="D526">
        <v>192.68</v>
      </c>
      <c r="E526">
        <v>0.03051691924434295</v>
      </c>
      <c r="F526">
        <v>0.1052631578947367</v>
      </c>
      <c r="G526">
        <v>0.0912361530681538</v>
      </c>
      <c r="H526">
        <v>5.536343693020307</v>
      </c>
      <c r="I526">
        <v>83436.149108</v>
      </c>
      <c r="J526">
        <v>76.12787327408759</v>
      </c>
      <c r="K526">
        <v>2.188278139533718</v>
      </c>
      <c r="L526">
        <v>0.544431863672572</v>
      </c>
      <c r="M526">
        <v>208.09</v>
      </c>
      <c r="N526">
        <v>155.83</v>
      </c>
    </row>
    <row r="527" spans="1:14">
      <c r="A527" s="1" t="s">
        <v>539</v>
      </c>
      <c r="B527">
        <f>HYPERLINK("https://www.suredividend.com/sure-analysis-research-database/","Crown Holdings, Inc.")</f>
        <v>0</v>
      </c>
      <c r="C527" t="s">
        <v>3223</v>
      </c>
      <c r="D527">
        <v>118.93</v>
      </c>
      <c r="E527">
        <v>0.006875660708849001</v>
      </c>
      <c r="H527">
        <v>0.8177223281035091</v>
      </c>
      <c r="I527">
        <v>14699.232795</v>
      </c>
      <c r="J527" t="s">
        <v>3219</v>
      </c>
      <c r="K527" t="s">
        <v>3219</v>
      </c>
      <c r="L527">
        <v>0.601386594752787</v>
      </c>
      <c r="M527">
        <v>130.42</v>
      </c>
      <c r="N527">
        <v>94.72</v>
      </c>
    </row>
    <row r="528" spans="1:14">
      <c r="A528" s="1" t="s">
        <v>540</v>
      </c>
      <c r="B528">
        <f>HYPERLINK("https://www.suredividend.com/sure-analysis-research-database/","Carnival Corp.")</f>
        <v>0</v>
      </c>
      <c r="C528" t="s">
        <v>3223</v>
      </c>
      <c r="D528">
        <v>19.56</v>
      </c>
      <c r="E528">
        <v>0</v>
      </c>
      <c r="H528">
        <v>0</v>
      </c>
      <c r="I528">
        <v>21594.044713</v>
      </c>
      <c r="J528" t="s">
        <v>3219</v>
      </c>
      <c r="K528">
        <v>-0</v>
      </c>
      <c r="L528">
        <v>1.797669621576306</v>
      </c>
      <c r="M528">
        <v>31.52</v>
      </c>
      <c r="N528">
        <v>14.94</v>
      </c>
    </row>
    <row r="529" spans="1:14">
      <c r="A529" s="1" t="s">
        <v>541</v>
      </c>
      <c r="B529">
        <f>HYPERLINK("https://www.suredividend.com/sure-analysis-research-database/","CMC Materials Inc")</f>
        <v>0</v>
      </c>
      <c r="C529" t="s">
        <v>3222</v>
      </c>
      <c r="D529">
        <v>176.2</v>
      </c>
      <c r="E529">
        <v>0.010400597106204</v>
      </c>
      <c r="H529">
        <v>1.832585210113183</v>
      </c>
      <c r="I529">
        <v>5035.376996</v>
      </c>
      <c r="J529" t="s">
        <v>3219</v>
      </c>
      <c r="K529" t="s">
        <v>3219</v>
      </c>
      <c r="L529">
        <v>1.286387442890082</v>
      </c>
      <c r="M529">
        <v>196.03</v>
      </c>
      <c r="N529">
        <v>118.15</v>
      </c>
    </row>
    <row r="530" spans="1:14">
      <c r="A530" s="1" t="s">
        <v>542</v>
      </c>
      <c r="B530">
        <f>HYPERLINK("https://www.suredividend.com/sure-analysis-research-database/","CNB Financial Corp (PA)")</f>
        <v>0</v>
      </c>
      <c r="C530" t="s">
        <v>3221</v>
      </c>
      <c r="D530">
        <v>25</v>
      </c>
      <c r="E530">
        <v>0.027328229536991</v>
      </c>
      <c r="F530">
        <v>0.02941176470588247</v>
      </c>
      <c r="G530">
        <v>0.01183761651824167</v>
      </c>
      <c r="H530">
        <v>0.683205738424789</v>
      </c>
      <c r="I530">
        <v>422.773025</v>
      </c>
      <c r="J530">
        <v>7.943576434557138</v>
      </c>
      <c r="K530">
        <v>0.2162043476027813</v>
      </c>
      <c r="L530">
        <v>0.6567542459572691</v>
      </c>
      <c r="M530">
        <v>28.21</v>
      </c>
      <c r="N530">
        <v>21.64</v>
      </c>
    </row>
    <row r="531" spans="1:14">
      <c r="A531" s="1" t="s">
        <v>543</v>
      </c>
      <c r="B531">
        <f>HYPERLINK("https://www.suredividend.com/sure-analysis-research-database/","Clear Channel Outdoor Holdings Inc.")</f>
        <v>0</v>
      </c>
      <c r="C531" t="s">
        <v>3228</v>
      </c>
      <c r="D531">
        <v>3.2</v>
      </c>
      <c r="E531">
        <v>0</v>
      </c>
      <c r="H531">
        <v>0</v>
      </c>
      <c r="I531">
        <v>1508.311946</v>
      </c>
      <c r="J531" t="s">
        <v>3219</v>
      </c>
      <c r="K531">
        <v>-0</v>
      </c>
      <c r="L531">
        <v>1.455250985276396</v>
      </c>
      <c r="M531">
        <v>4.1</v>
      </c>
      <c r="N531">
        <v>1.88</v>
      </c>
    </row>
    <row r="532" spans="1:14">
      <c r="A532" s="1" t="s">
        <v>544</v>
      </c>
      <c r="B532">
        <f>HYPERLINK("https://www.suredividend.com/sure-analysis-research-database/","Cogent Communications Holdings Inc")</f>
        <v>0</v>
      </c>
      <c r="C532" t="s">
        <v>3228</v>
      </c>
      <c r="D532">
        <v>66.37</v>
      </c>
      <c r="E532">
        <v>0.04840280682517201</v>
      </c>
      <c r="F532">
        <v>0.1324503311258278</v>
      </c>
      <c r="G532">
        <v>0.1420962029012376</v>
      </c>
      <c r="H532">
        <v>3.212494288986725</v>
      </c>
      <c r="I532">
        <v>3184.708434</v>
      </c>
      <c r="J532">
        <v>66.09335755359552</v>
      </c>
      <c r="K532">
        <v>3.118926494161869</v>
      </c>
      <c r="L532">
        <v>0.760734126387948</v>
      </c>
      <c r="M532">
        <v>78.98</v>
      </c>
      <c r="N532">
        <v>56.46</v>
      </c>
    </row>
    <row r="533" spans="1:14">
      <c r="A533" s="1" t="s">
        <v>545</v>
      </c>
      <c r="B533">
        <f>HYPERLINK("https://www.suredividend.com/sure-analysis-research-database/","Cross Country Healthcares, Inc.")</f>
        <v>0</v>
      </c>
      <c r="C533" t="s">
        <v>3220</v>
      </c>
      <c r="D533">
        <v>20</v>
      </c>
      <c r="E533">
        <v>0</v>
      </c>
      <c r="H533">
        <v>0</v>
      </c>
      <c r="I533">
        <v>761.26198</v>
      </c>
      <c r="J533">
        <v>5.767048832593446</v>
      </c>
      <c r="K533">
        <v>0</v>
      </c>
      <c r="L533">
        <v>1.387127493936334</v>
      </c>
      <c r="M533">
        <v>30.4</v>
      </c>
      <c r="N533">
        <v>12.47</v>
      </c>
    </row>
    <row r="534" spans="1:14">
      <c r="A534" s="1" t="s">
        <v>546</v>
      </c>
      <c r="B534">
        <f>HYPERLINK("https://www.suredividend.com/sure-analysis-research-database/","Century Communities Inc")</f>
        <v>0</v>
      </c>
      <c r="C534" t="s">
        <v>3223</v>
      </c>
      <c r="D534">
        <v>50.83</v>
      </c>
      <c r="E534">
        <v>0.01274148863189</v>
      </c>
      <c r="H534">
        <v>0.6476498671589911</v>
      </c>
      <c r="I534">
        <v>1691.962554</v>
      </c>
      <c r="J534">
        <v>0</v>
      </c>
      <c r="K534" t="s">
        <v>3219</v>
      </c>
      <c r="L534">
        <v>1.793772747674183</v>
      </c>
      <c r="M534">
        <v>85.8</v>
      </c>
      <c r="N534">
        <v>46.63</v>
      </c>
    </row>
    <row r="535" spans="1:14">
      <c r="A535" s="1" t="s">
        <v>547</v>
      </c>
      <c r="B535">
        <f>HYPERLINK("https://www.suredividend.com/sure-analysis-research-database/","ChemoCentryx Inc")</f>
        <v>0</v>
      </c>
      <c r="C535" t="s">
        <v>3217</v>
      </c>
      <c r="D535">
        <v>21.54</v>
      </c>
      <c r="E535">
        <v>0</v>
      </c>
      <c r="H535">
        <v>0</v>
      </c>
      <c r="I535">
        <v>1505.646</v>
      </c>
      <c r="J535">
        <v>0</v>
      </c>
      <c r="K535" t="s">
        <v>3219</v>
      </c>
      <c r="M535">
        <v>49.6</v>
      </c>
      <c r="N535">
        <v>9.529999999999999</v>
      </c>
    </row>
    <row r="536" spans="1:14">
      <c r="A536" s="1" t="s">
        <v>548</v>
      </c>
      <c r="B536">
        <f>HYPERLINK("https://www.suredividend.com/sure-analysis-research-database/","Ceridian HCM Holding Inc.")</f>
        <v>0</v>
      </c>
      <c r="C536" t="s">
        <v>3222</v>
      </c>
      <c r="D536">
        <v>60.63</v>
      </c>
      <c r="E536">
        <v>0</v>
      </c>
      <c r="H536">
        <v>0</v>
      </c>
      <c r="I536">
        <v>9218.771735</v>
      </c>
      <c r="J536" t="s">
        <v>3219</v>
      </c>
      <c r="K536">
        <v>-0</v>
      </c>
      <c r="L536">
        <v>1.634571471080607</v>
      </c>
      <c r="M536">
        <v>130.37</v>
      </c>
      <c r="N536">
        <v>58.58</v>
      </c>
    </row>
    <row r="537" spans="1:14">
      <c r="A537" s="1" t="s">
        <v>549</v>
      </c>
      <c r="B537">
        <f>HYPERLINK("https://www.suredividend.com/sure-analysis-research-database/","Coeur Mining Inc")</f>
        <v>0</v>
      </c>
      <c r="C537" t="s">
        <v>3218</v>
      </c>
      <c r="D537">
        <v>5.27</v>
      </c>
      <c r="E537">
        <v>0</v>
      </c>
      <c r="H537">
        <v>0</v>
      </c>
      <c r="I537">
        <v>1471.556814</v>
      </c>
      <c r="J537" t="s">
        <v>3219</v>
      </c>
      <c r="K537">
        <v>-0</v>
      </c>
      <c r="L537">
        <v>0.800778996220265</v>
      </c>
      <c r="M537">
        <v>11.14</v>
      </c>
      <c r="N537">
        <v>4.12</v>
      </c>
    </row>
    <row r="538" spans="1:14">
      <c r="A538" s="1" t="s">
        <v>550</v>
      </c>
      <c r="B538">
        <f>HYPERLINK("https://www.suredividend.com/sure-analysis-research-database/","Centennial Resource Development Inc.")</f>
        <v>0</v>
      </c>
      <c r="C538" t="s">
        <v>3226</v>
      </c>
      <c r="D538">
        <v>9.4</v>
      </c>
      <c r="E538">
        <v>0</v>
      </c>
      <c r="H538">
        <v>0</v>
      </c>
      <c r="I538">
        <v>2677.215767</v>
      </c>
      <c r="J538">
        <v>19.37554381907002</v>
      </c>
      <c r="K538">
        <v>0</v>
      </c>
      <c r="L538">
        <v>1.302331386058667</v>
      </c>
      <c r="M538">
        <v>9.550000000000001</v>
      </c>
      <c r="N538">
        <v>3.69</v>
      </c>
    </row>
    <row r="539" spans="1:14">
      <c r="A539" s="1" t="s">
        <v>551</v>
      </c>
      <c r="B539">
        <f>HYPERLINK("https://www.suredividend.com/sure-analysis-research-database/","CDK Global Inc")</f>
        <v>0</v>
      </c>
      <c r="C539" t="s">
        <v>3222</v>
      </c>
      <c r="D539">
        <v>54.44</v>
      </c>
      <c r="E539">
        <v>0.01096360274848</v>
      </c>
      <c r="F539">
        <v>0</v>
      </c>
      <c r="G539">
        <v>0.01389421401466451</v>
      </c>
      <c r="H539">
        <v>0.596858533627282</v>
      </c>
      <c r="I539">
        <v>6357.728418</v>
      </c>
      <c r="J539">
        <v>6.079877993956201</v>
      </c>
      <c r="K539">
        <v>0.06940215507293977</v>
      </c>
      <c r="L539">
        <v>0.6191338695132701</v>
      </c>
      <c r="M539">
        <v>54.7</v>
      </c>
      <c r="N539">
        <v>38.41</v>
      </c>
    </row>
    <row r="540" spans="1:14">
      <c r="A540" s="1" t="s">
        <v>552</v>
      </c>
      <c r="B540">
        <f>HYPERLINK("https://www.suredividend.com/sure-analysis-research-database/","Cardlytics Inc")</f>
        <v>0</v>
      </c>
      <c r="C540" t="s">
        <v>3228</v>
      </c>
      <c r="D540">
        <v>47.19</v>
      </c>
      <c r="E540">
        <v>0</v>
      </c>
      <c r="H540">
        <v>0</v>
      </c>
      <c r="I540">
        <v>1594.153987</v>
      </c>
      <c r="J540" t="s">
        <v>3219</v>
      </c>
      <c r="K540">
        <v>-0</v>
      </c>
      <c r="L540">
        <v>2.349061625761057</v>
      </c>
      <c r="M540">
        <v>145</v>
      </c>
      <c r="N540">
        <v>42.11</v>
      </c>
    </row>
    <row r="541" spans="1:14">
      <c r="A541" s="1" t="s">
        <v>553</v>
      </c>
      <c r="B541">
        <f>HYPERLINK("https://www.suredividend.com/sure-analysis-research-database/","Avid Bioservices Inc")</f>
        <v>0</v>
      </c>
      <c r="C541" t="s">
        <v>3217</v>
      </c>
      <c r="D541">
        <v>18.31</v>
      </c>
      <c r="E541">
        <v>0</v>
      </c>
      <c r="H541">
        <v>0</v>
      </c>
      <c r="I541">
        <v>1130.539049</v>
      </c>
      <c r="J541">
        <v>107.7011573306659</v>
      </c>
      <c r="K541">
        <v>0</v>
      </c>
      <c r="L541">
        <v>1.519971552595474</v>
      </c>
      <c r="M541">
        <v>34.51</v>
      </c>
      <c r="N541">
        <v>16.03</v>
      </c>
    </row>
    <row r="542" spans="1:14">
      <c r="A542" s="1" t="s">
        <v>554</v>
      </c>
      <c r="B542">
        <f>HYPERLINK("https://www.suredividend.com/sure-analysis-research-database/","Caredx Inc")</f>
        <v>0</v>
      </c>
      <c r="C542" t="s">
        <v>3217</v>
      </c>
      <c r="D542">
        <v>35.41</v>
      </c>
      <c r="E542">
        <v>0</v>
      </c>
      <c r="H542">
        <v>0</v>
      </c>
      <c r="I542">
        <v>1877.620278</v>
      </c>
      <c r="J542">
        <v>0</v>
      </c>
      <c r="K542" t="s">
        <v>3219</v>
      </c>
      <c r="L542">
        <v>2.130993240972989</v>
      </c>
      <c r="M542">
        <v>96.88</v>
      </c>
      <c r="N542">
        <v>27.87</v>
      </c>
    </row>
    <row r="543" spans="1:14">
      <c r="A543" s="1" t="s">
        <v>555</v>
      </c>
      <c r="B543">
        <f>HYPERLINK("https://www.suredividend.com/sure-analysis-research-database/","Cadence Design Systems, Inc.")</f>
        <v>0</v>
      </c>
      <c r="C543" t="s">
        <v>3222</v>
      </c>
      <c r="D543">
        <v>149.8</v>
      </c>
      <c r="E543">
        <v>0</v>
      </c>
      <c r="H543">
        <v>0</v>
      </c>
      <c r="I543">
        <v>41502.293578</v>
      </c>
      <c r="J543">
        <v>59.6335877724853</v>
      </c>
      <c r="K543">
        <v>0</v>
      </c>
      <c r="L543">
        <v>1.623125792307401</v>
      </c>
      <c r="M543">
        <v>192.7</v>
      </c>
      <c r="N543">
        <v>118.11</v>
      </c>
    </row>
    <row r="544" spans="1:14">
      <c r="A544" s="1" t="s">
        <v>556</v>
      </c>
      <c r="B544">
        <f>HYPERLINK("https://www.suredividend.com/sure-analysis-research-database/","Cedar Realty Trust Inc")</f>
        <v>0</v>
      </c>
      <c r="C544" t="s">
        <v>3224</v>
      </c>
      <c r="D544">
        <v>28.3</v>
      </c>
      <c r="E544">
        <v>0.009286052082888002</v>
      </c>
      <c r="F544">
        <v>0</v>
      </c>
      <c r="G544">
        <v>0.05709686837461603</v>
      </c>
      <c r="H544">
        <v>0.262795273945741</v>
      </c>
      <c r="I544">
        <v>385.929506</v>
      </c>
      <c r="J544" t="s">
        <v>3219</v>
      </c>
      <c r="K544" t="s">
        <v>3219</v>
      </c>
      <c r="L544">
        <v>0.6130209722241521</v>
      </c>
      <c r="M544">
        <v>28.68</v>
      </c>
      <c r="N544">
        <v>13.45</v>
      </c>
    </row>
    <row r="545" spans="1:14">
      <c r="A545" s="1" t="s">
        <v>557</v>
      </c>
      <c r="B545">
        <f>HYPERLINK("https://www.suredividend.com/sure-analysis-research-database/","Cidara Therapeutics Inc")</f>
        <v>0</v>
      </c>
      <c r="C545" t="s">
        <v>3217</v>
      </c>
      <c r="D545">
        <v>0.8217</v>
      </c>
      <c r="E545">
        <v>0</v>
      </c>
      <c r="H545">
        <v>0</v>
      </c>
      <c r="I545">
        <v>56.002669</v>
      </c>
      <c r="J545">
        <v>0</v>
      </c>
      <c r="K545" t="s">
        <v>3219</v>
      </c>
      <c r="L545">
        <v>1.563619322688474</v>
      </c>
      <c r="M545">
        <v>2.39</v>
      </c>
      <c r="N545">
        <v>0.6335000000000001</v>
      </c>
    </row>
    <row r="546" spans="1:14">
      <c r="A546" s="1" t="s">
        <v>558</v>
      </c>
      <c r="B546">
        <f>HYPERLINK("https://www.suredividend.com/sure-analysis-research-database/","CDW Corp")</f>
        <v>0</v>
      </c>
      <c r="C546" t="s">
        <v>3222</v>
      </c>
      <c r="D546">
        <v>172.97</v>
      </c>
      <c r="E546">
        <v>0.010367782002777</v>
      </c>
      <c r="F546">
        <v>0.25</v>
      </c>
      <c r="G546">
        <v>0.2559432157547901</v>
      </c>
      <c r="H546">
        <v>1.793315253020391</v>
      </c>
      <c r="I546">
        <v>23360.870867</v>
      </c>
      <c r="J546">
        <v>23.63025578324904</v>
      </c>
      <c r="K546">
        <v>0.2547322802585783</v>
      </c>
      <c r="L546">
        <v>1.171830492731594</v>
      </c>
      <c r="M546">
        <v>208.09</v>
      </c>
      <c r="N546">
        <v>160.96</v>
      </c>
    </row>
    <row r="547" spans="1:14">
      <c r="A547" s="1" t="s">
        <v>559</v>
      </c>
      <c r="B547">
        <f>HYPERLINK("https://www.suredividend.com/sure-analysis-research-database/","Chromadex Corp")</f>
        <v>0</v>
      </c>
      <c r="C547" t="s">
        <v>3217</v>
      </c>
      <c r="D547">
        <v>2.14</v>
      </c>
      <c r="E547">
        <v>0</v>
      </c>
      <c r="H547">
        <v>0</v>
      </c>
      <c r="I547">
        <v>146.182041</v>
      </c>
      <c r="J547">
        <v>0</v>
      </c>
      <c r="K547" t="s">
        <v>3219</v>
      </c>
      <c r="L547">
        <v>1.536720771809872</v>
      </c>
      <c r="M547">
        <v>10.78</v>
      </c>
      <c r="N547">
        <v>1.93</v>
      </c>
    </row>
    <row r="548" spans="1:14">
      <c r="A548" s="1" t="s">
        <v>560</v>
      </c>
      <c r="B548">
        <f>HYPERLINK("https://www.suredividend.com/sure-analysis-research-database/","Codexis Inc.")</f>
        <v>0</v>
      </c>
      <c r="C548" t="s">
        <v>3217</v>
      </c>
      <c r="D548">
        <v>18.39</v>
      </c>
      <c r="E548">
        <v>0</v>
      </c>
      <c r="H548">
        <v>0</v>
      </c>
      <c r="I548">
        <v>1198.304887</v>
      </c>
      <c r="J548">
        <v>0</v>
      </c>
      <c r="K548" t="s">
        <v>3219</v>
      </c>
      <c r="L548">
        <v>1.956887602097837</v>
      </c>
      <c r="M548">
        <v>42.01</v>
      </c>
      <c r="N548">
        <v>16.41</v>
      </c>
    </row>
    <row r="549" spans="1:14">
      <c r="A549" s="1" t="s">
        <v>561</v>
      </c>
      <c r="B549">
        <f>HYPERLINK("https://www.suredividend.com/sure-analysis-research-database/","Cadiz Inc.")</f>
        <v>0</v>
      </c>
      <c r="C549" t="s">
        <v>3227</v>
      </c>
      <c r="D549">
        <v>1.93</v>
      </c>
      <c r="E549">
        <v>0</v>
      </c>
      <c r="H549">
        <v>0</v>
      </c>
      <c r="I549">
        <v>97.951752</v>
      </c>
      <c r="J549" t="s">
        <v>3219</v>
      </c>
      <c r="K549">
        <v>-0</v>
      </c>
      <c r="L549">
        <v>1.179270868697556</v>
      </c>
      <c r="M549">
        <v>14.69</v>
      </c>
      <c r="N549">
        <v>1.66</v>
      </c>
    </row>
    <row r="550" spans="1:14">
      <c r="A550" s="1" t="s">
        <v>562</v>
      </c>
      <c r="B550">
        <f>HYPERLINK("https://www.suredividend.com/sure-analysis-CE/","Celanese Corp")</f>
        <v>0</v>
      </c>
      <c r="C550" t="s">
        <v>3218</v>
      </c>
      <c r="D550">
        <v>145.17</v>
      </c>
      <c r="E550">
        <v>0.01873665357856307</v>
      </c>
      <c r="F550">
        <v>0</v>
      </c>
      <c r="G550">
        <v>0.08130999208865752</v>
      </c>
      <c r="H550">
        <v>2.702285825397503</v>
      </c>
      <c r="I550">
        <v>15682.60869</v>
      </c>
      <c r="J550">
        <v>8.297676555761903</v>
      </c>
      <c r="K550">
        <v>0.1602779255870405</v>
      </c>
      <c r="L550">
        <v>1.009837865199078</v>
      </c>
      <c r="M550">
        <v>175.72</v>
      </c>
      <c r="N550">
        <v>132.26</v>
      </c>
    </row>
    <row r="551" spans="1:14">
      <c r="A551" s="1" t="s">
        <v>563</v>
      </c>
      <c r="B551">
        <f>HYPERLINK("https://www.suredividend.com/sure-analysis-research-database/","Ceco Environmental Corp.")</f>
        <v>0</v>
      </c>
      <c r="C551" t="s">
        <v>3220</v>
      </c>
      <c r="D551">
        <v>5.08</v>
      </c>
      <c r="E551">
        <v>0</v>
      </c>
      <c r="H551">
        <v>0</v>
      </c>
      <c r="I551">
        <v>178.041869</v>
      </c>
      <c r="J551">
        <v>0</v>
      </c>
      <c r="K551" t="s">
        <v>3219</v>
      </c>
      <c r="L551">
        <v>1.040225733909813</v>
      </c>
      <c r="M551">
        <v>9.16</v>
      </c>
      <c r="N551">
        <v>4.45</v>
      </c>
    </row>
    <row r="552" spans="1:14">
      <c r="A552" s="1" t="s">
        <v>564</v>
      </c>
      <c r="B552">
        <f>HYPERLINK("https://www.suredividend.com/sure-analysis-research-database/","Camber Energy Inc")</f>
        <v>0</v>
      </c>
      <c r="C552" t="s">
        <v>3226</v>
      </c>
      <c r="D552">
        <v>0.87</v>
      </c>
      <c r="E552">
        <v>0</v>
      </c>
      <c r="H552">
        <v>0</v>
      </c>
      <c r="I552">
        <v>217.5</v>
      </c>
      <c r="J552" t="s">
        <v>3219</v>
      </c>
      <c r="K552">
        <v>-0</v>
      </c>
      <c r="L552">
        <v>-0.238417525570396</v>
      </c>
      <c r="M552">
        <v>4.85</v>
      </c>
      <c r="N552">
        <v>0.33</v>
      </c>
    </row>
    <row r="553" spans="1:14">
      <c r="A553" s="1" t="s">
        <v>565</v>
      </c>
      <c r="B553">
        <f>HYPERLINK("https://www.suredividend.com/sure-analysis-research-database/","Consol Energy Inc")</f>
        <v>0</v>
      </c>
      <c r="C553" t="s">
        <v>3226</v>
      </c>
      <c r="D553">
        <v>48.78</v>
      </c>
      <c r="E553">
        <v>0</v>
      </c>
      <c r="H553">
        <v>0</v>
      </c>
      <c r="I553">
        <v>1698.21492</v>
      </c>
      <c r="J553">
        <v>49.78642392612137</v>
      </c>
      <c r="K553">
        <v>0</v>
      </c>
      <c r="L553">
        <v>0.98065124858397</v>
      </c>
      <c r="M553">
        <v>49.39</v>
      </c>
      <c r="N553">
        <v>8.65</v>
      </c>
    </row>
    <row r="554" spans="1:14">
      <c r="A554" s="1" t="s">
        <v>566</v>
      </c>
      <c r="B554">
        <f>HYPERLINK("https://www.suredividend.com/sure-analysis-research-database/","Celcuity Inc")</f>
        <v>0</v>
      </c>
      <c r="C554" t="s">
        <v>3217</v>
      </c>
      <c r="D554">
        <v>7.99</v>
      </c>
      <c r="E554">
        <v>0</v>
      </c>
      <c r="H554">
        <v>0</v>
      </c>
      <c r="I554">
        <v>119.213213</v>
      </c>
      <c r="J554">
        <v>0</v>
      </c>
      <c r="K554" t="s">
        <v>3219</v>
      </c>
      <c r="L554">
        <v>1.650240778659323</v>
      </c>
      <c r="M554">
        <v>33.01</v>
      </c>
      <c r="N554">
        <v>7.04</v>
      </c>
    </row>
    <row r="555" spans="1:14">
      <c r="A555" s="1" t="s">
        <v>567</v>
      </c>
      <c r="B555">
        <f>HYPERLINK("https://www.suredividend.com/sure-analysis-research-database/","Celsius Holdings Inc")</f>
        <v>0</v>
      </c>
      <c r="C555" t="s">
        <v>3225</v>
      </c>
      <c r="D555">
        <v>53.78</v>
      </c>
      <c r="E555">
        <v>0</v>
      </c>
      <c r="H555">
        <v>0</v>
      </c>
      <c r="I555">
        <v>4051.652847</v>
      </c>
      <c r="J555">
        <v>0</v>
      </c>
      <c r="K555" t="s">
        <v>3219</v>
      </c>
      <c r="L555">
        <v>2.529261514185398</v>
      </c>
      <c r="M555">
        <v>110.22</v>
      </c>
      <c r="N555">
        <v>39.45</v>
      </c>
    </row>
    <row r="556" spans="1:14">
      <c r="A556" s="1" t="s">
        <v>568</v>
      </c>
      <c r="B556">
        <f>HYPERLINK("https://www.suredividend.com/sure-analysis-research-database/","Chembio Diagnostics Inc.")</f>
        <v>0</v>
      </c>
      <c r="C556" t="s">
        <v>3217</v>
      </c>
      <c r="D556">
        <v>0.7591</v>
      </c>
      <c r="E556">
        <v>0</v>
      </c>
      <c r="H556">
        <v>0</v>
      </c>
      <c r="I556">
        <v>22.936978</v>
      </c>
      <c r="J556">
        <v>0</v>
      </c>
      <c r="K556" t="s">
        <v>3219</v>
      </c>
      <c r="L556">
        <v>1.772702737481784</v>
      </c>
      <c r="M556">
        <v>7.34</v>
      </c>
      <c r="N556">
        <v>0.652</v>
      </c>
    </row>
    <row r="557" spans="1:14">
      <c r="A557" s="1" t="s">
        <v>569</v>
      </c>
      <c r="B557">
        <f>HYPERLINK("https://www.suredividend.com/sure-analysis-research-database/","Central Garden &amp; Pet Co.")</f>
        <v>0</v>
      </c>
      <c r="C557" t="s">
        <v>3225</v>
      </c>
      <c r="D557">
        <v>45.29</v>
      </c>
      <c r="E557">
        <v>0</v>
      </c>
      <c r="H557">
        <v>0</v>
      </c>
      <c r="I557">
        <v>2305.007616</v>
      </c>
      <c r="J557">
        <v>14.85740557437702</v>
      </c>
      <c r="K557">
        <v>0</v>
      </c>
      <c r="L557">
        <v>0.790357089269582</v>
      </c>
      <c r="M557">
        <v>61.25</v>
      </c>
      <c r="N557">
        <v>43.01</v>
      </c>
    </row>
    <row r="558" spans="1:14">
      <c r="A558" s="1" t="s">
        <v>570</v>
      </c>
      <c r="B558">
        <f>HYPERLINK("https://www.suredividend.com/sure-analysis-research-database/","Central Garden &amp; Pet Co.")</f>
        <v>0</v>
      </c>
      <c r="C558" t="s">
        <v>3225</v>
      </c>
      <c r="D558">
        <v>42.48</v>
      </c>
      <c r="E558">
        <v>0</v>
      </c>
      <c r="H558">
        <v>0</v>
      </c>
      <c r="I558">
        <v>2305.007616</v>
      </c>
      <c r="J558">
        <v>0</v>
      </c>
      <c r="K558" t="s">
        <v>3219</v>
      </c>
      <c r="L558">
        <v>0.7749837497323381</v>
      </c>
      <c r="M558">
        <v>55.82</v>
      </c>
      <c r="N558">
        <v>39.3</v>
      </c>
    </row>
    <row r="559" spans="1:14">
      <c r="A559" s="1" t="s">
        <v>571</v>
      </c>
      <c r="B559">
        <f>HYPERLINK("https://www.suredividend.com/sure-analysis-research-database/","Century Aluminum Co.")</f>
        <v>0</v>
      </c>
      <c r="C559" t="s">
        <v>3218</v>
      </c>
      <c r="D559">
        <v>27.41</v>
      </c>
      <c r="E559">
        <v>0</v>
      </c>
      <c r="H559">
        <v>0</v>
      </c>
      <c r="I559">
        <v>2500.658458</v>
      </c>
      <c r="J559" t="s">
        <v>3219</v>
      </c>
      <c r="K559">
        <v>-0</v>
      </c>
      <c r="L559">
        <v>1.108174090556866</v>
      </c>
      <c r="M559">
        <v>30.36</v>
      </c>
      <c r="N559">
        <v>10.39</v>
      </c>
    </row>
    <row r="560" spans="1:14">
      <c r="A560" s="1" t="s">
        <v>572</v>
      </c>
      <c r="B560">
        <f>HYPERLINK("https://www.suredividend.com/sure-analysis-research-database/","Cerner Corp.")</f>
        <v>0</v>
      </c>
      <c r="C560" t="s">
        <v>3217</v>
      </c>
      <c r="D560">
        <v>93.3</v>
      </c>
      <c r="E560">
        <v>0.010460928565601</v>
      </c>
      <c r="H560">
        <v>0.9760046351706531</v>
      </c>
      <c r="I560">
        <v>27427.229795</v>
      </c>
      <c r="J560">
        <v>49.36541982753656</v>
      </c>
      <c r="K560">
        <v>0.530437301723181</v>
      </c>
      <c r="L560">
        <v>0.172230096329092</v>
      </c>
      <c r="M560">
        <v>93.77</v>
      </c>
      <c r="N560">
        <v>68.68000000000001</v>
      </c>
    </row>
    <row r="561" spans="1:14">
      <c r="A561" s="1" t="s">
        <v>573</v>
      </c>
      <c r="B561">
        <f>HYPERLINK("https://www.suredividend.com/sure-analysis-research-database/","Cerus Corp.")</f>
        <v>0</v>
      </c>
      <c r="C561" t="s">
        <v>3217</v>
      </c>
      <c r="D561">
        <v>4.83</v>
      </c>
      <c r="E561">
        <v>0</v>
      </c>
      <c r="H561">
        <v>0</v>
      </c>
      <c r="I561">
        <v>839.074961</v>
      </c>
      <c r="J561" t="s">
        <v>3219</v>
      </c>
      <c r="K561">
        <v>-0</v>
      </c>
      <c r="L561">
        <v>1.486326258968195</v>
      </c>
      <c r="M561">
        <v>8.06</v>
      </c>
      <c r="N561">
        <v>4.67</v>
      </c>
    </row>
    <row r="562" spans="1:14">
      <c r="A562" s="1" t="s">
        <v>574</v>
      </c>
      <c r="B562">
        <f>HYPERLINK("https://www.suredividend.com/sure-analysis-research-database/","Cemtrex Inc.")</f>
        <v>0</v>
      </c>
      <c r="C562" t="s">
        <v>3220</v>
      </c>
      <c r="D562">
        <v>0.5700000000000001</v>
      </c>
      <c r="E562">
        <v>0</v>
      </c>
      <c r="H562">
        <v>0</v>
      </c>
      <c r="I562">
        <v>14.06373</v>
      </c>
      <c r="J562">
        <v>0</v>
      </c>
      <c r="K562" t="s">
        <v>3219</v>
      </c>
      <c r="L562">
        <v>1.248947142232124</v>
      </c>
      <c r="M562">
        <v>2.56</v>
      </c>
      <c r="N562">
        <v>0.5501</v>
      </c>
    </row>
    <row r="563" spans="1:14">
      <c r="A563" s="1" t="s">
        <v>575</v>
      </c>
      <c r="B563">
        <f>HYPERLINK("https://www.suredividend.com/sure-analysis-research-database/","Ceva Inc.")</f>
        <v>0</v>
      </c>
      <c r="C563" t="s">
        <v>3222</v>
      </c>
      <c r="D563">
        <v>34.89</v>
      </c>
      <c r="E563">
        <v>0</v>
      </c>
      <c r="H563">
        <v>0</v>
      </c>
      <c r="I563">
        <v>809.588397</v>
      </c>
      <c r="J563">
        <v>2044.415144848485</v>
      </c>
      <c r="K563">
        <v>0</v>
      </c>
      <c r="L563">
        <v>1.897481179562845</v>
      </c>
      <c r="M563">
        <v>59.9</v>
      </c>
      <c r="N563">
        <v>32.45</v>
      </c>
    </row>
    <row r="564" spans="1:14">
      <c r="A564" s="1" t="s">
        <v>576</v>
      </c>
      <c r="B564">
        <f>HYPERLINK("https://www.suredividend.com/sure-analysis-CF/","CF Industries Holdings Inc")</f>
        <v>0</v>
      </c>
      <c r="C564" t="s">
        <v>3218</v>
      </c>
      <c r="D564">
        <v>108.41</v>
      </c>
      <c r="E564">
        <v>0.01106908956738308</v>
      </c>
      <c r="F564">
        <v>0</v>
      </c>
      <c r="G564">
        <v>0</v>
      </c>
      <c r="H564">
        <v>1.191851783190492</v>
      </c>
      <c r="I564">
        <v>22670.016867</v>
      </c>
      <c r="J564">
        <v>24.72193769624863</v>
      </c>
      <c r="K564">
        <v>0.2810971186770028</v>
      </c>
      <c r="L564">
        <v>0.575476073387425</v>
      </c>
      <c r="M564">
        <v>113.49</v>
      </c>
      <c r="N564">
        <v>42.81</v>
      </c>
    </row>
    <row r="565" spans="1:14">
      <c r="A565" s="1" t="s">
        <v>577</v>
      </c>
      <c r="B565">
        <f>HYPERLINK("https://www.suredividend.com/sure-analysis-research-database/","CF Bankshares Inc")</f>
        <v>0</v>
      </c>
      <c r="C565" t="s">
        <v>3221</v>
      </c>
      <c r="D565">
        <v>21.6001</v>
      </c>
      <c r="E565">
        <v>0.006455896257110001</v>
      </c>
      <c r="H565">
        <v>0.139448004743217</v>
      </c>
      <c r="I565">
        <v>113.586372</v>
      </c>
      <c r="J565">
        <v>0</v>
      </c>
      <c r="K565" t="s">
        <v>3219</v>
      </c>
      <c r="M565">
        <v>23.9</v>
      </c>
      <c r="N565">
        <v>17.32</v>
      </c>
    </row>
    <row r="566" spans="1:14">
      <c r="A566" s="1" t="s">
        <v>578</v>
      </c>
      <c r="B566">
        <f>HYPERLINK("https://www.suredividend.com/sure-analysis-research-database/","C &amp; F Financial Corp")</f>
        <v>0</v>
      </c>
      <c r="C566" t="s">
        <v>3221</v>
      </c>
      <c r="D566">
        <v>50.975</v>
      </c>
      <c r="E566">
        <v>0.031017069756748</v>
      </c>
      <c r="F566">
        <v>0.05263157894736836</v>
      </c>
      <c r="G566">
        <v>0.03922410156720635</v>
      </c>
      <c r="H566">
        <v>1.581095130850246</v>
      </c>
      <c r="I566">
        <v>181.077371</v>
      </c>
      <c r="J566">
        <v>6.316579029895001</v>
      </c>
      <c r="K566">
        <v>0.1988798906729869</v>
      </c>
      <c r="M566">
        <v>53.84</v>
      </c>
      <c r="N566">
        <v>38.2</v>
      </c>
    </row>
    <row r="567" spans="1:14">
      <c r="A567" s="1" t="s">
        <v>579</v>
      </c>
      <c r="B567">
        <f>HYPERLINK("https://www.suredividend.com/sure-analysis-research-database/","Capitol Federal Financial")</f>
        <v>0</v>
      </c>
      <c r="C567" t="s">
        <v>3221</v>
      </c>
      <c r="D567">
        <v>10.32</v>
      </c>
      <c r="E567">
        <v>0.03189656937536</v>
      </c>
      <c r="F567">
        <v>0</v>
      </c>
      <c r="G567">
        <v>-0.2626547892507575</v>
      </c>
      <c r="H567">
        <v>0.329172595953724</v>
      </c>
      <c r="I567">
        <v>1432.903971</v>
      </c>
      <c r="J567">
        <v>18.0646231247715</v>
      </c>
      <c r="K567">
        <v>0.5624958919236568</v>
      </c>
      <c r="L567">
        <v>0.4663726822253541</v>
      </c>
      <c r="M567">
        <v>12.46</v>
      </c>
      <c r="N567">
        <v>10.23</v>
      </c>
    </row>
    <row r="568" spans="1:14">
      <c r="A568" s="1" t="s">
        <v>580</v>
      </c>
      <c r="B568">
        <f>HYPERLINK("https://www.suredividend.com/sure-analysis-CFG/","Citizens Financial Group Inc")</f>
        <v>0</v>
      </c>
      <c r="C568" t="s">
        <v>3221</v>
      </c>
      <c r="D568">
        <v>40.87</v>
      </c>
      <c r="E568">
        <v>0.038169806704184</v>
      </c>
      <c r="F568">
        <v>0</v>
      </c>
      <c r="G568">
        <v>0.2274033782145131</v>
      </c>
      <c r="H568">
        <v>1.541391784154728</v>
      </c>
      <c r="I568">
        <v>17252.974806</v>
      </c>
      <c r="J568">
        <v>7.820931462171351</v>
      </c>
      <c r="K568">
        <v>0.2987193380144821</v>
      </c>
      <c r="L568">
        <v>1.228945350212621</v>
      </c>
      <c r="M568">
        <v>56.57</v>
      </c>
      <c r="N568">
        <v>38.58</v>
      </c>
    </row>
    <row r="569" spans="1:14">
      <c r="A569" s="1" t="s">
        <v>581</v>
      </c>
      <c r="B569">
        <f>HYPERLINK("https://www.suredividend.com/sure-analysis-research-database/","Conformis Inc.")</f>
        <v>0</v>
      </c>
      <c r="C569" t="s">
        <v>3217</v>
      </c>
      <c r="D569">
        <v>0.64</v>
      </c>
      <c r="E569">
        <v>0</v>
      </c>
      <c r="H569">
        <v>0</v>
      </c>
      <c r="I569">
        <v>118.757832</v>
      </c>
      <c r="J569" t="s">
        <v>3219</v>
      </c>
      <c r="K569">
        <v>-0</v>
      </c>
      <c r="L569">
        <v>0.8940422981136511</v>
      </c>
      <c r="M569">
        <v>1.96</v>
      </c>
      <c r="N569">
        <v>0.501</v>
      </c>
    </row>
    <row r="570" spans="1:14">
      <c r="A570" s="1" t="s">
        <v>582</v>
      </c>
      <c r="B570">
        <f>HYPERLINK("https://www.suredividend.com/sure-analysis-CFR/","Cullen Frost Bankers Inc.")</f>
        <v>0</v>
      </c>
      <c r="C570" t="s">
        <v>3221</v>
      </c>
      <c r="D570">
        <v>139.54</v>
      </c>
      <c r="E570">
        <v>0.02149921169557116</v>
      </c>
      <c r="F570">
        <v>0.04166666666666674</v>
      </c>
      <c r="G570">
        <v>0.05642162229904302</v>
      </c>
      <c r="H570">
        <v>2.944648452716201</v>
      </c>
      <c r="I570">
        <v>8933.849097</v>
      </c>
      <c r="J570">
        <v>20.67824372534088</v>
      </c>
      <c r="K570">
        <v>0.4368914618273296</v>
      </c>
      <c r="L570">
        <v>1.075975797760927</v>
      </c>
      <c r="M570">
        <v>147.28</v>
      </c>
      <c r="N570">
        <v>98.58</v>
      </c>
    </row>
    <row r="571" spans="1:14">
      <c r="A571" s="1" t="s">
        <v>583</v>
      </c>
      <c r="B571">
        <f>HYPERLINK("https://www.suredividend.com/sure-analysis-research-database/","Cancer Genetics Inc.")</f>
        <v>0</v>
      </c>
      <c r="C571" t="s">
        <v>3217</v>
      </c>
      <c r="D571">
        <v>4.61</v>
      </c>
      <c r="E571">
        <v>0</v>
      </c>
      <c r="H571">
        <v>0</v>
      </c>
      <c r="I571">
        <v>35.886914</v>
      </c>
      <c r="J571">
        <v>0</v>
      </c>
      <c r="K571" t="s">
        <v>3219</v>
      </c>
      <c r="M571">
        <v>17.5</v>
      </c>
      <c r="N571">
        <v>2.11</v>
      </c>
    </row>
    <row r="572" spans="1:14">
      <c r="A572" s="1" t="s">
        <v>584</v>
      </c>
      <c r="B572">
        <f>HYPERLINK("https://www.suredividend.com/sure-analysis-research-database/","Cognex Corp.")</f>
        <v>0</v>
      </c>
      <c r="C572" t="s">
        <v>3222</v>
      </c>
      <c r="D572">
        <v>70.22</v>
      </c>
      <c r="E572">
        <v>0.00355574545553</v>
      </c>
      <c r="F572">
        <v>0.08333333333333348</v>
      </c>
      <c r="G572">
        <v>-0.05223888541775945</v>
      </c>
      <c r="H572">
        <v>0.249684445887378</v>
      </c>
      <c r="I572">
        <v>12210.692869</v>
      </c>
      <c r="J572">
        <v>43.62815935858454</v>
      </c>
      <c r="K572">
        <v>0.1600541319790885</v>
      </c>
      <c r="L572">
        <v>1.303287045070566</v>
      </c>
      <c r="M572">
        <v>92.01000000000001</v>
      </c>
      <c r="N572">
        <v>61.45</v>
      </c>
    </row>
    <row r="573" spans="1:14">
      <c r="A573" s="1" t="s">
        <v>585</v>
      </c>
      <c r="B573">
        <f>HYPERLINK("https://www.suredividend.com/sure-analysis-research-database/","Comstock Holding Co. Inc")</f>
        <v>0</v>
      </c>
      <c r="C573" t="s">
        <v>3224</v>
      </c>
      <c r="D573">
        <v>5.44</v>
      </c>
      <c r="E573">
        <v>0</v>
      </c>
      <c r="H573">
        <v>0</v>
      </c>
      <c r="I573">
        <v>44.164531</v>
      </c>
      <c r="J573">
        <v>0</v>
      </c>
      <c r="K573" t="s">
        <v>3219</v>
      </c>
      <c r="L573">
        <v>0.479080469452953</v>
      </c>
      <c r="M573">
        <v>8.24</v>
      </c>
      <c r="N573">
        <v>4.1</v>
      </c>
    </row>
    <row r="574" spans="1:14">
      <c r="A574" s="1" t="s">
        <v>586</v>
      </c>
      <c r="B574">
        <f>HYPERLINK("https://www.suredividend.com/sure-analysis-research-database/","City Holding Co.")</f>
        <v>0</v>
      </c>
      <c r="C574" t="s">
        <v>3221</v>
      </c>
      <c r="D574">
        <v>76.31</v>
      </c>
      <c r="E574">
        <v>0.030576768652202</v>
      </c>
      <c r="F574">
        <v>0.03448275862068995</v>
      </c>
      <c r="G574">
        <v>0.06399531281508364</v>
      </c>
      <c r="H574">
        <v>2.333313215849559</v>
      </c>
      <c r="I574">
        <v>1149.677684</v>
      </c>
      <c r="J574">
        <v>13.17878519836766</v>
      </c>
      <c r="K574">
        <v>0.4122461512101694</v>
      </c>
      <c r="L574">
        <v>0.5748810142659211</v>
      </c>
      <c r="M574">
        <v>84.98999999999999</v>
      </c>
      <c r="N574">
        <v>69.48</v>
      </c>
    </row>
    <row r="575" spans="1:14">
      <c r="A575" s="1" t="s">
        <v>587</v>
      </c>
      <c r="B575">
        <f>HYPERLINK("https://www.suredividend.com/sure-analysis-CHCT/","Community Healthcare Trust Inc")</f>
        <v>0</v>
      </c>
      <c r="C575" t="s">
        <v>3224</v>
      </c>
      <c r="D575">
        <v>41.57</v>
      </c>
      <c r="E575">
        <v>0.04209766658648063</v>
      </c>
      <c r="F575">
        <v>0.02339181286549707</v>
      </c>
      <c r="G575">
        <v>0.02325220709575815</v>
      </c>
      <c r="H575">
        <v>1.71047503880621</v>
      </c>
      <c r="I575">
        <v>1042.286273</v>
      </c>
      <c r="J575">
        <v>51.65458780850431</v>
      </c>
      <c r="K575">
        <v>1.971956466228049</v>
      </c>
      <c r="L575">
        <v>0.6582988984615771</v>
      </c>
      <c r="M575">
        <v>50.6</v>
      </c>
      <c r="N575">
        <v>39.42</v>
      </c>
    </row>
    <row r="576" spans="1:14">
      <c r="A576" s="1" t="s">
        <v>588</v>
      </c>
      <c r="B576">
        <f>HYPERLINK("https://www.suredividend.com/sure-analysis-CHD/","Church &amp; Dwight Co., Inc.")</f>
        <v>0</v>
      </c>
      <c r="C576" t="s">
        <v>3225</v>
      </c>
      <c r="D576">
        <v>102.65</v>
      </c>
      <c r="E576">
        <v>0.01022893326838772</v>
      </c>
      <c r="F576">
        <v>0.03960396039603964</v>
      </c>
      <c r="G576">
        <v>0.06678067898520257</v>
      </c>
      <c r="H576">
        <v>1.015808458472612</v>
      </c>
      <c r="I576">
        <v>24912.696565</v>
      </c>
      <c r="J576">
        <v>30.10597772217523</v>
      </c>
      <c r="K576">
        <v>0.3059664031544012</v>
      </c>
      <c r="L576">
        <v>0.187317890573094</v>
      </c>
      <c r="M576">
        <v>105.15</v>
      </c>
      <c r="N576">
        <v>80.31999999999999</v>
      </c>
    </row>
    <row r="577" spans="1:14">
      <c r="A577" s="1" t="s">
        <v>589</v>
      </c>
      <c r="B577">
        <f>HYPERLINK("https://www.suredividend.com/sure-analysis-research-database/","Churchill Downs, Inc.")</f>
        <v>0</v>
      </c>
      <c r="C577" t="s">
        <v>3223</v>
      </c>
      <c r="D577">
        <v>210.7</v>
      </c>
      <c r="E577">
        <v>0.003165638327994</v>
      </c>
      <c r="H577">
        <v>0.666999995708465</v>
      </c>
      <c r="I577">
        <v>8038.418861</v>
      </c>
      <c r="J577">
        <v>32.2698468908069</v>
      </c>
      <c r="K577">
        <v>0.1050393694029079</v>
      </c>
      <c r="L577">
        <v>1.303215133734912</v>
      </c>
      <c r="M577">
        <v>261.4</v>
      </c>
      <c r="N577">
        <v>174.47</v>
      </c>
    </row>
    <row r="578" spans="1:14">
      <c r="A578" s="1" t="s">
        <v>590</v>
      </c>
      <c r="B578">
        <f>HYPERLINK("https://www.suredividend.com/sure-analysis-research-database/","Chemed Corp.")</f>
        <v>0</v>
      </c>
      <c r="C578" t="s">
        <v>3217</v>
      </c>
      <c r="D578">
        <v>498.6</v>
      </c>
      <c r="E578">
        <v>0.002844757597792</v>
      </c>
      <c r="F578">
        <v>0.0588235294117645</v>
      </c>
      <c r="G578">
        <v>0.06724918187953888</v>
      </c>
      <c r="H578">
        <v>1.418396138259488</v>
      </c>
      <c r="I578">
        <v>7464.316729</v>
      </c>
      <c r="J578">
        <v>27.79488634742134</v>
      </c>
      <c r="K578">
        <v>0.08417781235961352</v>
      </c>
      <c r="L578">
        <v>0.596037027915427</v>
      </c>
      <c r="M578">
        <v>539.45</v>
      </c>
      <c r="N578">
        <v>402.39</v>
      </c>
    </row>
    <row r="579" spans="1:14">
      <c r="A579" s="1" t="s">
        <v>591</v>
      </c>
      <c r="B579">
        <f>HYPERLINK("https://www.suredividend.com/sure-analysis-research-database/","Chefs` Warehouse Inc")</f>
        <v>0</v>
      </c>
      <c r="C579" t="s">
        <v>3225</v>
      </c>
      <c r="D579">
        <v>33.15</v>
      </c>
      <c r="E579">
        <v>0</v>
      </c>
      <c r="H579">
        <v>0</v>
      </c>
      <c r="I579">
        <v>1268.201682</v>
      </c>
      <c r="J579">
        <v>0</v>
      </c>
      <c r="K579" t="s">
        <v>3219</v>
      </c>
      <c r="L579">
        <v>1.326884108257223</v>
      </c>
      <c r="M579">
        <v>37.85</v>
      </c>
      <c r="N579">
        <v>25.6</v>
      </c>
    </row>
    <row r="580" spans="1:14">
      <c r="A580" s="1" t="s">
        <v>592</v>
      </c>
      <c r="B580">
        <f>HYPERLINK("https://www.suredividend.com/sure-analysis-research-database/","Chegg Inc")</f>
        <v>0</v>
      </c>
      <c r="C580" t="s">
        <v>3225</v>
      </c>
      <c r="D580">
        <v>32.36</v>
      </c>
      <c r="E580">
        <v>0</v>
      </c>
      <c r="H580">
        <v>0</v>
      </c>
      <c r="I580">
        <v>4099.422789</v>
      </c>
      <c r="J580" t="s">
        <v>3219</v>
      </c>
      <c r="K580">
        <v>-0</v>
      </c>
      <c r="L580">
        <v>0.713844427918477</v>
      </c>
      <c r="M580">
        <v>96.94</v>
      </c>
      <c r="N580">
        <v>23.23</v>
      </c>
    </row>
    <row r="581" spans="1:14">
      <c r="A581" s="1" t="s">
        <v>593</v>
      </c>
      <c r="B581">
        <f>HYPERLINK("https://www.suredividend.com/sure-analysis-research-database/","Choice Hotels International, Inc.")</f>
        <v>0</v>
      </c>
      <c r="C581" t="s">
        <v>3223</v>
      </c>
      <c r="D581">
        <v>142.07</v>
      </c>
      <c r="E581">
        <v>0.006495337449276</v>
      </c>
      <c r="H581">
        <v>0.9227925914186861</v>
      </c>
      <c r="I581">
        <v>7903.258913</v>
      </c>
      <c r="J581">
        <v>0</v>
      </c>
      <c r="K581" t="s">
        <v>3219</v>
      </c>
      <c r="L581">
        <v>1.058082158864184</v>
      </c>
      <c r="M581">
        <v>156.96</v>
      </c>
      <c r="N581">
        <v>107.27</v>
      </c>
    </row>
    <row r="582" spans="1:14">
      <c r="A582" s="1" t="s">
        <v>594</v>
      </c>
      <c r="B582">
        <f>HYPERLINK("https://www.suredividend.com/sure-analysis-research-database/","Chesapeake Energy Corp.")</f>
        <v>0</v>
      </c>
      <c r="C582" t="s">
        <v>3226</v>
      </c>
      <c r="D582">
        <v>94.36</v>
      </c>
      <c r="E582">
        <v>0.026939900760951</v>
      </c>
      <c r="H582">
        <v>2.542049035803413</v>
      </c>
      <c r="I582">
        <v>12082.55842</v>
      </c>
      <c r="J582">
        <v>0</v>
      </c>
      <c r="K582" t="s">
        <v>3219</v>
      </c>
      <c r="L582">
        <v>0.6122190873283101</v>
      </c>
      <c r="M582">
        <v>95.28</v>
      </c>
      <c r="N582">
        <v>43.17</v>
      </c>
    </row>
    <row r="583" spans="1:14">
      <c r="A583" s="1" t="s">
        <v>595</v>
      </c>
      <c r="B583">
        <f>HYPERLINK("https://www.suredividend.com/sure-analysis-research-database/","Chiasma Inc")</f>
        <v>0</v>
      </c>
      <c r="C583" t="s">
        <v>3217</v>
      </c>
      <c r="D583">
        <v>3.76</v>
      </c>
      <c r="E583">
        <v>0</v>
      </c>
      <c r="H583">
        <v>0</v>
      </c>
      <c r="I583">
        <v>0</v>
      </c>
      <c r="J583">
        <v>0</v>
      </c>
      <c r="K583" t="s">
        <v>3219</v>
      </c>
    </row>
    <row r="584" spans="1:14">
      <c r="A584" s="1" t="s">
        <v>596</v>
      </c>
      <c r="B584">
        <f>HYPERLINK("https://www.suredividend.com/sure-analysis-research-database/","Chemung Financial Corp.")</f>
        <v>0</v>
      </c>
      <c r="C584" t="s">
        <v>3221</v>
      </c>
      <c r="D584">
        <v>46.5736</v>
      </c>
      <c r="E584">
        <v>0.026356381766006</v>
      </c>
      <c r="F584">
        <v>0.1923076923076923</v>
      </c>
      <c r="G584">
        <v>0.03580420358021419</v>
      </c>
      <c r="H584">
        <v>1.227511581817284</v>
      </c>
      <c r="I584">
        <v>217.222903</v>
      </c>
      <c r="J584">
        <v>0</v>
      </c>
      <c r="K584" t="s">
        <v>3219</v>
      </c>
      <c r="M584">
        <v>48.83</v>
      </c>
      <c r="N584">
        <v>40.59</v>
      </c>
    </row>
    <row r="585" spans="1:14">
      <c r="A585" s="1" t="s">
        <v>597</v>
      </c>
      <c r="B585">
        <f>HYPERLINK("https://www.suredividend.com/sure-analysis-research-database/","Cherry Hill Mortgage Investment Corporation")</f>
        <v>0</v>
      </c>
      <c r="C585" t="s">
        <v>3224</v>
      </c>
      <c r="D585">
        <v>7.27</v>
      </c>
      <c r="E585">
        <v>0.141641646226801</v>
      </c>
      <c r="F585">
        <v>0</v>
      </c>
      <c r="G585">
        <v>-0.1123668018056081</v>
      </c>
      <c r="H585">
        <v>1.029734768068844</v>
      </c>
      <c r="I585">
        <v>132.763635</v>
      </c>
      <c r="J585">
        <v>54.63524072427983</v>
      </c>
      <c r="K585">
        <v>7.349998344531364</v>
      </c>
      <c r="L585">
        <v>0.7056604466787271</v>
      </c>
      <c r="M585">
        <v>9.460000000000001</v>
      </c>
      <c r="N585">
        <v>6.7</v>
      </c>
    </row>
    <row r="586" spans="1:14">
      <c r="A586" s="1" t="s">
        <v>598</v>
      </c>
      <c r="B586">
        <f>HYPERLINK("https://www.suredividend.com/sure-analysis-research-database/","Coherus Biosciences Inc")</f>
        <v>0</v>
      </c>
      <c r="C586" t="s">
        <v>3217</v>
      </c>
      <c r="D586">
        <v>11.24</v>
      </c>
      <c r="E586">
        <v>0</v>
      </c>
      <c r="H586">
        <v>0</v>
      </c>
      <c r="I586">
        <v>869.184457</v>
      </c>
      <c r="J586">
        <v>0</v>
      </c>
      <c r="K586" t="s">
        <v>3219</v>
      </c>
      <c r="L586">
        <v>1.253749605435247</v>
      </c>
      <c r="M586">
        <v>19.32</v>
      </c>
      <c r="N586">
        <v>10.53</v>
      </c>
    </row>
    <row r="587" spans="1:14">
      <c r="A587" s="1" t="s">
        <v>599</v>
      </c>
      <c r="B587">
        <f>HYPERLINK("https://www.suredividend.com/sure-analysis-CHRW/","C.H. Robinson Worldwide, Inc.")</f>
        <v>0</v>
      </c>
      <c r="C587" t="s">
        <v>3220</v>
      </c>
      <c r="D587">
        <v>103.28</v>
      </c>
      <c r="E587">
        <v>0.02130131680867545</v>
      </c>
      <c r="F587">
        <v>0.07843137254901977</v>
      </c>
      <c r="G587">
        <v>0.04095039696925684</v>
      </c>
      <c r="H587">
        <v>2.097909841788921</v>
      </c>
      <c r="I587">
        <v>13285.945087</v>
      </c>
      <c r="J587">
        <v>15.73707287216389</v>
      </c>
      <c r="K587">
        <v>0.3324738259570398</v>
      </c>
      <c r="L587">
        <v>0.43961554864722</v>
      </c>
      <c r="M587">
        <v>111.55</v>
      </c>
      <c r="N587">
        <v>82.84</v>
      </c>
    </row>
    <row r="588" spans="1:14">
      <c r="A588" s="1" t="s">
        <v>600</v>
      </c>
      <c r="B588">
        <f>HYPERLINK("https://www.suredividend.com/sure-analysis-research-database/","Chico`s Fas, Inc.")</f>
        <v>0</v>
      </c>
      <c r="C588" t="s">
        <v>3223</v>
      </c>
      <c r="D588">
        <v>5.16</v>
      </c>
      <c r="E588">
        <v>0</v>
      </c>
      <c r="H588">
        <v>0</v>
      </c>
      <c r="I588">
        <v>632.148055</v>
      </c>
      <c r="J588">
        <v>13.7900145084095</v>
      </c>
      <c r="K588">
        <v>0</v>
      </c>
      <c r="L588">
        <v>1.967132619276261</v>
      </c>
      <c r="M588">
        <v>7.29</v>
      </c>
      <c r="N588">
        <v>2.67</v>
      </c>
    </row>
    <row r="589" spans="1:14">
      <c r="A589" s="1" t="s">
        <v>601</v>
      </c>
      <c r="B589">
        <f>HYPERLINK("https://www.suredividend.com/sure-analysis-research-database/","Charter Communications Inc.")</f>
        <v>0</v>
      </c>
      <c r="C589" t="s">
        <v>3228</v>
      </c>
      <c r="D589">
        <v>555.3200000000001</v>
      </c>
      <c r="E589">
        <v>0</v>
      </c>
      <c r="H589">
        <v>0</v>
      </c>
      <c r="I589">
        <v>106339.715613</v>
      </c>
      <c r="J589">
        <v>22.84910090522561</v>
      </c>
      <c r="K589">
        <v>0</v>
      </c>
      <c r="L589">
        <v>0.5359650733007101</v>
      </c>
      <c r="M589">
        <v>825.62</v>
      </c>
      <c r="N589">
        <v>542.8200000000001</v>
      </c>
    </row>
    <row r="590" spans="1:14">
      <c r="A590" s="1" t="s">
        <v>602</v>
      </c>
      <c r="B590">
        <f>HYPERLINK("https://www.suredividend.com/sure-analysis-research-database/","Chuy`s Holdings Inc")</f>
        <v>0</v>
      </c>
      <c r="C590" t="s">
        <v>3223</v>
      </c>
      <c r="D590">
        <v>25.94</v>
      </c>
      <c r="E590">
        <v>0</v>
      </c>
      <c r="H590">
        <v>0</v>
      </c>
      <c r="I590">
        <v>492.634607</v>
      </c>
      <c r="J590">
        <v>0</v>
      </c>
      <c r="K590" t="s">
        <v>3219</v>
      </c>
      <c r="L590">
        <v>1.296304325148029</v>
      </c>
      <c r="M590">
        <v>49.99</v>
      </c>
      <c r="N590">
        <v>22.6</v>
      </c>
    </row>
    <row r="591" spans="1:14">
      <c r="A591" s="1" t="s">
        <v>603</v>
      </c>
      <c r="B591">
        <f>HYPERLINK("https://www.suredividend.com/sure-analysis-CI/","Cigna Corp.")</f>
        <v>0</v>
      </c>
      <c r="C591" t="s">
        <v>3217</v>
      </c>
      <c r="D591">
        <v>259.21</v>
      </c>
      <c r="E591">
        <v>0.01728328382392655</v>
      </c>
      <c r="H591">
        <v>4.095913663668421</v>
      </c>
      <c r="I591">
        <v>82526.43996</v>
      </c>
      <c r="J591">
        <v>15.38237464298229</v>
      </c>
      <c r="K591">
        <v>0.2603886626616924</v>
      </c>
      <c r="L591">
        <v>0.696134311222891</v>
      </c>
      <c r="M591">
        <v>269.1</v>
      </c>
      <c r="N591">
        <v>189.88</v>
      </c>
    </row>
    <row r="592" spans="1:14">
      <c r="A592" s="1" t="s">
        <v>604</v>
      </c>
      <c r="B592">
        <f>HYPERLINK("https://www.suredividend.com/sure-analysis-research-database/","Citizens, Inc.")</f>
        <v>0</v>
      </c>
      <c r="C592" t="s">
        <v>3221</v>
      </c>
      <c r="D592">
        <v>4.26</v>
      </c>
      <c r="E592">
        <v>0</v>
      </c>
      <c r="H592">
        <v>0</v>
      </c>
      <c r="I592">
        <v>208.861981</v>
      </c>
      <c r="J592">
        <v>5.677602980400685</v>
      </c>
      <c r="K592">
        <v>0</v>
      </c>
      <c r="L592">
        <v>0.60395312113833</v>
      </c>
      <c r="M592">
        <v>6.99</v>
      </c>
      <c r="N592">
        <v>4.02</v>
      </c>
    </row>
    <row r="593" spans="1:14">
      <c r="A593" s="1" t="s">
        <v>605</v>
      </c>
      <c r="B593">
        <f>HYPERLINK("https://www.suredividend.com/sure-analysis-research-database/","Cinedigm Corp")</f>
        <v>0</v>
      </c>
      <c r="C593" t="s">
        <v>3228</v>
      </c>
      <c r="D593">
        <v>0.736</v>
      </c>
      <c r="E593">
        <v>0</v>
      </c>
      <c r="H593">
        <v>0</v>
      </c>
      <c r="I593">
        <v>128.705215</v>
      </c>
      <c r="J593">
        <v>0</v>
      </c>
      <c r="K593" t="s">
        <v>3219</v>
      </c>
      <c r="L593">
        <v>1.991040600024916</v>
      </c>
      <c r="M593">
        <v>2.95</v>
      </c>
      <c r="N593">
        <v>0.64</v>
      </c>
    </row>
    <row r="594" spans="1:14">
      <c r="A594" s="1" t="s">
        <v>606</v>
      </c>
      <c r="B594">
        <f>HYPERLINK("https://www.suredividend.com/sure-analysis-research-database/","CIENA Corp.")</f>
        <v>0</v>
      </c>
      <c r="C594" t="s">
        <v>3222</v>
      </c>
      <c r="D594">
        <v>55.84</v>
      </c>
      <c r="E594">
        <v>0</v>
      </c>
      <c r="H594">
        <v>0</v>
      </c>
      <c r="I594">
        <v>8494.740465000001</v>
      </c>
      <c r="J594">
        <v>17.31249750941058</v>
      </c>
      <c r="K594">
        <v>0</v>
      </c>
      <c r="L594">
        <v>1.296648423404188</v>
      </c>
      <c r="M594">
        <v>78.28</v>
      </c>
      <c r="N594">
        <v>49.51</v>
      </c>
    </row>
    <row r="595" spans="1:14">
      <c r="A595" s="1" t="s">
        <v>607</v>
      </c>
      <c r="B595">
        <f>HYPERLINK("https://www.suredividend.com/sure-analysis-CIM/","Chimera Investment Corp")</f>
        <v>0</v>
      </c>
      <c r="C595" t="s">
        <v>3224</v>
      </c>
      <c r="D595">
        <v>10.9</v>
      </c>
      <c r="E595">
        <v>0.1211009174311927</v>
      </c>
      <c r="F595">
        <v>0.09999999999999987</v>
      </c>
      <c r="G595">
        <v>-0.07974372577790922</v>
      </c>
      <c r="H595">
        <v>1.273824207946917</v>
      </c>
      <c r="I595">
        <v>2582.793161</v>
      </c>
      <c r="J595">
        <v>4.331002198205751</v>
      </c>
      <c r="K595">
        <v>0.5242074929822703</v>
      </c>
      <c r="L595">
        <v>0.8621461703876071</v>
      </c>
      <c r="M595">
        <v>16.06</v>
      </c>
      <c r="N595">
        <v>10.84</v>
      </c>
    </row>
    <row r="596" spans="1:14">
      <c r="A596" s="1" t="s">
        <v>608</v>
      </c>
      <c r="B596">
        <f>HYPERLINK("https://www.suredividend.com/sure-analysis-CINF/","Cincinnati Financial Corp.")</f>
        <v>0</v>
      </c>
      <c r="C596" t="s">
        <v>3221</v>
      </c>
      <c r="D596">
        <v>138.19</v>
      </c>
      <c r="E596">
        <v>0.01997250162819307</v>
      </c>
      <c r="F596">
        <v>0.09523809523809534</v>
      </c>
      <c r="G596">
        <v>0.06653673185724296</v>
      </c>
      <c r="H596">
        <v>2.559850164503505</v>
      </c>
      <c r="I596">
        <v>22170.342538</v>
      </c>
      <c r="J596">
        <v>7.525574520743382</v>
      </c>
      <c r="K596">
        <v>0.1413500919107402</v>
      </c>
      <c r="L596">
        <v>0.8678160283731621</v>
      </c>
      <c r="M596">
        <v>139.82</v>
      </c>
      <c r="N596">
        <v>103.41</v>
      </c>
    </row>
    <row r="597" spans="1:14">
      <c r="A597" s="1" t="s">
        <v>609</v>
      </c>
      <c r="B597">
        <f>HYPERLINK("https://www.suredividend.com/sure-analysis-CIO/","City Office REIT Inc")</f>
        <v>0</v>
      </c>
      <c r="C597" t="s">
        <v>3224</v>
      </c>
      <c r="D597">
        <v>16.16</v>
      </c>
      <c r="E597">
        <v>0.04950495049504951</v>
      </c>
      <c r="F597">
        <v>0.3333333333333335</v>
      </c>
      <c r="G597">
        <v>-0.03173902863120104</v>
      </c>
      <c r="H597">
        <v>0.690077226921703</v>
      </c>
      <c r="I597">
        <v>703.8387</v>
      </c>
      <c r="J597">
        <v>1.475630169296084</v>
      </c>
      <c r="K597">
        <v>0.06389603952978731</v>
      </c>
      <c r="L597">
        <v>0.9324853408305751</v>
      </c>
      <c r="M597">
        <v>21.24</v>
      </c>
      <c r="N597">
        <v>10.17</v>
      </c>
    </row>
    <row r="598" spans="1:14">
      <c r="A598" s="1" t="s">
        <v>610</v>
      </c>
      <c r="B598">
        <f>HYPERLINK("https://www.suredividend.com/sure-analysis-research-database/","Circor International Inc")</f>
        <v>0</v>
      </c>
      <c r="C598" t="s">
        <v>3220</v>
      </c>
      <c r="D598">
        <v>23.88</v>
      </c>
      <c r="E598">
        <v>0</v>
      </c>
      <c r="H598">
        <v>0</v>
      </c>
      <c r="I598">
        <v>483.760921</v>
      </c>
      <c r="J598" t="s">
        <v>3219</v>
      </c>
      <c r="K598">
        <v>-0</v>
      </c>
      <c r="L598">
        <v>1.506724795829864</v>
      </c>
      <c r="M598">
        <v>39.48</v>
      </c>
      <c r="N598">
        <v>23.22</v>
      </c>
    </row>
    <row r="599" spans="1:14">
      <c r="A599" s="1" t="s">
        <v>611</v>
      </c>
      <c r="B599">
        <f>HYPERLINK("https://www.suredividend.com/sure-analysis-research-database/","CIT Group Inc")</f>
        <v>0</v>
      </c>
      <c r="C599" t="s">
        <v>3221</v>
      </c>
      <c r="D599">
        <v>53.5</v>
      </c>
      <c r="E599">
        <v>0.025891808250519</v>
      </c>
      <c r="H599">
        <v>1.3852117414028</v>
      </c>
      <c r="I599">
        <v>5305.57895</v>
      </c>
      <c r="J599">
        <v>7.74876434935008</v>
      </c>
      <c r="K599">
        <v>0.2016319856481514</v>
      </c>
      <c r="L599">
        <v>1.250922609319329</v>
      </c>
      <c r="M599">
        <v>56.21</v>
      </c>
      <c r="N599">
        <v>34.51</v>
      </c>
    </row>
    <row r="600" spans="1:14">
      <c r="A600" s="1" t="s">
        <v>612</v>
      </c>
      <c r="B600">
        <f>HYPERLINK("https://www.suredividend.com/sure-analysis-research-database/","Civista Bancshares Inc")</f>
        <v>0</v>
      </c>
      <c r="C600" t="s">
        <v>3221</v>
      </c>
      <c r="D600">
        <v>22.63</v>
      </c>
      <c r="E600">
        <v>0.023665869261819</v>
      </c>
      <c r="H600">
        <v>0.535558621394964</v>
      </c>
      <c r="I600">
        <v>337.605994</v>
      </c>
      <c r="J600">
        <v>8.326493228678538</v>
      </c>
      <c r="K600">
        <v>0.2028631141647591</v>
      </c>
      <c r="L600">
        <v>0.569372699303565</v>
      </c>
      <c r="M600">
        <v>25.79</v>
      </c>
      <c r="N600">
        <v>21.03</v>
      </c>
    </row>
    <row r="601" spans="1:14">
      <c r="A601" s="1" t="s">
        <v>613</v>
      </c>
      <c r="B601">
        <f>HYPERLINK("https://www.suredividend.com/sure-analysis-research-database/","Compx International, Inc.")</f>
        <v>0</v>
      </c>
      <c r="C601" t="s">
        <v>3220</v>
      </c>
      <c r="D601">
        <v>22.66</v>
      </c>
      <c r="E601">
        <v>0.036979091334311</v>
      </c>
      <c r="F601">
        <v>0.25</v>
      </c>
      <c r="G601">
        <v>0.3797296614612149</v>
      </c>
      <c r="H601">
        <v>0.837946209635491</v>
      </c>
      <c r="I601">
        <v>280.545688</v>
      </c>
      <c r="J601">
        <v>16.9329845255915</v>
      </c>
      <c r="K601">
        <v>0.6300347440868354</v>
      </c>
      <c r="L601">
        <v>0.6172982682061581</v>
      </c>
      <c r="M601">
        <v>25</v>
      </c>
      <c r="N601">
        <v>17.79</v>
      </c>
    </row>
    <row r="602" spans="1:14">
      <c r="A602" s="1" t="s">
        <v>614</v>
      </c>
      <c r="B602">
        <f>HYPERLINK("https://www.suredividend.com/sure-analysis-research-database/","Citizens Holding Co")</f>
        <v>0</v>
      </c>
      <c r="C602" t="s">
        <v>3221</v>
      </c>
      <c r="D602">
        <v>18.5</v>
      </c>
      <c r="E602">
        <v>0.050712260629572</v>
      </c>
      <c r="F602">
        <v>0</v>
      </c>
      <c r="G602">
        <v>0</v>
      </c>
      <c r="H602">
        <v>0.938176821647088</v>
      </c>
      <c r="I602">
        <v>103.360795</v>
      </c>
      <c r="J602">
        <v>0</v>
      </c>
      <c r="K602" t="s">
        <v>3219</v>
      </c>
      <c r="M602">
        <v>21.75</v>
      </c>
      <c r="N602">
        <v>16.11</v>
      </c>
    </row>
    <row r="603" spans="1:14">
      <c r="A603" s="1" t="s">
        <v>615</v>
      </c>
      <c r="B603">
        <f>HYPERLINK("https://www.suredividend.com/sure-analysis-research-database/","SEACOR Holdings Inc")</f>
        <v>0</v>
      </c>
      <c r="C603" t="s">
        <v>3226</v>
      </c>
      <c r="D603">
        <v>41.5</v>
      </c>
      <c r="E603">
        <v>0</v>
      </c>
      <c r="H603">
        <v>0</v>
      </c>
      <c r="I603">
        <v>850.6904060000001</v>
      </c>
      <c r="J603">
        <v>36.49308935695594</v>
      </c>
      <c r="K603">
        <v>0</v>
      </c>
      <c r="L603">
        <v>1.038796686823308</v>
      </c>
      <c r="M603">
        <v>43.73</v>
      </c>
      <c r="N603">
        <v>22.61</v>
      </c>
    </row>
    <row r="604" spans="1:14">
      <c r="A604" s="1" t="s">
        <v>616</v>
      </c>
      <c r="B604">
        <f>HYPERLINK("https://www.suredividend.com/sure-analysis-research-database/","CKX Lands Inc")</f>
        <v>0</v>
      </c>
      <c r="C604" t="s">
        <v>3226</v>
      </c>
      <c r="D604">
        <v>12.58</v>
      </c>
      <c r="E604">
        <v>0</v>
      </c>
      <c r="H604">
        <v>0</v>
      </c>
      <c r="I604">
        <v>24.436587</v>
      </c>
      <c r="J604">
        <v>0</v>
      </c>
      <c r="K604" t="s">
        <v>3219</v>
      </c>
      <c r="M604">
        <v>19.58</v>
      </c>
      <c r="N604">
        <v>10.21</v>
      </c>
    </row>
    <row r="605" spans="1:14">
      <c r="A605" s="1" t="s">
        <v>617</v>
      </c>
      <c r="B605">
        <f>HYPERLINK("https://www.suredividend.com/sure-analysis-CL/","Colgate-Palmolive Co.")</f>
        <v>0</v>
      </c>
      <c r="C605" t="s">
        <v>3225</v>
      </c>
      <c r="D605">
        <v>80.94</v>
      </c>
      <c r="E605">
        <v>0.02322708178897949</v>
      </c>
      <c r="F605">
        <v>0.02272727272727271</v>
      </c>
      <c r="G605">
        <v>0.02383625553960966</v>
      </c>
      <c r="H605">
        <v>1.784934798954683</v>
      </c>
      <c r="I605">
        <v>68037.635219</v>
      </c>
      <c r="J605">
        <v>31.41165060894737</v>
      </c>
      <c r="K605">
        <v>0.6999744309626209</v>
      </c>
      <c r="L605">
        <v>0.209946977242368</v>
      </c>
      <c r="M605">
        <v>85.15000000000001</v>
      </c>
      <c r="N605">
        <v>72.2</v>
      </c>
    </row>
    <row r="606" spans="1:14">
      <c r="A606" s="1" t="s">
        <v>618</v>
      </c>
      <c r="B606">
        <f>HYPERLINK("https://www.suredividend.com/sure-analysis-research-database/","Clarus Corp")</f>
        <v>0</v>
      </c>
      <c r="C606" t="s">
        <v>3223</v>
      </c>
      <c r="D606">
        <v>21.52</v>
      </c>
      <c r="E606">
        <v>0.004640055858225</v>
      </c>
      <c r="H606">
        <v>0.09985400206900701</v>
      </c>
      <c r="I606">
        <v>800.530206</v>
      </c>
      <c r="J606">
        <v>30.67988371134021</v>
      </c>
      <c r="K606">
        <v>0.1365618190221649</v>
      </c>
      <c r="L606">
        <v>1.28317086639781</v>
      </c>
      <c r="M606">
        <v>32.27</v>
      </c>
      <c r="N606">
        <v>17.43</v>
      </c>
    </row>
    <row r="607" spans="1:14">
      <c r="A607" s="1" t="s">
        <v>619</v>
      </c>
      <c r="B607">
        <f>HYPERLINK("https://www.suredividend.com/sure-analysis-research-database/","Core Laboratories N.V.")</f>
        <v>0</v>
      </c>
      <c r="C607" t="s">
        <v>3226</v>
      </c>
      <c r="D607">
        <v>33.61</v>
      </c>
      <c r="E607">
        <v>0.001189461457117</v>
      </c>
      <c r="F607">
        <v>0</v>
      </c>
      <c r="G607">
        <v>-0.5513295553650404</v>
      </c>
      <c r="H607">
        <v>0.03997779957373</v>
      </c>
      <c r="I607">
        <v>1555.376961</v>
      </c>
      <c r="J607">
        <v>78.84508343285852</v>
      </c>
      <c r="K607">
        <v>0.09462201082539645</v>
      </c>
      <c r="L607">
        <v>0.575122086587738</v>
      </c>
      <c r="M607">
        <v>49.82</v>
      </c>
      <c r="N607">
        <v>21.07</v>
      </c>
    </row>
    <row r="608" spans="1:14">
      <c r="A608" s="1" t="s">
        <v>620</v>
      </c>
      <c r="B608">
        <f>HYPERLINK("https://www.suredividend.com/sure-analysis-research-database/","Columbia Financial, Inc")</f>
        <v>0</v>
      </c>
      <c r="C608" t="s">
        <v>3221</v>
      </c>
      <c r="D608">
        <v>21.6</v>
      </c>
      <c r="E608">
        <v>0</v>
      </c>
      <c r="H608">
        <v>0</v>
      </c>
      <c r="I608">
        <v>2307.127385</v>
      </c>
      <c r="J608">
        <v>25.06412220447805</v>
      </c>
      <c r="K608">
        <v>0</v>
      </c>
      <c r="L608">
        <v>0.5274404676950151</v>
      </c>
      <c r="M608">
        <v>22.71</v>
      </c>
      <c r="N608">
        <v>16.34</v>
      </c>
    </row>
    <row r="609" spans="1:14">
      <c r="A609" s="1" t="s">
        <v>621</v>
      </c>
      <c r="B609">
        <f>HYPERLINK("https://www.suredividend.com/sure-analysis-research-database/","Caladrius Biosciences Inc")</f>
        <v>0</v>
      </c>
      <c r="C609" t="s">
        <v>3217</v>
      </c>
      <c r="D609">
        <v>0.68</v>
      </c>
      <c r="E609">
        <v>0</v>
      </c>
      <c r="H609">
        <v>0</v>
      </c>
      <c r="I609">
        <v>40.650301</v>
      </c>
      <c r="J609">
        <v>0</v>
      </c>
      <c r="K609" t="s">
        <v>3219</v>
      </c>
      <c r="L609">
        <v>0.901499605180716</v>
      </c>
      <c r="M609">
        <v>1.71</v>
      </c>
      <c r="N609">
        <v>0.63</v>
      </c>
    </row>
    <row r="610" spans="1:14">
      <c r="A610" s="1" t="s">
        <v>622</v>
      </c>
      <c r="B610">
        <f>HYPERLINK("https://www.suredividend.com/sure-analysis-research-database/","Collectors Universe Inc")</f>
        <v>0</v>
      </c>
      <c r="C610" t="s">
        <v>3220</v>
      </c>
      <c r="D610">
        <v>91.92</v>
      </c>
      <c r="E610">
        <v>0</v>
      </c>
      <c r="H610">
        <v>0.5249999910593031</v>
      </c>
      <c r="I610">
        <v>0</v>
      </c>
      <c r="J610">
        <v>0</v>
      </c>
      <c r="K610" t="s">
        <v>3219</v>
      </c>
    </row>
    <row r="611" spans="1:14">
      <c r="A611" s="1" t="s">
        <v>623</v>
      </c>
      <c r="B611">
        <f>HYPERLINK("https://www.suredividend.com/sure-analysis-research-database/","Cloudera Inc")</f>
        <v>0</v>
      </c>
      <c r="C611" t="s">
        <v>3222</v>
      </c>
      <c r="D611">
        <v>15.99</v>
      </c>
      <c r="E611">
        <v>0</v>
      </c>
      <c r="H611">
        <v>0</v>
      </c>
      <c r="I611">
        <v>4736.508359</v>
      </c>
      <c r="J611" t="s">
        <v>3219</v>
      </c>
      <c r="K611">
        <v>-0</v>
      </c>
      <c r="L611">
        <v>0.8643407652207561</v>
      </c>
      <c r="M611">
        <v>19.35</v>
      </c>
      <c r="N611">
        <v>9.34</v>
      </c>
    </row>
    <row r="612" spans="1:14">
      <c r="A612" s="1" t="s">
        <v>624</v>
      </c>
      <c r="B612">
        <f>HYPERLINK("https://www.suredividend.com/sure-analysis-research-database/","Chatham Lodging Trust")</f>
        <v>0</v>
      </c>
      <c r="C612" t="s">
        <v>3224</v>
      </c>
      <c r="D612">
        <v>13.74</v>
      </c>
      <c r="E612">
        <v>0</v>
      </c>
      <c r="F612">
        <v>0</v>
      </c>
      <c r="G612">
        <v>0</v>
      </c>
      <c r="H612">
        <v>0</v>
      </c>
      <c r="I612">
        <v>670.572896</v>
      </c>
      <c r="J612" t="s">
        <v>3219</v>
      </c>
      <c r="K612">
        <v>-0</v>
      </c>
      <c r="L612">
        <v>1.054176735370803</v>
      </c>
      <c r="M612">
        <v>15.12</v>
      </c>
      <c r="N612">
        <v>11</v>
      </c>
    </row>
    <row r="613" spans="1:14">
      <c r="A613" s="1" t="s">
        <v>625</v>
      </c>
      <c r="B613">
        <f>HYPERLINK("https://www.suredividend.com/sure-analysis-research-database/","Celldex Therapeutics Inc.")</f>
        <v>0</v>
      </c>
      <c r="C613" t="s">
        <v>3217</v>
      </c>
      <c r="D613">
        <v>35.84</v>
      </c>
      <c r="E613">
        <v>0</v>
      </c>
      <c r="H613">
        <v>0</v>
      </c>
      <c r="I613">
        <v>1674.983332</v>
      </c>
      <c r="J613" t="s">
        <v>3219</v>
      </c>
      <c r="K613">
        <v>-0</v>
      </c>
      <c r="L613">
        <v>1.749036968921551</v>
      </c>
      <c r="M613">
        <v>57.2</v>
      </c>
      <c r="N613">
        <v>23.11</v>
      </c>
    </row>
    <row r="614" spans="1:14">
      <c r="A614" s="1" t="s">
        <v>626</v>
      </c>
      <c r="B614">
        <f>HYPERLINK("https://www.suredividend.com/sure-analysis-research-database/","Cleveland-Cliffs Inc")</f>
        <v>0</v>
      </c>
      <c r="C614" t="s">
        <v>3218</v>
      </c>
      <c r="D614">
        <v>30.84</v>
      </c>
      <c r="E614">
        <v>0</v>
      </c>
      <c r="H614">
        <v>0</v>
      </c>
      <c r="I614">
        <v>16203.635302</v>
      </c>
      <c r="J614">
        <v>5.422903380923695</v>
      </c>
      <c r="K614">
        <v>0</v>
      </c>
      <c r="L614">
        <v>1.439245219306367</v>
      </c>
      <c r="M614">
        <v>34.04</v>
      </c>
      <c r="N614">
        <v>15.81</v>
      </c>
    </row>
    <row r="615" spans="1:14">
      <c r="A615" s="1" t="s">
        <v>627</v>
      </c>
      <c r="B615">
        <f>HYPERLINK("https://www.suredividend.com/sure-analysis-research-database/","Clearfield Inc")</f>
        <v>0</v>
      </c>
      <c r="C615" t="s">
        <v>3222</v>
      </c>
      <c r="D615">
        <v>59.02</v>
      </c>
      <c r="E615">
        <v>0</v>
      </c>
      <c r="H615">
        <v>0</v>
      </c>
      <c r="I615">
        <v>812.260566</v>
      </c>
      <c r="J615">
        <v>0</v>
      </c>
      <c r="K615" t="s">
        <v>3219</v>
      </c>
      <c r="L615">
        <v>2.58372558300862</v>
      </c>
      <c r="M615">
        <v>86.70999999999999</v>
      </c>
      <c r="N615">
        <v>28.3</v>
      </c>
    </row>
    <row r="616" spans="1:14">
      <c r="A616" s="1" t="s">
        <v>628</v>
      </c>
      <c r="B616">
        <f>HYPERLINK("https://www.suredividend.com/sure-analysis-research-database/","CoreLogic Inc")</f>
        <v>0</v>
      </c>
      <c r="C616" t="s">
        <v>3222</v>
      </c>
      <c r="D616">
        <v>80</v>
      </c>
      <c r="E616">
        <v>0.012325071757486</v>
      </c>
      <c r="H616">
        <v>0.9860057405989241</v>
      </c>
      <c r="I616">
        <v>5889.47856</v>
      </c>
      <c r="J616">
        <v>18.3416855913148</v>
      </c>
      <c r="K616">
        <v>0.2428585567977646</v>
      </c>
      <c r="M616">
        <v>90.34</v>
      </c>
      <c r="N616">
        <v>44.22</v>
      </c>
    </row>
    <row r="617" spans="1:14">
      <c r="A617" s="1" t="s">
        <v>629</v>
      </c>
      <c r="B617">
        <f>HYPERLINK("https://www.suredividend.com/sure-analysis-research-database/","Clean Harbors, Inc.")</f>
        <v>0</v>
      </c>
      <c r="C617" t="s">
        <v>3220</v>
      </c>
      <c r="D617">
        <v>107.86</v>
      </c>
      <c r="E617">
        <v>0</v>
      </c>
      <c r="H617">
        <v>0</v>
      </c>
      <c r="I617">
        <v>5868.125565</v>
      </c>
      <c r="J617">
        <v>28.87189264815717</v>
      </c>
      <c r="K617">
        <v>0</v>
      </c>
      <c r="L617">
        <v>0.958671807271894</v>
      </c>
      <c r="M617">
        <v>118.89</v>
      </c>
      <c r="N617">
        <v>86.17</v>
      </c>
    </row>
    <row r="618" spans="1:14">
      <c r="A618" s="1" t="s">
        <v>630</v>
      </c>
      <c r="B618">
        <f>HYPERLINK("https://www.suredividend.com/sure-analysis-research-database/","ClearSign Technologies Corp")</f>
        <v>0</v>
      </c>
      <c r="C618" t="s">
        <v>3220</v>
      </c>
      <c r="D618">
        <v>1.43</v>
      </c>
      <c r="E618">
        <v>0</v>
      </c>
      <c r="H618">
        <v>0</v>
      </c>
      <c r="I618">
        <v>45.975924</v>
      </c>
      <c r="J618">
        <v>0</v>
      </c>
      <c r="K618" t="s">
        <v>3219</v>
      </c>
      <c r="L618">
        <v>1.749842808383028</v>
      </c>
      <c r="M618">
        <v>5.44</v>
      </c>
      <c r="N618">
        <v>1</v>
      </c>
    </row>
    <row r="619" spans="1:14">
      <c r="A619" s="1" t="s">
        <v>631</v>
      </c>
      <c r="B619">
        <f>HYPERLINK("https://www.suredividend.com/sure-analysis-research-database/","Clean Energy Fuels Corp")</f>
        <v>0</v>
      </c>
      <c r="C619" t="s">
        <v>3226</v>
      </c>
      <c r="D619">
        <v>7.22</v>
      </c>
      <c r="E619">
        <v>0</v>
      </c>
      <c r="H619">
        <v>0</v>
      </c>
      <c r="I619">
        <v>1607.989304</v>
      </c>
      <c r="J619" t="s">
        <v>3219</v>
      </c>
      <c r="K619">
        <v>-0</v>
      </c>
      <c r="L619">
        <v>1.557924400938588</v>
      </c>
      <c r="M619">
        <v>14.5</v>
      </c>
      <c r="N619">
        <v>4.7</v>
      </c>
    </row>
    <row r="620" spans="1:14">
      <c r="A620" s="1" t="s">
        <v>632</v>
      </c>
      <c r="B620">
        <f>HYPERLINK("https://www.suredividend.com/sure-analysis-CLPR/","Clipper Realty Inc")</f>
        <v>0</v>
      </c>
      <c r="C620" t="s">
        <v>3224</v>
      </c>
      <c r="D620">
        <v>9.1</v>
      </c>
      <c r="E620">
        <v>0.04175824175824176</v>
      </c>
      <c r="F620">
        <v>0</v>
      </c>
      <c r="G620">
        <v>0</v>
      </c>
      <c r="H620">
        <v>0.374032122577458</v>
      </c>
      <c r="I620">
        <v>146.175375</v>
      </c>
      <c r="J620">
        <v>0</v>
      </c>
      <c r="K620" t="s">
        <v>3219</v>
      </c>
      <c r="L620">
        <v>0.7502216553652861</v>
      </c>
      <c r="M620">
        <v>10.3</v>
      </c>
      <c r="N620">
        <v>6.92</v>
      </c>
    </row>
    <row r="621" spans="1:14">
      <c r="A621" s="1" t="s">
        <v>633</v>
      </c>
      <c r="B621">
        <f>HYPERLINK("https://www.suredividend.com/sure-analysis-research-database/","Continental Resources Inc (OKLA)")</f>
        <v>0</v>
      </c>
      <c r="C621" t="s">
        <v>3226</v>
      </c>
      <c r="D621">
        <v>65.39</v>
      </c>
      <c r="E621">
        <v>0.010498536172701</v>
      </c>
      <c r="H621">
        <v>0.68649928033297</v>
      </c>
      <c r="I621">
        <v>23821.469041</v>
      </c>
      <c r="J621">
        <v>14.34191931518849</v>
      </c>
      <c r="K621">
        <v>0.150548087792318</v>
      </c>
      <c r="L621">
        <v>0.9532522690915971</v>
      </c>
      <c r="M621">
        <v>66.70999999999999</v>
      </c>
      <c r="N621">
        <v>24.28</v>
      </c>
    </row>
    <row r="622" spans="1:14">
      <c r="A622" s="1" t="s">
        <v>634</v>
      </c>
      <c r="B622">
        <f>HYPERLINK("https://www.suredividend.com/sure-analysis-research-database/","Cellectar Biosciences Inc")</f>
        <v>0</v>
      </c>
      <c r="C622" t="s">
        <v>3217</v>
      </c>
      <c r="D622">
        <v>0.6886</v>
      </c>
      <c r="E622">
        <v>0</v>
      </c>
      <c r="H622">
        <v>0</v>
      </c>
      <c r="I622">
        <v>42.07433</v>
      </c>
      <c r="J622">
        <v>0</v>
      </c>
      <c r="K622" t="s">
        <v>3219</v>
      </c>
      <c r="L622">
        <v>1.153284876437499</v>
      </c>
      <c r="M622">
        <v>1.84</v>
      </c>
      <c r="N622">
        <v>0.44</v>
      </c>
    </row>
    <row r="623" spans="1:14">
      <c r="A623" s="1" t="s">
        <v>635</v>
      </c>
      <c r="B623">
        <f>HYPERLINK("https://www.suredividend.com/sure-analysis-research-database/","ClearOne Inc")</f>
        <v>0</v>
      </c>
      <c r="C623" t="s">
        <v>3222</v>
      </c>
      <c r="D623">
        <v>0.9197000000000001</v>
      </c>
      <c r="E623">
        <v>0</v>
      </c>
      <c r="H623">
        <v>0</v>
      </c>
      <c r="I623">
        <v>17.271765</v>
      </c>
      <c r="J623">
        <v>0</v>
      </c>
      <c r="K623" t="s">
        <v>3219</v>
      </c>
      <c r="L623">
        <v>0.8324864305320431</v>
      </c>
      <c r="M623">
        <v>3.28</v>
      </c>
      <c r="N623">
        <v>0.7309</v>
      </c>
    </row>
    <row r="624" spans="1:14">
      <c r="A624" s="1" t="s">
        <v>636</v>
      </c>
      <c r="B624">
        <f>HYPERLINK("https://www.suredividend.com/sure-analysis-research-database/","Celsion Corp")</f>
        <v>0</v>
      </c>
      <c r="C624" t="s">
        <v>3217</v>
      </c>
      <c r="D624">
        <v>3.5</v>
      </c>
      <c r="E624">
        <v>0</v>
      </c>
      <c r="H624">
        <v>0</v>
      </c>
      <c r="I624">
        <v>20.196806</v>
      </c>
      <c r="J624" t="s">
        <v>3219</v>
      </c>
      <c r="K624">
        <v>-0</v>
      </c>
      <c r="L624">
        <v>1.207529375222169</v>
      </c>
      <c r="M624">
        <v>23.25</v>
      </c>
      <c r="N624">
        <v>3.26</v>
      </c>
    </row>
    <row r="625" spans="1:14">
      <c r="A625" s="1" t="s">
        <v>637</v>
      </c>
      <c r="B625">
        <f>HYPERLINK("https://www.suredividend.com/sure-analysis-research-database/","Clovis Oncology Inc")</f>
        <v>0</v>
      </c>
      <c r="C625" t="s">
        <v>3217</v>
      </c>
      <c r="D625">
        <v>2.28</v>
      </c>
      <c r="E625">
        <v>0</v>
      </c>
      <c r="H625">
        <v>0</v>
      </c>
      <c r="I625">
        <v>324.317802</v>
      </c>
      <c r="J625" t="s">
        <v>3219</v>
      </c>
      <c r="K625">
        <v>-0</v>
      </c>
      <c r="L625">
        <v>1.83434544825299</v>
      </c>
      <c r="M625">
        <v>7.24</v>
      </c>
      <c r="N625">
        <v>1.35</v>
      </c>
    </row>
    <row r="626" spans="1:14">
      <c r="A626" s="1" t="s">
        <v>638</v>
      </c>
      <c r="B626">
        <f>HYPERLINK("https://www.suredividend.com/sure-analysis-research-database/","Clearwater Paper Corp")</f>
        <v>0</v>
      </c>
      <c r="C626" t="s">
        <v>3218</v>
      </c>
      <c r="D626">
        <v>27.18</v>
      </c>
      <c r="E626">
        <v>0</v>
      </c>
      <c r="H626">
        <v>0</v>
      </c>
      <c r="I626">
        <v>456.895882</v>
      </c>
      <c r="J626" t="s">
        <v>3219</v>
      </c>
      <c r="K626">
        <v>-0</v>
      </c>
      <c r="L626">
        <v>0.6573496926088881</v>
      </c>
      <c r="M626">
        <v>44.73</v>
      </c>
      <c r="N626">
        <v>25.07</v>
      </c>
    </row>
    <row r="627" spans="1:14">
      <c r="A627" s="1" t="s">
        <v>639</v>
      </c>
      <c r="B627">
        <f>HYPERLINK("https://www.suredividend.com/sure-analysis-CLX/","Clorox Co.")</f>
        <v>0</v>
      </c>
      <c r="C627" t="s">
        <v>3225</v>
      </c>
      <c r="D627">
        <v>145.57</v>
      </c>
      <c r="E627">
        <v>0.03187469945730576</v>
      </c>
      <c r="F627">
        <v>0.04504504504504481</v>
      </c>
      <c r="G627">
        <v>0.07714358779274311</v>
      </c>
      <c r="H627">
        <v>4.544489013109209</v>
      </c>
      <c r="I627">
        <v>17885.132847</v>
      </c>
      <c r="J627">
        <v>72.4094447231579</v>
      </c>
      <c r="K627">
        <v>2.306847214776248</v>
      </c>
      <c r="L627">
        <v>-0.030945858050078</v>
      </c>
      <c r="M627">
        <v>192.75</v>
      </c>
      <c r="N627">
        <v>127.02</v>
      </c>
    </row>
    <row r="628" spans="1:14">
      <c r="A628" s="1" t="s">
        <v>640</v>
      </c>
      <c r="B628">
        <f>HYPERLINK("https://www.suredividend.com/sure-analysis-research-database/","Calyxt Inc")</f>
        <v>0</v>
      </c>
      <c r="C628" t="s">
        <v>3225</v>
      </c>
      <c r="D628">
        <v>0.66</v>
      </c>
      <c r="E628">
        <v>0</v>
      </c>
      <c r="H628">
        <v>0</v>
      </c>
      <c r="I628">
        <v>28.194494</v>
      </c>
      <c r="J628" t="s">
        <v>3219</v>
      </c>
      <c r="K628">
        <v>-0</v>
      </c>
      <c r="L628">
        <v>1.242537579732667</v>
      </c>
      <c r="M628">
        <v>5.76</v>
      </c>
      <c r="N628">
        <v>0.6502</v>
      </c>
    </row>
    <row r="629" spans="1:14">
      <c r="A629" s="1" t="s">
        <v>641</v>
      </c>
      <c r="B629">
        <f>HYPERLINK("https://www.suredividend.com/sure-analysis-CMA/","Comerica, Inc.")</f>
        <v>0</v>
      </c>
      <c r="C629" t="s">
        <v>3221</v>
      </c>
      <c r="D629">
        <v>88.37</v>
      </c>
      <c r="E629">
        <v>0.03077967636075591</v>
      </c>
      <c r="F629">
        <v>0</v>
      </c>
      <c r="G629">
        <v>0.212012539154832</v>
      </c>
      <c r="H629">
        <v>2.686913060800181</v>
      </c>
      <c r="I629">
        <v>11583.428519</v>
      </c>
      <c r="J629">
        <v>10.16090220957018</v>
      </c>
      <c r="K629">
        <v>0.3229462813461756</v>
      </c>
      <c r="L629">
        <v>1.249512358581457</v>
      </c>
      <c r="M629">
        <v>101.3</v>
      </c>
      <c r="N629">
        <v>61.49</v>
      </c>
    </row>
    <row r="630" spans="1:14">
      <c r="A630" s="1" t="s">
        <v>642</v>
      </c>
      <c r="B630">
        <f>HYPERLINK("https://www.suredividend.com/sure-analysis-research-database/","Commercial Metals Co.")</f>
        <v>0</v>
      </c>
      <c r="C630" t="s">
        <v>3218</v>
      </c>
      <c r="D630">
        <v>44.32</v>
      </c>
      <c r="E630">
        <v>0.012120842972781</v>
      </c>
      <c r="F630">
        <v>0.1666666666666667</v>
      </c>
      <c r="G630">
        <v>0.03131030647754507</v>
      </c>
      <c r="H630">
        <v>0.537195760553668</v>
      </c>
      <c r="I630">
        <v>5384.048291</v>
      </c>
      <c r="J630">
        <v>5.991476123202517</v>
      </c>
      <c r="K630">
        <v>0.07328727974811296</v>
      </c>
      <c r="L630">
        <v>0.9544144722493961</v>
      </c>
      <c r="M630">
        <v>44.62</v>
      </c>
      <c r="N630">
        <v>27.27</v>
      </c>
    </row>
    <row r="631" spans="1:14">
      <c r="A631" s="1" t="s">
        <v>643</v>
      </c>
      <c r="B631">
        <f>HYPERLINK("https://www.suredividend.com/sure-analysis-research-database/","Columbus Mckinnon Corp.")</f>
        <v>0</v>
      </c>
      <c r="C631" t="s">
        <v>3220</v>
      </c>
      <c r="D631">
        <v>37.93</v>
      </c>
      <c r="E631">
        <v>0.006315294977351</v>
      </c>
      <c r="F631">
        <v>0</v>
      </c>
      <c r="G631">
        <v>0.08447177119769855</v>
      </c>
      <c r="H631">
        <v>0.239539138490954</v>
      </c>
      <c r="I631">
        <v>1081.296075</v>
      </c>
      <c r="J631">
        <v>39.43601425361975</v>
      </c>
      <c r="K631">
        <v>0.239539138490954</v>
      </c>
      <c r="L631">
        <v>1.000750492396386</v>
      </c>
      <c r="M631">
        <v>55.36</v>
      </c>
      <c r="N631">
        <v>36.28</v>
      </c>
    </row>
    <row r="632" spans="1:14">
      <c r="A632" s="1" t="s">
        <v>644</v>
      </c>
      <c r="B632">
        <f>HYPERLINK("https://www.suredividend.com/sure-analysis-CMCSA/","Comcast Corp")</f>
        <v>0</v>
      </c>
      <c r="C632" t="s">
        <v>3228</v>
      </c>
      <c r="D632">
        <v>47.58</v>
      </c>
      <c r="E632">
        <v>0.02269861286254729</v>
      </c>
      <c r="F632">
        <v>0.08000000000000007</v>
      </c>
      <c r="G632">
        <v>0.1138241786028791</v>
      </c>
      <c r="H632">
        <v>1.012251691014068</v>
      </c>
      <c r="I632">
        <v>215241.735501</v>
      </c>
      <c r="J632">
        <v>15.20283482843622</v>
      </c>
      <c r="K632">
        <v>0.3329775299388382</v>
      </c>
      <c r="L632">
        <v>0.7365648438280561</v>
      </c>
      <c r="M632">
        <v>60.88</v>
      </c>
      <c r="N632">
        <v>44.02</v>
      </c>
    </row>
    <row r="633" spans="1:14">
      <c r="A633" s="1" t="s">
        <v>645</v>
      </c>
      <c r="B633">
        <f>HYPERLINK("https://www.suredividend.com/sure-analysis-research-database/","Creative Media &amp; Community Trust")</f>
        <v>0</v>
      </c>
      <c r="C633" t="s">
        <v>3224</v>
      </c>
      <c r="D633">
        <v>7.46</v>
      </c>
      <c r="E633">
        <v>0.040918035239106</v>
      </c>
      <c r="F633">
        <v>0.1333333333333335</v>
      </c>
      <c r="G633">
        <v>-0.07423281511916258</v>
      </c>
      <c r="H633">
        <v>0.305248542883736</v>
      </c>
      <c r="I633">
        <v>174.335209</v>
      </c>
      <c r="J633">
        <v>0</v>
      </c>
      <c r="K633" t="s">
        <v>3219</v>
      </c>
      <c r="L633">
        <v>0.190292104118123</v>
      </c>
      <c r="M633">
        <v>12.08</v>
      </c>
      <c r="N633">
        <v>6.36</v>
      </c>
    </row>
    <row r="634" spans="1:14">
      <c r="A634" s="1" t="s">
        <v>646</v>
      </c>
      <c r="B634">
        <f>HYPERLINK("https://www.suredividend.com/sure-analysis-research-database/","Cantel Medical Corp")</f>
        <v>0</v>
      </c>
      <c r="C634" t="s">
        <v>3217</v>
      </c>
      <c r="D634">
        <v>80.37</v>
      </c>
      <c r="E634">
        <v>0</v>
      </c>
      <c r="H634">
        <v>0</v>
      </c>
      <c r="I634">
        <v>3400.793299</v>
      </c>
      <c r="J634">
        <v>72.76447565761603</v>
      </c>
      <c r="K634">
        <v>0</v>
      </c>
      <c r="L634">
        <v>1.250781572994958</v>
      </c>
      <c r="M634">
        <v>89.76000000000001</v>
      </c>
      <c r="N634">
        <v>39.4</v>
      </c>
    </row>
    <row r="635" spans="1:14">
      <c r="A635" s="1" t="s">
        <v>647</v>
      </c>
      <c r="B635">
        <f>HYPERLINK("https://www.suredividend.com/sure-analysis-CME/","CME Group Inc")</f>
        <v>0</v>
      </c>
      <c r="C635" t="s">
        <v>3221</v>
      </c>
      <c r="D635">
        <v>237.66</v>
      </c>
      <c r="E635">
        <v>0.01683076664142052</v>
      </c>
      <c r="F635">
        <v>0.1111111111111112</v>
      </c>
      <c r="G635">
        <v>0.07394092378577932</v>
      </c>
      <c r="H635">
        <v>3.676779485196661</v>
      </c>
      <c r="I635">
        <v>85419.62862600001</v>
      </c>
      <c r="J635">
        <v>32.63903886971839</v>
      </c>
      <c r="K635">
        <v>0.5043593258157286</v>
      </c>
      <c r="L635">
        <v>0.6516662771574301</v>
      </c>
      <c r="M635">
        <v>255.79</v>
      </c>
      <c r="N635">
        <v>184.24</v>
      </c>
    </row>
    <row r="636" spans="1:14">
      <c r="A636" s="1" t="s">
        <v>648</v>
      </c>
      <c r="B636">
        <f>HYPERLINK("https://www.suredividend.com/sure-analysis-research-database/","Chipotle Mexican Grill")</f>
        <v>0</v>
      </c>
      <c r="C636" t="s">
        <v>3223</v>
      </c>
      <c r="D636">
        <v>1603.17</v>
      </c>
      <c r="E636">
        <v>0</v>
      </c>
      <c r="H636">
        <v>0</v>
      </c>
      <c r="I636">
        <v>44919.928831</v>
      </c>
      <c r="J636">
        <v>68.79177565015375</v>
      </c>
      <c r="K636">
        <v>0</v>
      </c>
      <c r="L636">
        <v>1.322394349669944</v>
      </c>
      <c r="M636">
        <v>1958.55</v>
      </c>
      <c r="N636">
        <v>1277.41</v>
      </c>
    </row>
    <row r="637" spans="1:14">
      <c r="A637" s="1" t="s">
        <v>649</v>
      </c>
      <c r="B637">
        <f>HYPERLINK("https://www.suredividend.com/sure-analysis-CMI/","Cummins Inc.")</f>
        <v>0</v>
      </c>
      <c r="C637" t="s">
        <v>3220</v>
      </c>
      <c r="D637">
        <v>195.94</v>
      </c>
      <c r="E637">
        <v>0.02960089823415331</v>
      </c>
      <c r="F637">
        <v>0.07407407407407396</v>
      </c>
      <c r="G637">
        <v>0.07183720356301482</v>
      </c>
      <c r="H637">
        <v>5.64673561092991</v>
      </c>
      <c r="I637">
        <v>27838.09007</v>
      </c>
      <c r="J637">
        <v>13.06339280626936</v>
      </c>
      <c r="K637">
        <v>0.386497988427783</v>
      </c>
      <c r="L637">
        <v>0.8431297929638411</v>
      </c>
      <c r="M637">
        <v>267.1</v>
      </c>
      <c r="N637">
        <v>189.5</v>
      </c>
    </row>
    <row r="638" spans="1:14">
      <c r="A638" s="1" t="s">
        <v>650</v>
      </c>
      <c r="B638">
        <f>HYPERLINK("https://www.suredividend.com/sure-analysis-research-database/","Capstead Mortgage Corp.")</f>
        <v>0</v>
      </c>
      <c r="C638" t="s">
        <v>3224</v>
      </c>
      <c r="D638">
        <v>6.5</v>
      </c>
      <c r="E638">
        <v>0.077874537735778</v>
      </c>
      <c r="H638">
        <v>0.506184495282563</v>
      </c>
      <c r="I638">
        <v>629.69114</v>
      </c>
      <c r="J638">
        <v>9.350645065486621</v>
      </c>
      <c r="K638">
        <v>0.7213688118605716</v>
      </c>
      <c r="L638">
        <v>0.6896066183388661</v>
      </c>
      <c r="M638">
        <v>6.95</v>
      </c>
      <c r="N638">
        <v>4.64</v>
      </c>
    </row>
    <row r="639" spans="1:14">
      <c r="A639" s="1" t="s">
        <v>651</v>
      </c>
      <c r="B639">
        <f>HYPERLINK("https://www.suredividend.com/sure-analysis-CMP/","Compass Minerals International Inc")</f>
        <v>0</v>
      </c>
      <c r="C639" t="s">
        <v>3218</v>
      </c>
      <c r="D639">
        <v>65.54000000000001</v>
      </c>
      <c r="E639">
        <v>0.009154714678059199</v>
      </c>
      <c r="F639">
        <v>-0.7916666666666666</v>
      </c>
      <c r="G639">
        <v>-0.2692787241890373</v>
      </c>
      <c r="H639">
        <v>1.724193229896593</v>
      </c>
      <c r="I639">
        <v>2232.587789</v>
      </c>
      <c r="J639">
        <v>36.00948046419355</v>
      </c>
      <c r="K639">
        <v>0.9421820928396683</v>
      </c>
      <c r="L639">
        <v>0.715332241519518</v>
      </c>
      <c r="M639">
        <v>75.04000000000001</v>
      </c>
      <c r="N639">
        <v>46.85</v>
      </c>
    </row>
    <row r="640" spans="1:14">
      <c r="A640" s="1" t="s">
        <v>652</v>
      </c>
      <c r="B640">
        <f>HYPERLINK("https://www.suredividend.com/sure-analysis-research-database/","Chimerix Inc")</f>
        <v>0</v>
      </c>
      <c r="C640" t="s">
        <v>3217</v>
      </c>
      <c r="D640">
        <v>4.79</v>
      </c>
      <c r="E640">
        <v>0</v>
      </c>
      <c r="H640">
        <v>0</v>
      </c>
      <c r="I640">
        <v>416.862573</v>
      </c>
      <c r="J640" t="s">
        <v>3219</v>
      </c>
      <c r="K640">
        <v>-0</v>
      </c>
      <c r="L640">
        <v>1.548121537995597</v>
      </c>
      <c r="M640">
        <v>9.289999999999999</v>
      </c>
      <c r="N640">
        <v>3.34</v>
      </c>
    </row>
    <row r="641" spans="1:14">
      <c r="A641" s="1" t="s">
        <v>653</v>
      </c>
      <c r="B641">
        <f>HYPERLINK("https://www.suredividend.com/sure-analysis-research-database/","CMS Energy Corporation")</f>
        <v>0</v>
      </c>
      <c r="C641" t="s">
        <v>3227</v>
      </c>
      <c r="D641">
        <v>71.55</v>
      </c>
      <c r="E641">
        <v>0.024410109316645</v>
      </c>
      <c r="F641">
        <v>0.05747126436781613</v>
      </c>
      <c r="G641">
        <v>0.06707080159514756</v>
      </c>
      <c r="H641">
        <v>1.746543321605997</v>
      </c>
      <c r="I641">
        <v>20759.290187</v>
      </c>
      <c r="J641">
        <v>15.40006690393175</v>
      </c>
      <c r="K641">
        <v>0.3747947042072954</v>
      </c>
      <c r="L641">
        <v>0.131520490899743</v>
      </c>
      <c r="M641">
        <v>73.64</v>
      </c>
      <c r="N641">
        <v>56.7</v>
      </c>
    </row>
    <row r="642" spans="1:14">
      <c r="A642" s="1" t="s">
        <v>654</v>
      </c>
      <c r="B642">
        <f>HYPERLINK("https://www.suredividend.com/sure-analysis-research-database/","Core Molding Technologies")</f>
        <v>0</v>
      </c>
      <c r="C642" t="s">
        <v>3218</v>
      </c>
      <c r="D642">
        <v>10</v>
      </c>
      <c r="E642">
        <v>0</v>
      </c>
      <c r="H642">
        <v>0</v>
      </c>
      <c r="I642">
        <v>87.02109</v>
      </c>
      <c r="J642">
        <v>0</v>
      </c>
      <c r="K642" t="s">
        <v>3219</v>
      </c>
      <c r="L642">
        <v>0.47955118281958</v>
      </c>
      <c r="M642">
        <v>17.35</v>
      </c>
      <c r="N642">
        <v>7.96</v>
      </c>
    </row>
    <row r="643" spans="1:14">
      <c r="A643" s="1" t="s">
        <v>655</v>
      </c>
      <c r="B643">
        <f>HYPERLINK("https://www.suredividend.com/sure-analysis-research-database/","Comtech Telecommunications Corp.")</f>
        <v>0</v>
      </c>
      <c r="C643" t="s">
        <v>3222</v>
      </c>
      <c r="D643">
        <v>14.54</v>
      </c>
      <c r="E643">
        <v>0.027418881318513</v>
      </c>
      <c r="F643">
        <v>0</v>
      </c>
      <c r="G643">
        <v>0</v>
      </c>
      <c r="H643">
        <v>0.39867053437119</v>
      </c>
      <c r="I643">
        <v>385.54421</v>
      </c>
      <c r="J643" t="s">
        <v>3219</v>
      </c>
      <c r="K643" t="s">
        <v>3219</v>
      </c>
      <c r="L643">
        <v>1.101462679426946</v>
      </c>
      <c r="M643">
        <v>27.7</v>
      </c>
      <c r="N643">
        <v>14</v>
      </c>
    </row>
    <row r="644" spans="1:14">
      <c r="A644" s="1" t="s">
        <v>656</v>
      </c>
      <c r="B644">
        <f>HYPERLINK("https://www.suredividend.com/sure-analysis-CNA/","CNA Financial Corp.")</f>
        <v>0</v>
      </c>
      <c r="C644" t="s">
        <v>3221</v>
      </c>
      <c r="D644">
        <v>48.73</v>
      </c>
      <c r="E644">
        <v>0.03283398317258363</v>
      </c>
      <c r="F644">
        <v>0.05263157894736836</v>
      </c>
      <c r="G644">
        <v>0.05922384104881218</v>
      </c>
      <c r="H644">
        <v>1.483854236018823</v>
      </c>
      <c r="I644">
        <v>13216.360309</v>
      </c>
      <c r="J644">
        <v>10.99530807766223</v>
      </c>
      <c r="K644">
        <v>0.3364748834509803</v>
      </c>
      <c r="L644">
        <v>0.7610097487000851</v>
      </c>
      <c r="M644">
        <v>49.5</v>
      </c>
      <c r="N644">
        <v>39.4</v>
      </c>
    </row>
    <row r="645" spans="1:14">
      <c r="A645" s="1" t="s">
        <v>657</v>
      </c>
      <c r="B645">
        <f>HYPERLINK("https://www.suredividend.com/sure-analysis-research-database/","Century Bancorp, Inc.")</f>
        <v>0</v>
      </c>
      <c r="C645" t="s">
        <v>3221</v>
      </c>
      <c r="D645">
        <v>115.29</v>
      </c>
      <c r="E645">
        <v>0</v>
      </c>
      <c r="H645">
        <v>0.720000028610229</v>
      </c>
      <c r="I645">
        <v>0</v>
      </c>
      <c r="J645">
        <v>0</v>
      </c>
      <c r="K645">
        <v>0.08921933440027621</v>
      </c>
    </row>
    <row r="646" spans="1:14">
      <c r="A646" s="1" t="s">
        <v>658</v>
      </c>
      <c r="B646">
        <f>HYPERLINK("https://www.suredividend.com/sure-analysis-research-database/","Centene Corp.")</f>
        <v>0</v>
      </c>
      <c r="C646" t="s">
        <v>3217</v>
      </c>
      <c r="D646">
        <v>86.54000000000001</v>
      </c>
      <c r="E646">
        <v>0</v>
      </c>
      <c r="H646">
        <v>0</v>
      </c>
      <c r="I646">
        <v>50442.005529</v>
      </c>
      <c r="J646">
        <v>37.44766557453601</v>
      </c>
      <c r="K646">
        <v>0</v>
      </c>
      <c r="L646">
        <v>0.6539911717879571</v>
      </c>
      <c r="M646">
        <v>89.79000000000001</v>
      </c>
      <c r="N646">
        <v>59.33</v>
      </c>
    </row>
    <row r="647" spans="1:14">
      <c r="A647" s="1" t="s">
        <v>659</v>
      </c>
      <c r="B647">
        <f>HYPERLINK("https://www.suredividend.com/sure-analysis-research-database/","Concert Pharmaceuticals Inc")</f>
        <v>0</v>
      </c>
      <c r="C647" t="s">
        <v>3217</v>
      </c>
      <c r="D647">
        <v>3.24</v>
      </c>
      <c r="E647">
        <v>0</v>
      </c>
      <c r="H647">
        <v>0</v>
      </c>
      <c r="I647">
        <v>117.707068</v>
      </c>
      <c r="J647">
        <v>0</v>
      </c>
      <c r="K647" t="s">
        <v>3219</v>
      </c>
      <c r="L647">
        <v>1.016771251484115</v>
      </c>
      <c r="M647">
        <v>4.74</v>
      </c>
      <c r="N647">
        <v>2.57</v>
      </c>
    </row>
    <row r="648" spans="1:14">
      <c r="A648" s="1" t="s">
        <v>660</v>
      </c>
      <c r="B648">
        <f>HYPERLINK("https://www.suredividend.com/sure-analysis-research-database/","Conduent Inc")</f>
        <v>0</v>
      </c>
      <c r="C648" t="s">
        <v>3222</v>
      </c>
      <c r="D648">
        <v>5.6</v>
      </c>
      <c r="E648">
        <v>0</v>
      </c>
      <c r="H648">
        <v>0</v>
      </c>
      <c r="I648">
        <v>1207.384741</v>
      </c>
      <c r="J648" t="s">
        <v>3219</v>
      </c>
      <c r="K648">
        <v>-0</v>
      </c>
      <c r="L648">
        <v>1.316580010702791</v>
      </c>
      <c r="M648">
        <v>8.5</v>
      </c>
      <c r="N648">
        <v>4.12</v>
      </c>
    </row>
    <row r="649" spans="1:14">
      <c r="A649" s="1" t="s">
        <v>661</v>
      </c>
      <c r="B649">
        <f>HYPERLINK("https://www.suredividend.com/sure-analysis-research-database/","Conifer Holdings Inc")</f>
        <v>0</v>
      </c>
      <c r="C649" t="s">
        <v>3221</v>
      </c>
      <c r="D649">
        <v>2.33</v>
      </c>
      <c r="E649">
        <v>0</v>
      </c>
      <c r="H649">
        <v>0</v>
      </c>
      <c r="I649">
        <v>22.619214</v>
      </c>
      <c r="J649">
        <v>0</v>
      </c>
      <c r="K649" t="s">
        <v>3219</v>
      </c>
      <c r="M649">
        <v>4.33</v>
      </c>
      <c r="N649">
        <v>2.06</v>
      </c>
    </row>
    <row r="650" spans="1:14">
      <c r="A650" s="1" t="s">
        <v>662</v>
      </c>
      <c r="B650">
        <f>HYPERLINK("https://www.suredividend.com/sure-analysis-research-database/","Cinemark Holdings Inc")</f>
        <v>0</v>
      </c>
      <c r="C650" t="s">
        <v>3228</v>
      </c>
      <c r="D650">
        <v>17.02</v>
      </c>
      <c r="E650">
        <v>0</v>
      </c>
      <c r="H650">
        <v>0</v>
      </c>
      <c r="I650">
        <v>2038.034591</v>
      </c>
      <c r="J650" t="s">
        <v>3219</v>
      </c>
      <c r="K650">
        <v>-0</v>
      </c>
      <c r="L650">
        <v>1.438655375429222</v>
      </c>
      <c r="M650">
        <v>25.2</v>
      </c>
      <c r="N650">
        <v>13.37</v>
      </c>
    </row>
    <row r="651" spans="1:14">
      <c r="A651" s="1" t="s">
        <v>663</v>
      </c>
      <c r="B651">
        <f>HYPERLINK("https://www.suredividend.com/sure-analysis-research-database/","Conmed Corp.")</f>
        <v>0</v>
      </c>
      <c r="C651" t="s">
        <v>3217</v>
      </c>
      <c r="D651">
        <v>144.13</v>
      </c>
      <c r="E651">
        <v>0.005538207094649</v>
      </c>
      <c r="F651">
        <v>0</v>
      </c>
      <c r="G651">
        <v>0</v>
      </c>
      <c r="H651">
        <v>0.7982217885518621</v>
      </c>
      <c r="I651">
        <v>4239.042886</v>
      </c>
      <c r="J651">
        <v>67.77913859454446</v>
      </c>
      <c r="K651">
        <v>0.4114545301813722</v>
      </c>
      <c r="L651">
        <v>1.037735403085767</v>
      </c>
      <c r="M651">
        <v>158.65</v>
      </c>
      <c r="N651">
        <v>117.45</v>
      </c>
    </row>
    <row r="652" spans="1:14">
      <c r="A652" s="1" t="s">
        <v>664</v>
      </c>
      <c r="B652">
        <f>HYPERLINK("https://www.suredividend.com/sure-analysis-research-database/","Cannae Holdings Inc")</f>
        <v>0</v>
      </c>
      <c r="C652" t="s">
        <v>3223</v>
      </c>
      <c r="D652">
        <v>23.4</v>
      </c>
      <c r="E652">
        <v>0</v>
      </c>
      <c r="H652">
        <v>0</v>
      </c>
      <c r="I652">
        <v>2023.773196</v>
      </c>
      <c r="J652">
        <v>0</v>
      </c>
      <c r="K652" t="s">
        <v>3219</v>
      </c>
      <c r="L652">
        <v>1.351816401986177</v>
      </c>
      <c r="M652">
        <v>41.74</v>
      </c>
      <c r="N652">
        <v>22.83</v>
      </c>
    </row>
    <row r="653" spans="1:14">
      <c r="A653" s="1" t="s">
        <v>665</v>
      </c>
      <c r="B653">
        <f>HYPERLINK("https://www.suredividend.com/sure-analysis-research-database/","CNO Financial Group Inc")</f>
        <v>0</v>
      </c>
      <c r="C653" t="s">
        <v>3221</v>
      </c>
      <c r="D653">
        <v>25.37</v>
      </c>
      <c r="E653">
        <v>0.020325698568417</v>
      </c>
      <c r="F653">
        <v>0.08333333333333348</v>
      </c>
      <c r="G653">
        <v>0.07631692251481081</v>
      </c>
      <c r="H653">
        <v>0.515662972680759</v>
      </c>
      <c r="I653">
        <v>3005.485515</v>
      </c>
      <c r="J653">
        <v>6.815159898276645</v>
      </c>
      <c r="K653">
        <v>0.1534711228216545</v>
      </c>
      <c r="L653">
        <v>0.9437446448790451</v>
      </c>
      <c r="M653">
        <v>27.29</v>
      </c>
      <c r="N653">
        <v>21.52</v>
      </c>
    </row>
    <row r="654" spans="1:14">
      <c r="A654" s="1" t="s">
        <v>666</v>
      </c>
      <c r="B654">
        <f>HYPERLINK("https://www.suredividend.com/sure-analysis-research-database/","ConnectOne Bancorp Inc.")</f>
        <v>0</v>
      </c>
      <c r="C654" t="s">
        <v>3221</v>
      </c>
      <c r="D654">
        <v>30.75</v>
      </c>
      <c r="E654">
        <v>0.015524582951408</v>
      </c>
      <c r="H654">
        <v>0.477380925755824</v>
      </c>
      <c r="I654">
        <v>1213.538849</v>
      </c>
      <c r="J654">
        <v>9.456908336775168</v>
      </c>
      <c r="K654">
        <v>0.1477959522463851</v>
      </c>
      <c r="L654">
        <v>0.6744931168167071</v>
      </c>
      <c r="M654">
        <v>36.85</v>
      </c>
      <c r="N654">
        <v>23.89</v>
      </c>
    </row>
    <row r="655" spans="1:14">
      <c r="A655" s="1" t="s">
        <v>667</v>
      </c>
      <c r="B655">
        <f>HYPERLINK("https://www.suredividend.com/sure-analysis-CNP/","Centerpoint Energy Inc.")</f>
        <v>0</v>
      </c>
      <c r="C655" t="s">
        <v>3227</v>
      </c>
      <c r="D655">
        <v>32.4</v>
      </c>
      <c r="E655">
        <v>0.02098765432098766</v>
      </c>
      <c r="F655">
        <v>0.0625</v>
      </c>
      <c r="G655">
        <v>-0.08667566988693809</v>
      </c>
      <c r="H655">
        <v>0.653942542405607</v>
      </c>
      <c r="I655">
        <v>20393.609954</v>
      </c>
      <c r="J655">
        <v>14.66111427347232</v>
      </c>
      <c r="K655">
        <v>0.2868169045638627</v>
      </c>
      <c r="L655">
        <v>0.4716185784542241</v>
      </c>
      <c r="M655">
        <v>32.72</v>
      </c>
      <c r="N655">
        <v>22.99</v>
      </c>
    </row>
    <row r="656" spans="1:14">
      <c r="A656" s="1" t="s">
        <v>668</v>
      </c>
      <c r="B656">
        <f>HYPERLINK("https://www.suredividend.com/sure-analysis-research-database/","Cornerstone Building Brands Inc")</f>
        <v>0</v>
      </c>
      <c r="C656" t="s">
        <v>3220</v>
      </c>
      <c r="D656">
        <v>24.35</v>
      </c>
      <c r="E656">
        <v>0</v>
      </c>
      <c r="H656">
        <v>0</v>
      </c>
      <c r="I656">
        <v>3092.474399</v>
      </c>
      <c r="J656">
        <v>4.699494864629113</v>
      </c>
      <c r="K656">
        <v>0</v>
      </c>
      <c r="L656">
        <v>0.9509693754409601</v>
      </c>
      <c r="M656">
        <v>24.44</v>
      </c>
      <c r="N656">
        <v>13.3</v>
      </c>
    </row>
    <row r="657" spans="1:14">
      <c r="A657" s="1" t="s">
        <v>669</v>
      </c>
      <c r="B657">
        <f>HYPERLINK("https://www.suredividend.com/sure-analysis-research-database/","Cohen &amp; Steers Inc.")</f>
        <v>0</v>
      </c>
      <c r="C657" t="s">
        <v>3221</v>
      </c>
      <c r="D657">
        <v>82.54000000000001</v>
      </c>
      <c r="E657">
        <v>0.022830344686012</v>
      </c>
      <c r="F657">
        <v>0.2222222222222223</v>
      </c>
      <c r="G657">
        <v>0.1075663432482901</v>
      </c>
      <c r="H657">
        <v>1.884416650383472</v>
      </c>
      <c r="I657">
        <v>4017.826818</v>
      </c>
      <c r="J657">
        <v>19.00616292739692</v>
      </c>
      <c r="K657">
        <v>0.4372196404602024</v>
      </c>
      <c r="L657">
        <v>1.085766570515521</v>
      </c>
      <c r="M657">
        <v>100.07</v>
      </c>
      <c r="N657">
        <v>64.05</v>
      </c>
    </row>
    <row r="658" spans="1:14">
      <c r="A658" s="1" t="s">
        <v>670</v>
      </c>
      <c r="B658">
        <f>HYPERLINK("https://www.suredividend.com/sure-analysis-research-database/","Consolidated Communications Holdings Inc")</f>
        <v>0</v>
      </c>
      <c r="C658" t="s">
        <v>3228</v>
      </c>
      <c r="D658">
        <v>6.37</v>
      </c>
      <c r="E658">
        <v>0</v>
      </c>
      <c r="H658">
        <v>0</v>
      </c>
      <c r="I658">
        <v>723.713829</v>
      </c>
      <c r="J658" t="s">
        <v>3219</v>
      </c>
      <c r="K658">
        <v>-0</v>
      </c>
      <c r="L658">
        <v>0.9105135440545281</v>
      </c>
      <c r="M658">
        <v>9.890000000000001</v>
      </c>
      <c r="N658">
        <v>4.51</v>
      </c>
    </row>
    <row r="659" spans="1:14">
      <c r="A659" s="1" t="s">
        <v>671</v>
      </c>
      <c r="B659">
        <f>HYPERLINK("https://www.suredividend.com/sure-analysis-research-database/","Century Casinos Inc.")</f>
        <v>0</v>
      </c>
      <c r="C659" t="s">
        <v>3223</v>
      </c>
      <c r="D659">
        <v>11.28</v>
      </c>
      <c r="E659">
        <v>0</v>
      </c>
      <c r="H659">
        <v>0</v>
      </c>
      <c r="I659">
        <v>334.167902</v>
      </c>
      <c r="J659">
        <v>16.20443710212394</v>
      </c>
      <c r="K659">
        <v>0</v>
      </c>
      <c r="L659">
        <v>1.374664142865529</v>
      </c>
      <c r="M659">
        <v>16.44</v>
      </c>
      <c r="N659">
        <v>8.82</v>
      </c>
    </row>
    <row r="660" spans="1:14">
      <c r="A660" s="1" t="s">
        <v>672</v>
      </c>
      <c r="B660">
        <f>HYPERLINK("https://www.suredividend.com/sure-analysis-research-database/","CNX Resources Corp")</f>
        <v>0</v>
      </c>
      <c r="C660" t="s">
        <v>3226</v>
      </c>
      <c r="D660">
        <v>22.42</v>
      </c>
      <c r="E660">
        <v>0</v>
      </c>
      <c r="H660">
        <v>0</v>
      </c>
      <c r="I660">
        <v>4449.205348</v>
      </c>
      <c r="J660" t="s">
        <v>3219</v>
      </c>
      <c r="K660">
        <v>-0</v>
      </c>
      <c r="L660">
        <v>0.7402944849592841</v>
      </c>
      <c r="M660">
        <v>22.51</v>
      </c>
      <c r="N660">
        <v>10.41</v>
      </c>
    </row>
    <row r="661" spans="1:14">
      <c r="A661" s="1" t="s">
        <v>673</v>
      </c>
      <c r="B661">
        <f>HYPERLINK("https://www.suredividend.com/sure-analysis-research-database/","PC Connection, Inc.")</f>
        <v>0</v>
      </c>
      <c r="C661" t="s">
        <v>3222</v>
      </c>
      <c r="D661">
        <v>52.7</v>
      </c>
      <c r="E661">
        <v>0</v>
      </c>
      <c r="H661">
        <v>0</v>
      </c>
      <c r="I661">
        <v>1383.909325</v>
      </c>
      <c r="J661">
        <v>19.79671738191286</v>
      </c>
      <c r="K661">
        <v>0</v>
      </c>
      <c r="L661">
        <v>0.9399625038263981</v>
      </c>
      <c r="M661">
        <v>54.79</v>
      </c>
      <c r="N661">
        <v>40.08</v>
      </c>
    </row>
    <row r="662" spans="1:14">
      <c r="A662" s="1" t="s">
        <v>674</v>
      </c>
      <c r="B662">
        <f>HYPERLINK("https://www.suredividend.com/sure-analysis-research-database/","Coda Octopus Group Inc.")</f>
        <v>0</v>
      </c>
      <c r="C662" t="s">
        <v>3220</v>
      </c>
      <c r="D662">
        <v>6.03</v>
      </c>
      <c r="E662">
        <v>0</v>
      </c>
      <c r="H662">
        <v>0</v>
      </c>
      <c r="I662">
        <v>65.468886</v>
      </c>
      <c r="J662">
        <v>0</v>
      </c>
      <c r="K662" t="s">
        <v>3219</v>
      </c>
      <c r="L662">
        <v>0.195952684027745</v>
      </c>
      <c r="M662">
        <v>10.17</v>
      </c>
      <c r="N662">
        <v>5.58</v>
      </c>
    </row>
    <row r="663" spans="1:14">
      <c r="A663" s="1" t="s">
        <v>675</v>
      </c>
      <c r="B663">
        <f>HYPERLINK("https://www.suredividend.com/sure-analysis-research-database/","Capital One Financial Corp.")</f>
        <v>0</v>
      </c>
      <c r="C663" t="s">
        <v>3221</v>
      </c>
      <c r="D663">
        <v>132.59</v>
      </c>
      <c r="E663">
        <v>0.016506844491692</v>
      </c>
      <c r="F663">
        <v>0.5000000000000002</v>
      </c>
      <c r="G663">
        <v>0.08447177119769855</v>
      </c>
      <c r="H663">
        <v>2.188642511153449</v>
      </c>
      <c r="I663">
        <v>54578.102182</v>
      </c>
      <c r="J663">
        <v>4.561479497043878</v>
      </c>
      <c r="K663">
        <v>0.08124137012447843</v>
      </c>
      <c r="L663">
        <v>1.161839544146355</v>
      </c>
      <c r="M663">
        <v>176.6</v>
      </c>
      <c r="N663">
        <v>122.43</v>
      </c>
    </row>
    <row r="664" spans="1:14">
      <c r="A664" s="1" t="s">
        <v>676</v>
      </c>
      <c r="B664">
        <f>HYPERLINK("https://www.suredividend.com/sure-analysis-research-database/","Cabot Oil &amp; Gas Corp.")</f>
        <v>0</v>
      </c>
      <c r="C664" t="s">
        <v>3226</v>
      </c>
      <c r="D664">
        <v>22.25</v>
      </c>
      <c r="E664">
        <v>0.018702595578168</v>
      </c>
      <c r="H664">
        <v>0.41613275161424</v>
      </c>
      <c r="I664">
        <v>8892.528027</v>
      </c>
      <c r="J664">
        <v>32.56584754159297</v>
      </c>
      <c r="K664">
        <v>0.6114204402207465</v>
      </c>
      <c r="L664">
        <v>0.585574518545935</v>
      </c>
      <c r="M664">
        <v>23.1</v>
      </c>
      <c r="N664">
        <v>14.28</v>
      </c>
    </row>
    <row r="665" spans="1:14">
      <c r="A665" s="1" t="s">
        <v>677</v>
      </c>
      <c r="B665">
        <f>HYPERLINK("https://www.suredividend.com/sure-analysis-research-database/","Cohen &amp; Company Inc")</f>
        <v>0</v>
      </c>
      <c r="C665" t="s">
        <v>3221</v>
      </c>
      <c r="D665">
        <v>15.39</v>
      </c>
      <c r="E665">
        <v>0.09678365678371501</v>
      </c>
      <c r="H665">
        <v>1.489500477901379</v>
      </c>
      <c r="I665">
        <v>23.829645</v>
      </c>
      <c r="J665">
        <v>2.112182693671335</v>
      </c>
      <c r="K665">
        <v>0.6992959990147319</v>
      </c>
      <c r="M665">
        <v>47.95</v>
      </c>
      <c r="N665">
        <v>12.51</v>
      </c>
    </row>
    <row r="666" spans="1:14">
      <c r="A666" s="1" t="s">
        <v>678</v>
      </c>
      <c r="B666">
        <f>HYPERLINK("https://www.suredividend.com/sure-analysis-research-database/","Coherent Inc.")</f>
        <v>0</v>
      </c>
      <c r="C666" t="s">
        <v>3222</v>
      </c>
      <c r="D666">
        <v>265.7</v>
      </c>
      <c r="E666">
        <v>0</v>
      </c>
      <c r="H666">
        <v>0</v>
      </c>
      <c r="I666">
        <v>6582.158733</v>
      </c>
      <c r="J666" t="s">
        <v>3219</v>
      </c>
      <c r="K666">
        <v>-0</v>
      </c>
      <c r="L666">
        <v>0.503566528580498</v>
      </c>
      <c r="M666">
        <v>275.79</v>
      </c>
      <c r="N666">
        <v>222.04</v>
      </c>
    </row>
    <row r="667" spans="1:14">
      <c r="A667" s="1" t="s">
        <v>679</v>
      </c>
      <c r="B667">
        <f>HYPERLINK("https://www.suredividend.com/sure-analysis-research-database/","Cohu, Inc.")</f>
        <v>0</v>
      </c>
      <c r="C667" t="s">
        <v>3222</v>
      </c>
      <c r="D667">
        <v>25.47</v>
      </c>
      <c r="E667">
        <v>0</v>
      </c>
      <c r="H667">
        <v>0</v>
      </c>
      <c r="I667">
        <v>1236.924112</v>
      </c>
      <c r="J667">
        <v>7.392344910443747</v>
      </c>
      <c r="K667">
        <v>0</v>
      </c>
      <c r="L667">
        <v>2.053232212201572</v>
      </c>
      <c r="M667">
        <v>48.63</v>
      </c>
      <c r="N667">
        <v>25.46</v>
      </c>
    </row>
    <row r="668" spans="1:14">
      <c r="A668" s="1" t="s">
        <v>680</v>
      </c>
      <c r="B668">
        <f>HYPERLINK("https://www.suredividend.com/sure-analysis-research-database/","Coca-Cola Consolidated Inc")</f>
        <v>0</v>
      </c>
      <c r="C668" t="s">
        <v>3225</v>
      </c>
      <c r="D668">
        <v>492.7</v>
      </c>
      <c r="E668">
        <v>0.002028035074141</v>
      </c>
      <c r="F668">
        <v>0</v>
      </c>
      <c r="G668">
        <v>0</v>
      </c>
      <c r="H668">
        <v>0.9992128810295231</v>
      </c>
      <c r="I668">
        <v>3518.590937</v>
      </c>
      <c r="J668">
        <v>18.55992687467032</v>
      </c>
      <c r="K668">
        <v>0.04953955781009038</v>
      </c>
      <c r="L668">
        <v>0.771925953317062</v>
      </c>
      <c r="M668">
        <v>637.73</v>
      </c>
      <c r="N668">
        <v>280.54</v>
      </c>
    </row>
    <row r="669" spans="1:14">
      <c r="A669" s="1" t="s">
        <v>681</v>
      </c>
      <c r="B669">
        <f>HYPERLINK("https://www.suredividend.com/sure-analysis-research-database/","Columbia Banking System, Inc.")</f>
        <v>0</v>
      </c>
      <c r="C669" t="s">
        <v>3221</v>
      </c>
      <c r="D669">
        <v>30.18</v>
      </c>
      <c r="E669">
        <v>0.037980529516293</v>
      </c>
      <c r="F669">
        <v>0.0714285714285714</v>
      </c>
      <c r="G669">
        <v>0.02903366107118788</v>
      </c>
      <c r="H669">
        <v>1.146252380801731</v>
      </c>
      <c r="I669">
        <v>2375.352633</v>
      </c>
      <c r="J669">
        <v>11.73071575445701</v>
      </c>
      <c r="K669">
        <v>0.4123210002883924</v>
      </c>
      <c r="L669">
        <v>1.060099456688465</v>
      </c>
      <c r="M669">
        <v>43.7</v>
      </c>
      <c r="N669">
        <v>29.22</v>
      </c>
    </row>
    <row r="670" spans="1:14">
      <c r="A670" s="1" t="s">
        <v>682</v>
      </c>
      <c r="B670">
        <f>HYPERLINK("https://www.suredividend.com/sure-analysis-COLD/","Americold Realty Trust")</f>
        <v>0</v>
      </c>
      <c r="C670" t="s">
        <v>3224</v>
      </c>
      <c r="D670">
        <v>28.07</v>
      </c>
      <c r="E670">
        <v>0.03135019593872462</v>
      </c>
      <c r="H670">
        <v>0.8703209922260361</v>
      </c>
      <c r="I670">
        <v>7540.864532</v>
      </c>
      <c r="J670" t="s">
        <v>3219</v>
      </c>
      <c r="K670" t="s">
        <v>3219</v>
      </c>
      <c r="L670">
        <v>0.6036324038602361</v>
      </c>
      <c r="M670">
        <v>39.96</v>
      </c>
      <c r="N670">
        <v>24.9</v>
      </c>
    </row>
    <row r="671" spans="1:14">
      <c r="A671" s="1" t="s">
        <v>683</v>
      </c>
      <c r="B671">
        <f>HYPERLINK("https://www.suredividend.com/sure-analysis-research-database/","Collegium Pharmaceutical Inc")</f>
        <v>0</v>
      </c>
      <c r="C671" t="s">
        <v>3217</v>
      </c>
      <c r="D671">
        <v>19.18</v>
      </c>
      <c r="E671">
        <v>0</v>
      </c>
      <c r="H671">
        <v>0</v>
      </c>
      <c r="I671">
        <v>650.645979</v>
      </c>
      <c r="J671">
        <v>9.097780648517135</v>
      </c>
      <c r="K671">
        <v>0</v>
      </c>
      <c r="L671">
        <v>0.535271023681795</v>
      </c>
      <c r="M671">
        <v>25.66</v>
      </c>
      <c r="N671">
        <v>17.07</v>
      </c>
    </row>
    <row r="672" spans="1:14">
      <c r="A672" s="1" t="s">
        <v>684</v>
      </c>
      <c r="B672">
        <f>HYPERLINK("https://www.suredividend.com/sure-analysis-research-database/","Columbia Sportswear Co.")</f>
        <v>0</v>
      </c>
      <c r="C672" t="s">
        <v>3223</v>
      </c>
      <c r="D672">
        <v>88.33</v>
      </c>
      <c r="E672">
        <v>0.012174944898203</v>
      </c>
      <c r="H672">
        <v>1.07541288285833</v>
      </c>
      <c r="I672">
        <v>5698.447069</v>
      </c>
      <c r="J672">
        <v>16.09239856055215</v>
      </c>
      <c r="K672">
        <v>0.2017660192979981</v>
      </c>
      <c r="L672">
        <v>1.135423822095266</v>
      </c>
      <c r="M672">
        <v>113.74</v>
      </c>
      <c r="N672">
        <v>83.33</v>
      </c>
    </row>
    <row r="673" spans="1:14">
      <c r="A673" s="1" t="s">
        <v>685</v>
      </c>
      <c r="B673">
        <f>HYPERLINK("https://www.suredividend.com/sure-analysis-research-database/","CommScope Holding Company Inc")</f>
        <v>0</v>
      </c>
      <c r="C673" t="s">
        <v>3222</v>
      </c>
      <c r="D673">
        <v>6.46</v>
      </c>
      <c r="E673">
        <v>0</v>
      </c>
      <c r="H673">
        <v>0</v>
      </c>
      <c r="I673">
        <v>1321.8379</v>
      </c>
      <c r="J673" t="s">
        <v>3219</v>
      </c>
      <c r="K673">
        <v>-0</v>
      </c>
      <c r="L673">
        <v>1.763712535127274</v>
      </c>
      <c r="M673">
        <v>22.18</v>
      </c>
      <c r="N673">
        <v>6.39</v>
      </c>
    </row>
    <row r="674" spans="1:14">
      <c r="A674" s="1" t="s">
        <v>686</v>
      </c>
      <c r="B674">
        <f>HYPERLINK("https://www.suredividend.com/sure-analysis-CONE/","CyrusOne Inc")</f>
        <v>0</v>
      </c>
      <c r="C674" t="s">
        <v>3224</v>
      </c>
      <c r="D674">
        <v>89.84</v>
      </c>
      <c r="E674">
        <v>0.02315227070347284</v>
      </c>
      <c r="F674">
        <v>0.01960784313725483</v>
      </c>
      <c r="G674">
        <v>0.04364022715043592</v>
      </c>
      <c r="H674">
        <v>1.549999952316284</v>
      </c>
      <c r="I674">
        <v>0</v>
      </c>
      <c r="J674">
        <v>0</v>
      </c>
      <c r="K674">
        <v>7.711442548837234</v>
      </c>
    </row>
    <row r="675" spans="1:14">
      <c r="A675" s="1" t="s">
        <v>687</v>
      </c>
      <c r="B675">
        <f>HYPERLINK("https://www.suredividend.com/sure-analysis-research-database/","Conns Inc")</f>
        <v>0</v>
      </c>
      <c r="C675" t="s">
        <v>3223</v>
      </c>
      <c r="D675">
        <v>16.06</v>
      </c>
      <c r="E675">
        <v>0</v>
      </c>
      <c r="H675">
        <v>0</v>
      </c>
      <c r="I675">
        <v>382.016104</v>
      </c>
      <c r="J675">
        <v>3.53048476835636</v>
      </c>
      <c r="K675">
        <v>0</v>
      </c>
      <c r="L675">
        <v>1.753432231662916</v>
      </c>
      <c r="M675">
        <v>31.48</v>
      </c>
      <c r="N675">
        <v>14.54</v>
      </c>
    </row>
    <row r="676" spans="1:14">
      <c r="A676" s="1" t="s">
        <v>688</v>
      </c>
      <c r="B676">
        <f>HYPERLINK("https://www.suredividend.com/sure-analysis-research-database/","Cooper Companies, Inc.")</f>
        <v>0</v>
      </c>
      <c r="C676" t="s">
        <v>3217</v>
      </c>
      <c r="D676">
        <v>399.62</v>
      </c>
      <c r="E676">
        <v>0.000150136968623</v>
      </c>
      <c r="H676">
        <v>0.059997735401136</v>
      </c>
      <c r="I676">
        <v>21315.970572</v>
      </c>
      <c r="J676">
        <v>22.70313193311322</v>
      </c>
      <c r="K676">
        <v>0.003186284407920128</v>
      </c>
      <c r="L676">
        <v>0.862387584678697</v>
      </c>
      <c r="M676">
        <v>463.56</v>
      </c>
      <c r="N676">
        <v>368.75</v>
      </c>
    </row>
    <row r="677" spans="1:14">
      <c r="A677" s="1" t="s">
        <v>689</v>
      </c>
      <c r="B677">
        <f>HYPERLINK("https://www.suredividend.com/sure-analysis-research-database/","Mr. Cooper Group Inc")</f>
        <v>0</v>
      </c>
      <c r="C677" t="s">
        <v>3221</v>
      </c>
      <c r="D677">
        <v>43.74</v>
      </c>
      <c r="E677">
        <v>0</v>
      </c>
      <c r="H677">
        <v>0</v>
      </c>
      <c r="I677">
        <v>3263.47906</v>
      </c>
      <c r="J677">
        <v>0</v>
      </c>
      <c r="K677" t="s">
        <v>3219</v>
      </c>
      <c r="L677">
        <v>0.5699391854785051</v>
      </c>
      <c r="M677">
        <v>52.34</v>
      </c>
      <c r="N677">
        <v>30.53</v>
      </c>
    </row>
    <row r="678" spans="1:14">
      <c r="A678" s="1" t="s">
        <v>690</v>
      </c>
      <c r="B678">
        <f>HYPERLINK("https://www.suredividend.com/sure-analysis-COP/","Conoco Phillips")</f>
        <v>0</v>
      </c>
      <c r="C678" t="s">
        <v>3226</v>
      </c>
      <c r="D678">
        <v>101.37</v>
      </c>
      <c r="E678">
        <v>0.01815132682253132</v>
      </c>
      <c r="F678">
        <v>-0.3023255813953487</v>
      </c>
      <c r="G678">
        <v>0.02512087219852699</v>
      </c>
      <c r="H678">
        <v>1.756197127959838</v>
      </c>
      <c r="I678">
        <v>131380.715922</v>
      </c>
      <c r="J678">
        <v>16.26200221835499</v>
      </c>
      <c r="K678">
        <v>0.2888482118354997</v>
      </c>
      <c r="L678">
        <v>0.659562939810835</v>
      </c>
      <c r="M678">
        <v>107.2</v>
      </c>
      <c r="N678">
        <v>46.34</v>
      </c>
    </row>
    <row r="679" spans="1:14">
      <c r="A679" s="1" t="s">
        <v>691</v>
      </c>
      <c r="B679">
        <f>HYPERLINK("https://www.suredividend.com/sure-analysis-COR/","CoreSite Realty Corporation")</f>
        <v>0</v>
      </c>
      <c r="C679" t="s">
        <v>3224</v>
      </c>
      <c r="D679">
        <v>169.41</v>
      </c>
      <c r="E679">
        <v>0.043832236721375</v>
      </c>
      <c r="H679">
        <v>7.425619222968178</v>
      </c>
      <c r="I679">
        <v>7487.535915</v>
      </c>
      <c r="J679">
        <v>84.5533337241683</v>
      </c>
      <c r="K679">
        <v>3.604669525712708</v>
      </c>
      <c r="M679">
        <v>172.29</v>
      </c>
      <c r="N679">
        <v>103.44</v>
      </c>
    </row>
    <row r="680" spans="1:14">
      <c r="A680" s="1" t="s">
        <v>692</v>
      </c>
      <c r="B680">
        <f>HYPERLINK("https://www.suredividend.com/sure-analysis-research-database/","Core-Mark Hldg Co Inc")</f>
        <v>0</v>
      </c>
      <c r="C680" t="s">
        <v>3225</v>
      </c>
      <c r="D680">
        <v>45.65</v>
      </c>
      <c r="E680">
        <v>0</v>
      </c>
      <c r="H680">
        <v>0.5176683630585011</v>
      </c>
      <c r="I680">
        <v>0</v>
      </c>
      <c r="J680">
        <v>0</v>
      </c>
      <c r="K680">
        <v>0.3570126641782766</v>
      </c>
    </row>
    <row r="681" spans="1:14">
      <c r="A681" s="1" t="s">
        <v>693</v>
      </c>
      <c r="B681">
        <f>HYPERLINK("https://www.suredividend.com/sure-analysis-CORR/","CorEnergy Infrastructure Trust Inc")</f>
        <v>0</v>
      </c>
      <c r="C681" t="s">
        <v>3224</v>
      </c>
      <c r="D681">
        <v>2.82</v>
      </c>
      <c r="E681">
        <v>0.07092198581560283</v>
      </c>
      <c r="F681">
        <v>0</v>
      </c>
      <c r="G681">
        <v>-0.418189240847312</v>
      </c>
      <c r="H681">
        <v>0.196414484180916</v>
      </c>
      <c r="I681">
        <v>42.188971</v>
      </c>
      <c r="J681">
        <v>0</v>
      </c>
      <c r="K681" t="s">
        <v>3219</v>
      </c>
      <c r="L681">
        <v>1.285664190828946</v>
      </c>
      <c r="M681">
        <v>7.48</v>
      </c>
      <c r="N681">
        <v>2.66</v>
      </c>
    </row>
    <row r="682" spans="1:14">
      <c r="A682" s="1" t="s">
        <v>694</v>
      </c>
      <c r="B682">
        <f>HYPERLINK("https://www.suredividend.com/sure-analysis-research-database/","Corcept Therapeutics Inc")</f>
        <v>0</v>
      </c>
      <c r="C682" t="s">
        <v>3217</v>
      </c>
      <c r="D682">
        <v>24.49</v>
      </c>
      <c r="E682">
        <v>0</v>
      </c>
      <c r="H682">
        <v>0</v>
      </c>
      <c r="I682">
        <v>2827.416909</v>
      </c>
      <c r="J682">
        <v>25.12991421848336</v>
      </c>
      <c r="K682">
        <v>0</v>
      </c>
      <c r="L682">
        <v>0.7652643808610571</v>
      </c>
      <c r="M682">
        <v>25.68</v>
      </c>
      <c r="N682">
        <v>15.83</v>
      </c>
    </row>
    <row r="683" spans="1:14">
      <c r="A683" s="1" t="s">
        <v>695</v>
      </c>
      <c r="B683">
        <f>HYPERLINK("https://www.suredividend.com/sure-analysis-COST/","Costco Wholesale Corp")</f>
        <v>0</v>
      </c>
      <c r="C683" t="s">
        <v>3225</v>
      </c>
      <c r="D683">
        <v>590.39</v>
      </c>
      <c r="E683">
        <v>0.006097664255830892</v>
      </c>
      <c r="F683">
        <v>0.1285714285714286</v>
      </c>
      <c r="G683">
        <v>0.0958003060411996</v>
      </c>
      <c r="H683">
        <v>3.152391698184829</v>
      </c>
      <c r="I683">
        <v>261675.188573</v>
      </c>
      <c r="J683">
        <v>47.46511673736622</v>
      </c>
      <c r="K683">
        <v>0.2542251369503894</v>
      </c>
      <c r="L683">
        <v>0.7583969752803951</v>
      </c>
      <c r="M683">
        <v>612.27</v>
      </c>
      <c r="N683">
        <v>362.69</v>
      </c>
    </row>
    <row r="684" spans="1:14">
      <c r="A684" s="1" t="s">
        <v>696</v>
      </c>
      <c r="B684">
        <f>HYPERLINK("https://www.suredividend.com/sure-analysis-research-database/","Coty Inc")</f>
        <v>0</v>
      </c>
      <c r="C684" t="s">
        <v>3225</v>
      </c>
      <c r="D684">
        <v>8.56</v>
      </c>
      <c r="E684">
        <v>0</v>
      </c>
      <c r="H684">
        <v>0</v>
      </c>
      <c r="I684">
        <v>7006.158104</v>
      </c>
      <c r="J684">
        <v>104.72583114858</v>
      </c>
      <c r="K684">
        <v>0</v>
      </c>
      <c r="L684">
        <v>1.680385799278767</v>
      </c>
      <c r="M684">
        <v>11.12</v>
      </c>
      <c r="N684">
        <v>7.24</v>
      </c>
    </row>
    <row r="685" spans="1:14">
      <c r="A685" s="1" t="s">
        <v>697</v>
      </c>
      <c r="B685">
        <f>HYPERLINK("https://www.suredividend.com/sure-analysis-research-database/","Coupa Software Inc")</f>
        <v>0</v>
      </c>
      <c r="C685" t="s">
        <v>3222</v>
      </c>
      <c r="D685">
        <v>99.90000000000001</v>
      </c>
      <c r="E685">
        <v>0</v>
      </c>
      <c r="H685">
        <v>0</v>
      </c>
      <c r="I685">
        <v>7499.215378</v>
      </c>
      <c r="J685" t="s">
        <v>3219</v>
      </c>
      <c r="K685">
        <v>-0</v>
      </c>
      <c r="L685">
        <v>1.547144669602596</v>
      </c>
      <c r="M685">
        <v>283.38</v>
      </c>
      <c r="N685">
        <v>64.79000000000001</v>
      </c>
    </row>
    <row r="686" spans="1:14">
      <c r="A686" s="1" t="s">
        <v>698</v>
      </c>
      <c r="B686">
        <f>HYPERLINK("https://www.suredividend.com/sure-analysis-research-database/","Cowen Inc")</f>
        <v>0</v>
      </c>
      <c r="C686" t="s">
        <v>3221</v>
      </c>
      <c r="D686">
        <v>22.8</v>
      </c>
      <c r="E686">
        <v>0.01833325323011</v>
      </c>
      <c r="H686">
        <v>0.417998173646512</v>
      </c>
      <c r="I686">
        <v>626.054917</v>
      </c>
      <c r="J686">
        <v>2.167637576475232</v>
      </c>
      <c r="K686">
        <v>0.04723143205045334</v>
      </c>
      <c r="L686">
        <v>1.473333047557167</v>
      </c>
      <c r="M686">
        <v>43.66</v>
      </c>
      <c r="N686">
        <v>21.45</v>
      </c>
    </row>
    <row r="687" spans="1:14">
      <c r="A687" s="1" t="s">
        <v>699</v>
      </c>
      <c r="B687">
        <f>HYPERLINK("https://www.suredividend.com/sure-analysis-CPB/","Campbell Soup Co.")</f>
        <v>0</v>
      </c>
      <c r="C687" t="s">
        <v>3225</v>
      </c>
      <c r="D687">
        <v>46.2</v>
      </c>
      <c r="E687">
        <v>0.03203463203463203</v>
      </c>
      <c r="F687">
        <v>0</v>
      </c>
      <c r="G687">
        <v>0.0111759598354646</v>
      </c>
      <c r="H687">
        <v>1.46153023899961</v>
      </c>
      <c r="I687">
        <v>13938.702254</v>
      </c>
      <c r="J687">
        <v>15.13431297980456</v>
      </c>
      <c r="K687">
        <v>0.4823532141912905</v>
      </c>
      <c r="L687">
        <v>0.132544046818374</v>
      </c>
      <c r="M687">
        <v>49.15</v>
      </c>
      <c r="N687">
        <v>39.04</v>
      </c>
    </row>
    <row r="688" spans="1:14">
      <c r="A688" s="1" t="s">
        <v>700</v>
      </c>
      <c r="B688">
        <f>HYPERLINK("https://www.suredividend.com/sure-analysis-research-database/","Callon Petroleum Co.")</f>
        <v>0</v>
      </c>
      <c r="C688" t="s">
        <v>3226</v>
      </c>
      <c r="D688">
        <v>61.17</v>
      </c>
      <c r="E688">
        <v>0</v>
      </c>
      <c r="H688">
        <v>0</v>
      </c>
      <c r="I688">
        <v>3761.572871</v>
      </c>
      <c r="J688">
        <v>10.30141741638391</v>
      </c>
      <c r="K688">
        <v>0</v>
      </c>
      <c r="L688">
        <v>1.603590164340922</v>
      </c>
      <c r="M688">
        <v>66.48</v>
      </c>
      <c r="N688">
        <v>25.32</v>
      </c>
    </row>
    <row r="689" spans="1:14">
      <c r="A689" s="1" t="s">
        <v>701</v>
      </c>
      <c r="B689">
        <f>HYPERLINK("https://www.suredividend.com/sure-analysis-research-database/","Central Pacific Financial Corp.")</f>
        <v>0</v>
      </c>
      <c r="C689" t="s">
        <v>3221</v>
      </c>
      <c r="D689">
        <v>26.58</v>
      </c>
      <c r="E689">
        <v>0.036748702425372</v>
      </c>
      <c r="F689">
        <v>0.1304347826086956</v>
      </c>
      <c r="G689">
        <v>0.07631692251481081</v>
      </c>
      <c r="H689">
        <v>0.976780510466398</v>
      </c>
      <c r="I689">
        <v>734.55462</v>
      </c>
      <c r="J689">
        <v>9.194114953813804</v>
      </c>
      <c r="K689">
        <v>0.3451521238397166</v>
      </c>
      <c r="L689">
        <v>0.8053786858092881</v>
      </c>
      <c r="M689">
        <v>30.69</v>
      </c>
      <c r="N689">
        <v>22.7</v>
      </c>
    </row>
    <row r="690" spans="1:14">
      <c r="A690" s="1" t="s">
        <v>702</v>
      </c>
      <c r="B690">
        <f>HYPERLINK("https://www.suredividend.com/sure-analysis-research-database/","Canterbury Park Holding Corp")</f>
        <v>0</v>
      </c>
      <c r="C690" t="s">
        <v>3223</v>
      </c>
      <c r="D690">
        <v>21.36</v>
      </c>
      <c r="E690">
        <v>0.006543276632848</v>
      </c>
      <c r="H690">
        <v>0.139764388877639</v>
      </c>
      <c r="I690">
        <v>103.086927</v>
      </c>
      <c r="J690">
        <v>0</v>
      </c>
      <c r="K690" t="s">
        <v>3219</v>
      </c>
      <c r="M690">
        <v>23.97</v>
      </c>
      <c r="N690">
        <v>13.4</v>
      </c>
    </row>
    <row r="691" spans="1:14">
      <c r="A691" s="1" t="s">
        <v>703</v>
      </c>
      <c r="B691">
        <f>HYPERLINK("https://www.suredividend.com/sure-analysis-research-database/","Cumberland Pharmaceuticals Inc.")</f>
        <v>0</v>
      </c>
      <c r="C691" t="s">
        <v>3217</v>
      </c>
      <c r="D691">
        <v>2.6258</v>
      </c>
      <c r="E691">
        <v>0</v>
      </c>
      <c r="H691">
        <v>0</v>
      </c>
      <c r="I691">
        <v>38.967739</v>
      </c>
      <c r="J691" t="s">
        <v>3219</v>
      </c>
      <c r="K691">
        <v>-0</v>
      </c>
      <c r="L691">
        <v>0.115043254259879</v>
      </c>
      <c r="M691">
        <v>7.51</v>
      </c>
      <c r="N691">
        <v>2.2</v>
      </c>
    </row>
    <row r="692" spans="1:14">
      <c r="A692" s="1" t="s">
        <v>704</v>
      </c>
      <c r="B692">
        <f>HYPERLINK("https://www.suredividend.com/sure-analysis-research-database/","Chesapeake Utilities Corp")</f>
        <v>0</v>
      </c>
      <c r="C692" t="s">
        <v>3227</v>
      </c>
      <c r="D692">
        <v>136.56</v>
      </c>
      <c r="E692">
        <v>0.013986021152335</v>
      </c>
      <c r="F692">
        <v>0.09090909090909083</v>
      </c>
      <c r="G692">
        <v>0.08111420898835098</v>
      </c>
      <c r="H692">
        <v>1.90993104856299</v>
      </c>
      <c r="I692">
        <v>2416.692761</v>
      </c>
      <c r="J692">
        <v>28.95421801452089</v>
      </c>
      <c r="K692">
        <v>0.403790919357926</v>
      </c>
      <c r="L692">
        <v>0.3618405874710801</v>
      </c>
      <c r="M692">
        <v>145.8</v>
      </c>
      <c r="N692">
        <v>111.84</v>
      </c>
    </row>
    <row r="693" spans="1:14">
      <c r="A693" s="1" t="s">
        <v>705</v>
      </c>
      <c r="B693">
        <f>HYPERLINK("https://www.suredividend.com/sure-analysis-research-database/","CorePoint Lodging Inc")</f>
        <v>0</v>
      </c>
      <c r="C693" t="s">
        <v>3224</v>
      </c>
      <c r="D693">
        <v>15.98</v>
      </c>
      <c r="E693">
        <v>0</v>
      </c>
      <c r="H693">
        <v>0</v>
      </c>
      <c r="I693">
        <v>932.783205</v>
      </c>
      <c r="J693">
        <v>0</v>
      </c>
      <c r="K693" t="s">
        <v>3219</v>
      </c>
      <c r="L693">
        <v>0.636231069279927</v>
      </c>
      <c r="M693">
        <v>18.15</v>
      </c>
      <c r="N693">
        <v>8.300000000000001</v>
      </c>
    </row>
    <row r="694" spans="1:14">
      <c r="A694" s="1" t="s">
        <v>706</v>
      </c>
      <c r="B694">
        <f>HYPERLINK("https://www.suredividend.com/sure-analysis-research-database/","Capri Holdings Ltd")</f>
        <v>0</v>
      </c>
      <c r="C694" t="s">
        <v>3223</v>
      </c>
      <c r="D694">
        <v>49.8</v>
      </c>
      <c r="E694">
        <v>0</v>
      </c>
      <c r="H694">
        <v>0</v>
      </c>
      <c r="I694">
        <v>7351.241342</v>
      </c>
      <c r="J694">
        <v>13.17426763870968</v>
      </c>
      <c r="K694">
        <v>0</v>
      </c>
      <c r="L694">
        <v>1.894605935534579</v>
      </c>
      <c r="M694">
        <v>72.37</v>
      </c>
      <c r="N694">
        <v>45.05</v>
      </c>
    </row>
    <row r="695" spans="1:14">
      <c r="A695" s="1" t="s">
        <v>707</v>
      </c>
      <c r="B695">
        <f>HYPERLINK("https://www.suredividend.com/sure-analysis-research-database/","Copart, Inc.")</f>
        <v>0</v>
      </c>
      <c r="C695" t="s">
        <v>3220</v>
      </c>
      <c r="D695">
        <v>116.98</v>
      </c>
      <c r="E695">
        <v>0</v>
      </c>
      <c r="H695">
        <v>0</v>
      </c>
      <c r="I695">
        <v>27782.434505</v>
      </c>
      <c r="J695">
        <v>25.47573415580284</v>
      </c>
      <c r="K695">
        <v>0</v>
      </c>
      <c r="L695">
        <v>1.419698558562353</v>
      </c>
      <c r="M695">
        <v>161.12</v>
      </c>
      <c r="N695">
        <v>106.37</v>
      </c>
    </row>
    <row r="696" spans="1:14">
      <c r="A696" s="1" t="s">
        <v>708</v>
      </c>
      <c r="B696">
        <f>HYPERLINK("https://www.suredividend.com/sure-analysis-research-database/","Catalyst Pharmaceuticals Inc")</f>
        <v>0</v>
      </c>
      <c r="C696" t="s">
        <v>3217</v>
      </c>
      <c r="D696">
        <v>8.41</v>
      </c>
      <c r="E696">
        <v>0</v>
      </c>
      <c r="H696">
        <v>0</v>
      </c>
      <c r="I696">
        <v>864.084718</v>
      </c>
      <c r="J696">
        <v>0</v>
      </c>
      <c r="K696" t="s">
        <v>3219</v>
      </c>
      <c r="L696">
        <v>0.9965672575249561</v>
      </c>
      <c r="M696">
        <v>8.65</v>
      </c>
      <c r="N696">
        <v>4.28</v>
      </c>
    </row>
    <row r="697" spans="1:14">
      <c r="A697" s="1" t="s">
        <v>709</v>
      </c>
      <c r="B697">
        <f>HYPERLINK("https://www.suredividend.com/sure-analysis-research-database/","Cooper-Standard Holdings Inc")</f>
        <v>0</v>
      </c>
      <c r="C697" t="s">
        <v>3223</v>
      </c>
      <c r="D697">
        <v>7.04</v>
      </c>
      <c r="E697">
        <v>0</v>
      </c>
      <c r="H697">
        <v>0</v>
      </c>
      <c r="I697">
        <v>120.114333</v>
      </c>
      <c r="J697">
        <v>0</v>
      </c>
      <c r="K697" t="s">
        <v>3219</v>
      </c>
      <c r="L697">
        <v>2.305088373373475</v>
      </c>
      <c r="M697">
        <v>36.4</v>
      </c>
      <c r="N697">
        <v>6.92</v>
      </c>
    </row>
    <row r="698" spans="1:14">
      <c r="A698" s="1" t="s">
        <v>710</v>
      </c>
      <c r="B698">
        <f>HYPERLINK("https://www.suredividend.com/sure-analysis-research-database/","CPS Technologies Corporation")</f>
        <v>0</v>
      </c>
      <c r="C698" t="s">
        <v>3222</v>
      </c>
      <c r="D698">
        <v>4.66</v>
      </c>
      <c r="E698">
        <v>0</v>
      </c>
      <c r="H698">
        <v>0</v>
      </c>
      <c r="I698">
        <v>67.08513600000001</v>
      </c>
      <c r="J698">
        <v>0</v>
      </c>
      <c r="K698" t="s">
        <v>3219</v>
      </c>
      <c r="L698">
        <v>1.855988950908344</v>
      </c>
      <c r="M698">
        <v>9.9</v>
      </c>
      <c r="N698">
        <v>2.47</v>
      </c>
    </row>
    <row r="699" spans="1:14">
      <c r="A699" s="1" t="s">
        <v>711</v>
      </c>
      <c r="B699">
        <f>HYPERLINK("https://www.suredividend.com/sure-analysis-research-database/","Computer Programs &amp; Systems Inc")</f>
        <v>0</v>
      </c>
      <c r="C699" t="s">
        <v>3217</v>
      </c>
      <c r="D699">
        <v>33.78</v>
      </c>
      <c r="E699">
        <v>0</v>
      </c>
      <c r="H699">
        <v>0</v>
      </c>
      <c r="I699">
        <v>499.434125</v>
      </c>
      <c r="J699">
        <v>27.71400725153987</v>
      </c>
      <c r="K699">
        <v>0</v>
      </c>
      <c r="L699">
        <v>0.468002287330205</v>
      </c>
      <c r="M699">
        <v>37.62</v>
      </c>
      <c r="N699">
        <v>26.11</v>
      </c>
    </row>
    <row r="700" spans="1:14">
      <c r="A700" s="1" t="s">
        <v>712</v>
      </c>
      <c r="B700">
        <f>HYPERLINK("https://www.suredividend.com/sure-analysis-research-database/","Consumer Portfolio Service, Inc.")</f>
        <v>0</v>
      </c>
      <c r="C700" t="s">
        <v>3221</v>
      </c>
      <c r="D700">
        <v>12</v>
      </c>
      <c r="E700">
        <v>0</v>
      </c>
      <c r="H700">
        <v>0</v>
      </c>
      <c r="I700">
        <v>255.208824</v>
      </c>
      <c r="J700">
        <v>0</v>
      </c>
      <c r="K700" t="s">
        <v>3219</v>
      </c>
      <c r="L700">
        <v>1.214507676946562</v>
      </c>
      <c r="M700">
        <v>14.77</v>
      </c>
      <c r="N700">
        <v>3.85</v>
      </c>
    </row>
    <row r="701" spans="1:14">
      <c r="A701" s="1" t="s">
        <v>713</v>
      </c>
      <c r="B701">
        <f>HYPERLINK("https://www.suredividend.com/sure-analysis-CPT/","Camden Property Trust")</f>
        <v>0</v>
      </c>
      <c r="C701" t="s">
        <v>3224</v>
      </c>
      <c r="D701">
        <v>164.62</v>
      </c>
      <c r="E701">
        <v>0.02284048110800631</v>
      </c>
      <c r="F701">
        <v>0.1325301204819276</v>
      </c>
      <c r="G701">
        <v>0.04619663311658995</v>
      </c>
      <c r="H701">
        <v>3.403834939590326</v>
      </c>
      <c r="I701">
        <v>17535.696417</v>
      </c>
      <c r="J701">
        <v>57.80452534147322</v>
      </c>
      <c r="K701">
        <v>1.1538423524035</v>
      </c>
      <c r="L701">
        <v>0.5849289356917311</v>
      </c>
      <c r="M701">
        <v>179.38</v>
      </c>
      <c r="N701">
        <v>113.24</v>
      </c>
    </row>
    <row r="702" spans="1:14">
      <c r="A702" s="1" t="s">
        <v>714</v>
      </c>
      <c r="B702">
        <f>HYPERLINK("https://www.suredividend.com/sure-analysis-research-database/","Crane Co.")</f>
        <v>0</v>
      </c>
      <c r="C702" t="s">
        <v>3220</v>
      </c>
      <c r="D702">
        <v>105.68</v>
      </c>
      <c r="E702">
        <v>0.016544665846613</v>
      </c>
      <c r="F702">
        <v>0.09302325581395365</v>
      </c>
      <c r="G702">
        <v>0.07328926012383752</v>
      </c>
      <c r="H702">
        <v>1.74844028667011</v>
      </c>
      <c r="I702">
        <v>6060.743984</v>
      </c>
      <c r="J702">
        <v>13.91674852849598</v>
      </c>
      <c r="K702">
        <v>0.2375598215584389</v>
      </c>
      <c r="L702">
        <v>1.194816178453034</v>
      </c>
      <c r="M702">
        <v>114.87</v>
      </c>
      <c r="N702">
        <v>83.56999999999999</v>
      </c>
    </row>
    <row r="703" spans="1:14">
      <c r="A703" s="1" t="s">
        <v>715</v>
      </c>
      <c r="B703">
        <f>HYPERLINK("https://www.suredividend.com/sure-analysis-research-database/","CRA International Inc.")</f>
        <v>0</v>
      </c>
      <c r="C703" t="s">
        <v>3220</v>
      </c>
      <c r="D703">
        <v>85</v>
      </c>
      <c r="E703">
        <v>0.013347898137408</v>
      </c>
      <c r="F703">
        <v>0.1923076923076923</v>
      </c>
      <c r="G703">
        <v>0.172321504725808</v>
      </c>
      <c r="H703">
        <v>1.134571341679738</v>
      </c>
      <c r="I703">
        <v>629.0177650000001</v>
      </c>
      <c r="J703">
        <v>15.15559379818813</v>
      </c>
      <c r="K703">
        <v>0.2081782278311446</v>
      </c>
      <c r="L703">
        <v>0.9987220879981271</v>
      </c>
      <c r="M703">
        <v>115.91</v>
      </c>
      <c r="N703">
        <v>72.40000000000001</v>
      </c>
    </row>
    <row r="704" spans="1:14">
      <c r="A704" s="1" t="s">
        <v>716</v>
      </c>
      <c r="B704">
        <f>HYPERLINK("https://www.suredividend.com/sure-analysis-research-database/","Corbus Pharmaceuticals Holdings Inc")</f>
        <v>0</v>
      </c>
      <c r="C704" t="s">
        <v>3217</v>
      </c>
      <c r="D704">
        <v>0.3753</v>
      </c>
      <c r="E704">
        <v>0</v>
      </c>
      <c r="H704">
        <v>0</v>
      </c>
      <c r="I704">
        <v>47.003841</v>
      </c>
      <c r="J704" t="s">
        <v>3219</v>
      </c>
      <c r="K704">
        <v>-0</v>
      </c>
      <c r="L704">
        <v>1.376778610113274</v>
      </c>
      <c r="M704">
        <v>2.29</v>
      </c>
      <c r="N704">
        <v>0.3001</v>
      </c>
    </row>
    <row r="705" spans="1:14">
      <c r="A705" s="1" t="s">
        <v>717</v>
      </c>
      <c r="B705">
        <f>HYPERLINK("https://www.suredividend.com/sure-analysis-research-database/","California Resources Corporation")</f>
        <v>0</v>
      </c>
      <c r="C705" t="s">
        <v>3226</v>
      </c>
      <c r="D705">
        <v>44.79</v>
      </c>
      <c r="E705">
        <v>0.003795490104669</v>
      </c>
      <c r="H705">
        <v>0.170000001788139</v>
      </c>
      <c r="I705">
        <v>3501.062575</v>
      </c>
      <c r="J705">
        <v>0</v>
      </c>
      <c r="K705" t="s">
        <v>3219</v>
      </c>
      <c r="L705">
        <v>0.755305350999108</v>
      </c>
      <c r="M705">
        <v>50.44</v>
      </c>
      <c r="N705">
        <v>21.61</v>
      </c>
    </row>
    <row r="706" spans="1:14">
      <c r="A706" s="1" t="s">
        <v>718</v>
      </c>
      <c r="B706">
        <f>HYPERLINK("https://www.suredividend.com/sure-analysis-research-database/","Cree, Inc.")</f>
        <v>0</v>
      </c>
      <c r="C706" t="s">
        <v>3222</v>
      </c>
      <c r="D706">
        <v>80.06999999999999</v>
      </c>
      <c r="E706">
        <v>0</v>
      </c>
      <c r="H706">
        <v>0</v>
      </c>
      <c r="I706">
        <v>14965.284981</v>
      </c>
      <c r="J706">
        <v>0</v>
      </c>
      <c r="K706">
        <v>-0</v>
      </c>
    </row>
    <row r="707" spans="1:14">
      <c r="A707" s="1" t="s">
        <v>719</v>
      </c>
      <c r="B707">
        <f>HYPERLINK("https://www.suredividend.com/sure-analysis-research-database/","Carters Inc")</f>
        <v>0</v>
      </c>
      <c r="C707" t="s">
        <v>3223</v>
      </c>
      <c r="D707">
        <v>89.7</v>
      </c>
      <c r="E707">
        <v>0.023777824232273</v>
      </c>
      <c r="H707">
        <v>2.132870833634922</v>
      </c>
      <c r="I707">
        <v>3649.340897</v>
      </c>
      <c r="J707">
        <v>10.87294500424568</v>
      </c>
      <c r="K707">
        <v>0.2734449786711439</v>
      </c>
      <c r="L707">
        <v>1.104179161327656</v>
      </c>
      <c r="M707">
        <v>114.45</v>
      </c>
      <c r="N707">
        <v>83.73999999999999</v>
      </c>
    </row>
    <row r="708" spans="1:14">
      <c r="A708" s="1" t="s">
        <v>720</v>
      </c>
      <c r="B708">
        <f>HYPERLINK("https://www.suredividend.com/sure-analysis-research-database/","Curis Inc")</f>
        <v>0</v>
      </c>
      <c r="C708" t="s">
        <v>3217</v>
      </c>
      <c r="D708">
        <v>1.31</v>
      </c>
      <c r="E708">
        <v>0</v>
      </c>
      <c r="H708">
        <v>0</v>
      </c>
      <c r="I708">
        <v>120.055433</v>
      </c>
      <c r="J708" t="s">
        <v>3219</v>
      </c>
      <c r="K708">
        <v>-0</v>
      </c>
      <c r="L708">
        <v>0.554509001614905</v>
      </c>
      <c r="M708">
        <v>17.4</v>
      </c>
      <c r="N708">
        <v>1.28</v>
      </c>
    </row>
    <row r="709" spans="1:14">
      <c r="A709" s="1" t="s">
        <v>721</v>
      </c>
      <c r="B709">
        <f>HYPERLINK("https://www.suredividend.com/sure-analysis-research-database/","Comstock Resources, Inc.")</f>
        <v>0</v>
      </c>
      <c r="C709" t="s">
        <v>3226</v>
      </c>
      <c r="D709">
        <v>16.69</v>
      </c>
      <c r="E709">
        <v>0</v>
      </c>
      <c r="H709">
        <v>0</v>
      </c>
      <c r="I709">
        <v>3887.478528</v>
      </c>
      <c r="J709" t="s">
        <v>3219</v>
      </c>
      <c r="K709">
        <v>-0</v>
      </c>
      <c r="L709">
        <v>1.02564241605522</v>
      </c>
      <c r="M709">
        <v>16.84</v>
      </c>
      <c r="N709">
        <v>4.67</v>
      </c>
    </row>
    <row r="710" spans="1:14">
      <c r="A710" s="1" t="s">
        <v>722</v>
      </c>
      <c r="B710">
        <f>HYPERLINK("https://www.suredividend.com/sure-analysis-research-database/","Charles River Laboratories International Inc.")</f>
        <v>0</v>
      </c>
      <c r="C710" t="s">
        <v>3217</v>
      </c>
      <c r="D710">
        <v>284.63</v>
      </c>
      <c r="E710">
        <v>0</v>
      </c>
      <c r="H710">
        <v>0</v>
      </c>
      <c r="I710">
        <v>14369.843558</v>
      </c>
      <c r="J710">
        <v>36.7532100137858</v>
      </c>
      <c r="K710">
        <v>0</v>
      </c>
      <c r="L710">
        <v>1.194058064800699</v>
      </c>
      <c r="M710">
        <v>460.21</v>
      </c>
      <c r="N710">
        <v>251.3</v>
      </c>
    </row>
    <row r="711" spans="1:14">
      <c r="A711" s="1" t="s">
        <v>723</v>
      </c>
      <c r="B711">
        <f>HYPERLINK("https://www.suredividend.com/sure-analysis-research-database/","Salesforce Inc")</f>
        <v>0</v>
      </c>
      <c r="C711" t="s">
        <v>3222</v>
      </c>
      <c r="D711">
        <v>189.41</v>
      </c>
      <c r="E711">
        <v>0</v>
      </c>
      <c r="H711">
        <v>0</v>
      </c>
      <c r="I711">
        <v>187515.9</v>
      </c>
      <c r="J711">
        <v>129.8586565096953</v>
      </c>
      <c r="K711">
        <v>0</v>
      </c>
      <c r="L711">
        <v>1.503360936973207</v>
      </c>
      <c r="M711">
        <v>311.75</v>
      </c>
      <c r="N711">
        <v>184.44</v>
      </c>
    </row>
    <row r="712" spans="1:14">
      <c r="A712" s="1" t="s">
        <v>724</v>
      </c>
      <c r="B712">
        <f>HYPERLINK("https://www.suredividend.com/sure-analysis-research-database/","CorMedix Inc")</f>
        <v>0</v>
      </c>
      <c r="C712" t="s">
        <v>3217</v>
      </c>
      <c r="D712">
        <v>4.96</v>
      </c>
      <c r="E712">
        <v>0</v>
      </c>
      <c r="H712">
        <v>0</v>
      </c>
      <c r="I712">
        <v>192.090776</v>
      </c>
      <c r="J712">
        <v>0</v>
      </c>
      <c r="K712" t="s">
        <v>3219</v>
      </c>
      <c r="L712">
        <v>0.8467881914527891</v>
      </c>
      <c r="M712">
        <v>8.94</v>
      </c>
      <c r="N712">
        <v>3.65</v>
      </c>
    </row>
    <row r="713" spans="1:14">
      <c r="A713" s="1" t="s">
        <v>725</v>
      </c>
      <c r="B713">
        <f>HYPERLINK("https://www.suredividend.com/sure-analysis-research-database/","Americas Car Mart, Inc.")</f>
        <v>0</v>
      </c>
      <c r="C713" t="s">
        <v>3223</v>
      </c>
      <c r="D713">
        <v>82.73999999999999</v>
      </c>
      <c r="E713">
        <v>0</v>
      </c>
      <c r="H713">
        <v>0</v>
      </c>
      <c r="I713">
        <v>532.817717</v>
      </c>
      <c r="J713">
        <v>4.83996944798205</v>
      </c>
      <c r="K713">
        <v>0</v>
      </c>
      <c r="L713">
        <v>1.108033222339029</v>
      </c>
      <c r="M713">
        <v>177.45</v>
      </c>
      <c r="N713">
        <v>72.5</v>
      </c>
    </row>
    <row r="714" spans="1:14">
      <c r="A714" s="1" t="s">
        <v>726</v>
      </c>
      <c r="B714">
        <f>HYPERLINK("https://www.suredividend.com/sure-analysis-research-database/","Crinetics Pharmaceuticals Inc")</f>
        <v>0</v>
      </c>
      <c r="C714" t="s">
        <v>3217</v>
      </c>
      <c r="D714">
        <v>26</v>
      </c>
      <c r="E714">
        <v>0</v>
      </c>
      <c r="H714">
        <v>0</v>
      </c>
      <c r="I714">
        <v>1242.399886</v>
      </c>
      <c r="J714">
        <v>0</v>
      </c>
      <c r="K714" t="s">
        <v>3219</v>
      </c>
      <c r="L714">
        <v>1.363078274151525</v>
      </c>
      <c r="M714">
        <v>28.95</v>
      </c>
      <c r="N714">
        <v>15.39</v>
      </c>
    </row>
    <row r="715" spans="1:14">
      <c r="A715" s="1" t="s">
        <v>727</v>
      </c>
      <c r="B715">
        <f>HYPERLINK("https://www.suredividend.com/sure-analysis-research-database/","Crocs Inc")</f>
        <v>0</v>
      </c>
      <c r="C715" t="s">
        <v>3223</v>
      </c>
      <c r="D715">
        <v>72.31999999999999</v>
      </c>
      <c r="E715">
        <v>0</v>
      </c>
      <c r="H715">
        <v>0</v>
      </c>
      <c r="I715">
        <v>4220.159327</v>
      </c>
      <c r="J715">
        <v>5.815342730351911</v>
      </c>
      <c r="K715">
        <v>0</v>
      </c>
      <c r="L715">
        <v>2.074698564345837</v>
      </c>
      <c r="M715">
        <v>183.88</v>
      </c>
      <c r="N715">
        <v>66.5</v>
      </c>
    </row>
    <row r="716" spans="1:14">
      <c r="A716" s="1" t="s">
        <v>728</v>
      </c>
      <c r="B716">
        <f>HYPERLINK("https://www.suredividend.com/sure-analysis-research-database/","Carpenter Technology Corp.")</f>
        <v>0</v>
      </c>
      <c r="C716" t="s">
        <v>3220</v>
      </c>
      <c r="D716">
        <v>42.46</v>
      </c>
      <c r="E716">
        <v>0.018657450617263</v>
      </c>
      <c r="F716">
        <v>0</v>
      </c>
      <c r="G716">
        <v>0.02129568760013512</v>
      </c>
      <c r="H716">
        <v>0.792195353208999</v>
      </c>
      <c r="I716">
        <v>2049.521696</v>
      </c>
      <c r="J716" t="s">
        <v>3219</v>
      </c>
      <c r="K716" t="s">
        <v>3219</v>
      </c>
      <c r="L716">
        <v>1.087628914729112</v>
      </c>
      <c r="M716">
        <v>48.27</v>
      </c>
      <c r="N716">
        <v>26.65</v>
      </c>
    </row>
    <row r="717" spans="1:14">
      <c r="A717" s="1" t="s">
        <v>729</v>
      </c>
      <c r="B717">
        <f>HYPERLINK("https://www.suredividend.com/sure-analysis-research-database/","Cortexyme Inc")</f>
        <v>0</v>
      </c>
      <c r="C717" t="s">
        <v>3217</v>
      </c>
      <c r="D717">
        <v>4.66</v>
      </c>
      <c r="E717">
        <v>0</v>
      </c>
      <c r="H717">
        <v>0</v>
      </c>
      <c r="I717">
        <v>140.478081</v>
      </c>
      <c r="J717">
        <v>0</v>
      </c>
      <c r="K717" t="s">
        <v>3219</v>
      </c>
      <c r="L717">
        <v>1.65558758355559</v>
      </c>
      <c r="M717">
        <v>121.98</v>
      </c>
      <c r="N717">
        <v>3.79</v>
      </c>
    </row>
    <row r="718" spans="1:14">
      <c r="A718" s="1" t="s">
        <v>730</v>
      </c>
      <c r="B718">
        <f>HYPERLINK("https://www.suredividend.com/sure-analysis-research-database/","Cirrus Logic, Inc.")</f>
        <v>0</v>
      </c>
      <c r="C718" t="s">
        <v>3222</v>
      </c>
      <c r="D718">
        <v>75.43000000000001</v>
      </c>
      <c r="E718">
        <v>0</v>
      </c>
      <c r="H718">
        <v>0</v>
      </c>
      <c r="I718">
        <v>4320.825311</v>
      </c>
      <c r="J718">
        <v>16.92967420959009</v>
      </c>
      <c r="K718">
        <v>0</v>
      </c>
      <c r="L718">
        <v>1.218924828183778</v>
      </c>
      <c r="M718">
        <v>95.84</v>
      </c>
      <c r="N718">
        <v>71.11</v>
      </c>
    </row>
    <row r="719" spans="1:14">
      <c r="A719" s="1" t="s">
        <v>731</v>
      </c>
      <c r="B719">
        <f>HYPERLINK("https://www.suredividend.com/sure-analysis-research-database/","Corvel Corp.")</f>
        <v>0</v>
      </c>
      <c r="C719" t="s">
        <v>3221</v>
      </c>
      <c r="D719">
        <v>178.82</v>
      </c>
      <c r="E719">
        <v>0</v>
      </c>
      <c r="H719">
        <v>0</v>
      </c>
      <c r="I719">
        <v>3150.899598</v>
      </c>
      <c r="J719">
        <v>51.16591858335227</v>
      </c>
      <c r="K719">
        <v>0</v>
      </c>
      <c r="L719">
        <v>0.742802126994061</v>
      </c>
      <c r="M719">
        <v>213.38</v>
      </c>
      <c r="N719">
        <v>111.3</v>
      </c>
    </row>
    <row r="720" spans="1:14">
      <c r="A720" s="1" t="s">
        <v>732</v>
      </c>
      <c r="B720">
        <f>HYPERLINK("https://www.suredividend.com/sure-analysis-research-database/","Corvus Pharmaceuticals Inc")</f>
        <v>0</v>
      </c>
      <c r="C720" t="s">
        <v>3217</v>
      </c>
      <c r="D720">
        <v>1.45</v>
      </c>
      <c r="E720">
        <v>0</v>
      </c>
      <c r="H720">
        <v>0</v>
      </c>
      <c r="I720">
        <v>67.502591</v>
      </c>
      <c r="J720">
        <v>0</v>
      </c>
      <c r="K720" t="s">
        <v>3219</v>
      </c>
      <c r="L720">
        <v>0.682364507321604</v>
      </c>
      <c r="M720">
        <v>9.539999999999999</v>
      </c>
      <c r="N720">
        <v>1.35</v>
      </c>
    </row>
    <row r="721" spans="1:14">
      <c r="A721" s="1" t="s">
        <v>733</v>
      </c>
      <c r="B721">
        <f>HYPERLINK("https://www.suredividend.com/sure-analysis-research-database/","Crown Crafts, Inc.")</f>
        <v>0</v>
      </c>
      <c r="C721" t="s">
        <v>3223</v>
      </c>
      <c r="D721">
        <v>6.42</v>
      </c>
      <c r="E721">
        <v>0.04808667657334301</v>
      </c>
      <c r="F721">
        <v>0</v>
      </c>
      <c r="G721">
        <v>0</v>
      </c>
      <c r="H721">
        <v>0.308716463600865</v>
      </c>
      <c r="I721">
        <v>64.715012</v>
      </c>
      <c r="J721">
        <v>0</v>
      </c>
      <c r="K721" t="s">
        <v>3219</v>
      </c>
      <c r="L721">
        <v>0.250151243231207</v>
      </c>
      <c r="M721">
        <v>7.6</v>
      </c>
      <c r="N721">
        <v>6.04</v>
      </c>
    </row>
    <row r="722" spans="1:14">
      <c r="A722" s="1" t="s">
        <v>734</v>
      </c>
      <c r="B722">
        <f>HYPERLINK("https://www.suredividend.com/sure-analysis-CSCO/","Cisco Systems, Inc.")</f>
        <v>0</v>
      </c>
      <c r="C722" t="s">
        <v>3222</v>
      </c>
      <c r="D722">
        <v>51.17</v>
      </c>
      <c r="E722">
        <v>0.02970490521790111</v>
      </c>
      <c r="F722">
        <v>0.02702702702702697</v>
      </c>
      <c r="G722">
        <v>0.05554589164848411</v>
      </c>
      <c r="H722">
        <v>1.475693079680787</v>
      </c>
      <c r="I722">
        <v>212568.77656</v>
      </c>
      <c r="J722">
        <v>17.97621789090909</v>
      </c>
      <c r="K722">
        <v>0.5270332427431382</v>
      </c>
      <c r="L722">
        <v>0.852448533100124</v>
      </c>
      <c r="M722">
        <v>63.47</v>
      </c>
      <c r="N722">
        <v>48.8</v>
      </c>
    </row>
    <row r="723" spans="1:14">
      <c r="A723" s="1" t="s">
        <v>735</v>
      </c>
      <c r="B723">
        <f>HYPERLINK("https://www.suredividend.com/sure-analysis-research-database/","Costar Group, Inc.")</f>
        <v>0</v>
      </c>
      <c r="C723" t="s">
        <v>3224</v>
      </c>
      <c r="D723">
        <v>61.82</v>
      </c>
      <c r="E723">
        <v>0</v>
      </c>
      <c r="H723">
        <v>0</v>
      </c>
      <c r="I723">
        <v>24418.139861</v>
      </c>
      <c r="J723">
        <v>83.4625581454998</v>
      </c>
      <c r="K723">
        <v>0</v>
      </c>
      <c r="L723">
        <v>1.412805922454406</v>
      </c>
      <c r="M723">
        <v>101.05</v>
      </c>
      <c r="N723">
        <v>49</v>
      </c>
    </row>
    <row r="724" spans="1:14">
      <c r="A724" s="1" t="s">
        <v>736</v>
      </c>
      <c r="B724">
        <f>HYPERLINK("https://www.suredividend.com/sure-analysis-research-database/","CSG Systems International Inc.")</f>
        <v>0</v>
      </c>
      <c r="C724" t="s">
        <v>3222</v>
      </c>
      <c r="D724">
        <v>64.40000000000001</v>
      </c>
      <c r="E724">
        <v>0.015656065445839</v>
      </c>
      <c r="F724">
        <v>0.06000000000000005</v>
      </c>
      <c r="G724">
        <v>0.06056124915010019</v>
      </c>
      <c r="H724">
        <v>1.008250614712061</v>
      </c>
      <c r="I724">
        <v>2078.355376</v>
      </c>
      <c r="J724">
        <v>28.73395052743637</v>
      </c>
      <c r="K724">
        <v>0.446128590580558</v>
      </c>
      <c r="L724">
        <v>0.5568291424898291</v>
      </c>
      <c r="M724">
        <v>65.93000000000001</v>
      </c>
      <c r="N724">
        <v>41.75</v>
      </c>
    </row>
    <row r="725" spans="1:14">
      <c r="A725" s="1" t="s">
        <v>737</v>
      </c>
      <c r="B725">
        <f>HYPERLINK("https://www.suredividend.com/sure-analysis-research-database/","Cardiovascular Systems Inc.")</f>
        <v>0</v>
      </c>
      <c r="C725" t="s">
        <v>3217</v>
      </c>
      <c r="D725">
        <v>21.53</v>
      </c>
      <c r="E725">
        <v>0</v>
      </c>
      <c r="H725">
        <v>0</v>
      </c>
      <c r="I725">
        <v>873.6650519999999</v>
      </c>
      <c r="J725" t="s">
        <v>3219</v>
      </c>
      <c r="K725">
        <v>-0</v>
      </c>
      <c r="L725">
        <v>1.181473060495177</v>
      </c>
      <c r="M725">
        <v>44.57</v>
      </c>
      <c r="N725">
        <v>15.22</v>
      </c>
    </row>
    <row r="726" spans="1:14">
      <c r="A726" s="1" t="s">
        <v>738</v>
      </c>
      <c r="B726">
        <f>HYPERLINK("https://www.suredividend.com/sure-analysis-CSL/","Carlisle Companies Inc.")</f>
        <v>0</v>
      </c>
      <c r="C726" t="s">
        <v>3220</v>
      </c>
      <c r="D726">
        <v>244.29</v>
      </c>
      <c r="E726">
        <v>0.008841950141225593</v>
      </c>
      <c r="F726">
        <v>0.02857142857142869</v>
      </c>
      <c r="G726">
        <v>0.09059912043706908</v>
      </c>
      <c r="H726">
        <v>2.137626554074786</v>
      </c>
      <c r="I726">
        <v>12719.663871</v>
      </c>
      <c r="J726">
        <v>30.16282634797249</v>
      </c>
      <c r="K726">
        <v>0.2695619866424699</v>
      </c>
      <c r="L726">
        <v>0.9827447112980701</v>
      </c>
      <c r="M726">
        <v>255</v>
      </c>
      <c r="N726">
        <v>172.8</v>
      </c>
    </row>
    <row r="727" spans="1:14">
      <c r="A727" s="1" t="s">
        <v>739</v>
      </c>
      <c r="B727">
        <f>HYPERLINK("https://www.suredividend.com/sure-analysis-research-database/","Castlight Health Inc")</f>
        <v>0</v>
      </c>
      <c r="C727" t="s">
        <v>3217</v>
      </c>
      <c r="D727">
        <v>2.05</v>
      </c>
      <c r="E727">
        <v>0</v>
      </c>
      <c r="H727">
        <v>0</v>
      </c>
      <c r="I727">
        <v>274.154505</v>
      </c>
      <c r="J727">
        <v>0</v>
      </c>
      <c r="K727" t="s">
        <v>3219</v>
      </c>
      <c r="M727">
        <v>2.71</v>
      </c>
      <c r="N727">
        <v>1.35</v>
      </c>
    </row>
    <row r="728" spans="1:14">
      <c r="A728" s="1" t="s">
        <v>740</v>
      </c>
      <c r="B728">
        <f>HYPERLINK("https://www.suredividend.com/sure-analysis-research-database/","Cornerstone OnDemand Inc")</f>
        <v>0</v>
      </c>
      <c r="C728" t="s">
        <v>3222</v>
      </c>
      <c r="D728">
        <v>57.49</v>
      </c>
      <c r="E728">
        <v>0</v>
      </c>
      <c r="H728">
        <v>0</v>
      </c>
      <c r="I728">
        <v>0</v>
      </c>
      <c r="J728">
        <v>0</v>
      </c>
      <c r="K728">
        <v>-0</v>
      </c>
    </row>
    <row r="729" spans="1:14">
      <c r="A729" s="1" t="s">
        <v>741</v>
      </c>
      <c r="B729">
        <f>HYPERLINK("https://www.suredividend.com/sure-analysis-research-database/","CSP Inc.")</f>
        <v>0</v>
      </c>
      <c r="C729" t="s">
        <v>3222</v>
      </c>
      <c r="D729">
        <v>7</v>
      </c>
      <c r="E729">
        <v>0</v>
      </c>
      <c r="H729">
        <v>0</v>
      </c>
      <c r="I729">
        <v>31.70867</v>
      </c>
      <c r="J729">
        <v>0</v>
      </c>
      <c r="K729" t="s">
        <v>3219</v>
      </c>
      <c r="M729">
        <v>11.94</v>
      </c>
      <c r="N729">
        <v>6.61</v>
      </c>
    </row>
    <row r="730" spans="1:14">
      <c r="A730" s="1" t="s">
        <v>742</v>
      </c>
      <c r="B730">
        <f>HYPERLINK("https://www.suredividend.com/sure-analysis-research-database/","CapStar Financial Holdings Inc")</f>
        <v>0</v>
      </c>
      <c r="C730" t="s">
        <v>3221</v>
      </c>
      <c r="D730">
        <v>20.35</v>
      </c>
      <c r="E730">
        <v>0.011744658104161</v>
      </c>
      <c r="H730">
        <v>0.239003792419678</v>
      </c>
      <c r="I730">
        <v>452.300525</v>
      </c>
      <c r="J730">
        <v>9.291873461799208</v>
      </c>
      <c r="K730">
        <v>0.1091341517898073</v>
      </c>
      <c r="L730">
        <v>0.6667275083374771</v>
      </c>
      <c r="M730">
        <v>22.81</v>
      </c>
      <c r="N730">
        <v>16.86</v>
      </c>
    </row>
    <row r="731" spans="1:14">
      <c r="A731" s="1" t="s">
        <v>743</v>
      </c>
      <c r="B731">
        <f>HYPERLINK("https://www.suredividend.com/sure-analysis-research-database/","Carriage Services, Inc.")</f>
        <v>0</v>
      </c>
      <c r="C731" t="s">
        <v>3223</v>
      </c>
      <c r="D731">
        <v>51.88</v>
      </c>
      <c r="E731">
        <v>0.008164048783736</v>
      </c>
      <c r="F731">
        <v>0.125</v>
      </c>
      <c r="G731">
        <v>0.1760790225246736</v>
      </c>
      <c r="H731">
        <v>0.423550850900242</v>
      </c>
      <c r="I731">
        <v>796.916125</v>
      </c>
      <c r="J731">
        <v>24.07165242070924</v>
      </c>
      <c r="K731">
        <v>0.2340059949725094</v>
      </c>
      <c r="L731">
        <v>0.7505616855199481</v>
      </c>
      <c r="M731">
        <v>66.18000000000001</v>
      </c>
      <c r="N731">
        <v>33.85</v>
      </c>
    </row>
    <row r="732" spans="1:14">
      <c r="A732" s="1" t="s">
        <v>744</v>
      </c>
      <c r="B732">
        <f>HYPERLINK("https://www.suredividend.com/sure-analysis-research-database/","CSW Industrials Inc")</f>
        <v>0</v>
      </c>
      <c r="C732" t="s">
        <v>3220</v>
      </c>
      <c r="D732">
        <v>109.71</v>
      </c>
      <c r="E732">
        <v>0.005458602267334</v>
      </c>
      <c r="H732">
        <v>0.598863254749318</v>
      </c>
      <c r="I732">
        <v>1736.103481</v>
      </c>
      <c r="J732">
        <v>31.01126201489738</v>
      </c>
      <c r="K732">
        <v>0.169170410946135</v>
      </c>
      <c r="L732">
        <v>0.7165079585935931</v>
      </c>
      <c r="M732">
        <v>145.3</v>
      </c>
      <c r="N732">
        <v>107.14</v>
      </c>
    </row>
    <row r="733" spans="1:14">
      <c r="A733" s="1" t="s">
        <v>745</v>
      </c>
      <c r="B733">
        <f>HYPERLINK("https://www.suredividend.com/sure-analysis-CSX/","CSX Corp.")</f>
        <v>0</v>
      </c>
      <c r="C733" t="s">
        <v>3220</v>
      </c>
      <c r="D733">
        <v>35.06</v>
      </c>
      <c r="E733">
        <v>0.01140901312036509</v>
      </c>
      <c r="F733">
        <v>-0.6428571428571428</v>
      </c>
      <c r="G733">
        <v>-0.1294494367038759</v>
      </c>
      <c r="H733">
        <v>0.378419680910661</v>
      </c>
      <c r="I733">
        <v>76381.02426599999</v>
      </c>
      <c r="J733">
        <v>20.20127592335361</v>
      </c>
      <c r="K733">
        <v>0.2252498100658696</v>
      </c>
      <c r="L733">
        <v>0.842041869162889</v>
      </c>
      <c r="M733">
        <v>38.63</v>
      </c>
      <c r="N733">
        <v>29.32</v>
      </c>
    </row>
    <row r="734" spans="1:14">
      <c r="A734" s="1" t="s">
        <v>746</v>
      </c>
      <c r="B734">
        <f>HYPERLINK("https://www.suredividend.com/sure-analysis-CTAS/","Cintas Corporation")</f>
        <v>0</v>
      </c>
      <c r="C734" t="s">
        <v>3220</v>
      </c>
      <c r="D734">
        <v>413.67</v>
      </c>
      <c r="E734">
        <v>0.009186066188024269</v>
      </c>
      <c r="H734">
        <v>3.587766552445198</v>
      </c>
      <c r="I734">
        <v>42328.745933</v>
      </c>
      <c r="J734">
        <v>35.19663965935661</v>
      </c>
      <c r="K734">
        <v>0.3172207385009017</v>
      </c>
      <c r="L734">
        <v>1.005439527380191</v>
      </c>
      <c r="M734">
        <v>460.27</v>
      </c>
      <c r="N734">
        <v>335.59</v>
      </c>
    </row>
    <row r="735" spans="1:14">
      <c r="A735" s="1" t="s">
        <v>747</v>
      </c>
      <c r="B735">
        <f>HYPERLINK("https://www.suredividend.com/sure-analysis-research-database/","Cooper Tire &amp; Rubber Co.")</f>
        <v>0</v>
      </c>
      <c r="C735" t="s">
        <v>3223</v>
      </c>
      <c r="D735">
        <v>60.17</v>
      </c>
      <c r="E735">
        <v>0.006959908765423001</v>
      </c>
      <c r="H735">
        <v>0.41877771041551</v>
      </c>
      <c r="I735">
        <v>3040.024387</v>
      </c>
      <c r="J735">
        <v>17.22988900832582</v>
      </c>
      <c r="K735">
        <v>0.1203384225331925</v>
      </c>
      <c r="M735">
        <v>60.46</v>
      </c>
      <c r="N735">
        <v>24.62</v>
      </c>
    </row>
    <row r="736" spans="1:14">
      <c r="A736" s="1" t="s">
        <v>748</v>
      </c>
      <c r="B736">
        <f>HYPERLINK("https://www.suredividend.com/sure-analysis-CTBI/","Community Trust Bancorp, Inc.")</f>
        <v>0</v>
      </c>
      <c r="C736" t="s">
        <v>3221</v>
      </c>
      <c r="D736">
        <v>39.96</v>
      </c>
      <c r="E736">
        <v>0.04004004004004004</v>
      </c>
      <c r="F736">
        <v>0.03896103896103909</v>
      </c>
      <c r="G736">
        <v>0.04563955259127317</v>
      </c>
      <c r="H736">
        <v>1.562870441832927</v>
      </c>
      <c r="I736">
        <v>714.64492</v>
      </c>
      <c r="J736">
        <v>8.126598206938901</v>
      </c>
      <c r="K736">
        <v>0.3163705347839933</v>
      </c>
      <c r="L736">
        <v>0.559797719964501</v>
      </c>
      <c r="M736">
        <v>45.86</v>
      </c>
      <c r="N736">
        <v>37.49</v>
      </c>
    </row>
    <row r="737" spans="1:14">
      <c r="A737" s="1" t="s">
        <v>749</v>
      </c>
      <c r="B737">
        <f>HYPERLINK("https://www.suredividend.com/sure-analysis-research-database/","Computer Task Group, Inc.")</f>
        <v>0</v>
      </c>
      <c r="C737" t="s">
        <v>3222</v>
      </c>
      <c r="D737">
        <v>9.890000000000001</v>
      </c>
      <c r="E737">
        <v>0</v>
      </c>
      <c r="H737">
        <v>0</v>
      </c>
      <c r="I737">
        <v>151.722965</v>
      </c>
      <c r="J737">
        <v>11.05047084632192</v>
      </c>
      <c r="K737">
        <v>0</v>
      </c>
      <c r="L737">
        <v>0.390438663320807</v>
      </c>
      <c r="M737">
        <v>11.68</v>
      </c>
      <c r="N737">
        <v>6.77</v>
      </c>
    </row>
    <row r="738" spans="1:14">
      <c r="A738" s="1" t="s">
        <v>750</v>
      </c>
      <c r="B738">
        <f>HYPERLINK("https://www.suredividend.com/sure-analysis-research-database/","Charles &amp; Colvard Ltd")</f>
        <v>0</v>
      </c>
      <c r="C738" t="s">
        <v>3223</v>
      </c>
      <c r="D738">
        <v>1.54</v>
      </c>
      <c r="E738">
        <v>0</v>
      </c>
      <c r="H738">
        <v>0</v>
      </c>
      <c r="I738">
        <v>47.185121</v>
      </c>
      <c r="J738">
        <v>4.134671659630251</v>
      </c>
      <c r="K738">
        <v>0</v>
      </c>
      <c r="L738">
        <v>0.9933868828302681</v>
      </c>
      <c r="M738">
        <v>3.66</v>
      </c>
      <c r="N738">
        <v>1.51</v>
      </c>
    </row>
    <row r="739" spans="1:14">
      <c r="A739" s="1" t="s">
        <v>751</v>
      </c>
      <c r="B739">
        <f>HYPERLINK("https://www.suredividend.com/sure-analysis-research-database/","Yunhong CTI Ltd")</f>
        <v>0</v>
      </c>
      <c r="C739" t="s">
        <v>3223</v>
      </c>
      <c r="D739">
        <v>0.9550000000000001</v>
      </c>
      <c r="E739">
        <v>0</v>
      </c>
      <c r="H739">
        <v>0</v>
      </c>
      <c r="I739">
        <v>5.621846</v>
      </c>
      <c r="J739">
        <v>0</v>
      </c>
      <c r="K739" t="s">
        <v>3219</v>
      </c>
      <c r="L739">
        <v>1.162986823674872</v>
      </c>
      <c r="M739">
        <v>3.41</v>
      </c>
      <c r="N739">
        <v>0.8</v>
      </c>
    </row>
    <row r="740" spans="1:14">
      <c r="A740" s="1" t="s">
        <v>752</v>
      </c>
      <c r="B740">
        <f>HYPERLINK("https://www.suredividend.com/sure-analysis-research-database/","CTI BioPharma Corp")</f>
        <v>0</v>
      </c>
      <c r="C740" t="s">
        <v>3217</v>
      </c>
      <c r="D740">
        <v>4.52</v>
      </c>
      <c r="E740">
        <v>0</v>
      </c>
      <c r="H740">
        <v>0</v>
      </c>
      <c r="I740">
        <v>451.627679</v>
      </c>
      <c r="J740" t="s">
        <v>3219</v>
      </c>
      <c r="K740">
        <v>-0</v>
      </c>
      <c r="L740">
        <v>0.745919828704481</v>
      </c>
      <c r="M740">
        <v>5.25</v>
      </c>
      <c r="N740">
        <v>1.43</v>
      </c>
    </row>
    <row r="741" spans="1:14">
      <c r="A741" s="1" t="s">
        <v>753</v>
      </c>
      <c r="B741">
        <f>HYPERLINK("https://www.suredividend.com/sure-analysis-research-database/","Catalent Inc.")</f>
        <v>0</v>
      </c>
      <c r="C741" t="s">
        <v>3217</v>
      </c>
      <c r="D741">
        <v>97.31999999999999</v>
      </c>
      <c r="E741">
        <v>0</v>
      </c>
      <c r="H741">
        <v>0</v>
      </c>
      <c r="I741">
        <v>17430.418116</v>
      </c>
      <c r="J741">
        <v>31.09243331494826</v>
      </c>
      <c r="K741">
        <v>0</v>
      </c>
      <c r="L741">
        <v>1.157276327391948</v>
      </c>
      <c r="M741">
        <v>142.64</v>
      </c>
      <c r="N741">
        <v>91.17</v>
      </c>
    </row>
    <row r="742" spans="1:14">
      <c r="A742" s="1" t="s">
        <v>754</v>
      </c>
      <c r="B742">
        <f>HYPERLINK("https://www.suredividend.com/sure-analysis-research-database/","CytomX Therapeutics Inc")</f>
        <v>0</v>
      </c>
      <c r="C742" t="s">
        <v>3217</v>
      </c>
      <c r="D742">
        <v>2.31</v>
      </c>
      <c r="E742">
        <v>0</v>
      </c>
      <c r="H742">
        <v>0</v>
      </c>
      <c r="I742">
        <v>151.057271</v>
      </c>
      <c r="J742" t="s">
        <v>3219</v>
      </c>
      <c r="K742">
        <v>-0</v>
      </c>
      <c r="L742">
        <v>0.7223250033464671</v>
      </c>
      <c r="M742">
        <v>10.05</v>
      </c>
      <c r="N742">
        <v>2.3</v>
      </c>
    </row>
    <row r="743" spans="1:14">
      <c r="A743" s="1" t="s">
        <v>755</v>
      </c>
      <c r="B743">
        <f>HYPERLINK("https://www.suredividend.com/sure-analysis-CTO/","CTO Realty Growth Inc")</f>
        <v>0</v>
      </c>
      <c r="C743" t="s">
        <v>3224</v>
      </c>
      <c r="D743">
        <v>65.18000000000001</v>
      </c>
      <c r="E743">
        <v>0.06627799938631482</v>
      </c>
      <c r="F743">
        <v>0.08000000000000007</v>
      </c>
      <c r="G743">
        <v>0.8488034812197069</v>
      </c>
      <c r="H743">
        <v>3.977164172858942</v>
      </c>
      <c r="I743">
        <v>389.032696</v>
      </c>
      <c r="J743">
        <v>14.08773116784356</v>
      </c>
      <c r="K743">
        <v>0.8480094185200302</v>
      </c>
      <c r="L743">
        <v>0.6475410472611941</v>
      </c>
      <c r="M743">
        <v>67.38</v>
      </c>
      <c r="N743">
        <v>46.09</v>
      </c>
    </row>
    <row r="744" spans="1:14">
      <c r="A744" s="1" t="s">
        <v>756</v>
      </c>
      <c r="B744">
        <f>HYPERLINK("https://www.suredividend.com/sure-analysis-research-database/","Coterra Energy Inc")</f>
        <v>0</v>
      </c>
      <c r="C744" t="s">
        <v>3226</v>
      </c>
      <c r="D744">
        <v>29.42</v>
      </c>
      <c r="E744">
        <v>0.016731894337255</v>
      </c>
      <c r="H744">
        <v>0.492252331402054</v>
      </c>
      <c r="I744">
        <v>23858.996119</v>
      </c>
      <c r="J744">
        <v>20.65713949738528</v>
      </c>
      <c r="K744">
        <v>0.2149573499572288</v>
      </c>
      <c r="M744">
        <v>29.63</v>
      </c>
      <c r="N744">
        <v>14.28</v>
      </c>
    </row>
    <row r="745" spans="1:14">
      <c r="A745" s="1" t="s">
        <v>757</v>
      </c>
      <c r="B745">
        <f>HYPERLINK("https://www.suredividend.com/sure-analysis-CTRE/","CareTrust REIT Inc")</f>
        <v>0</v>
      </c>
      <c r="C745" t="s">
        <v>3224</v>
      </c>
      <c r="D745">
        <v>17.52</v>
      </c>
      <c r="E745">
        <v>0.06278538812785389</v>
      </c>
      <c r="F745">
        <v>0.03773584905660377</v>
      </c>
      <c r="G745">
        <v>0.08251068824981633</v>
      </c>
      <c r="H745">
        <v>1.049559129906687</v>
      </c>
      <c r="I745">
        <v>1700.270781</v>
      </c>
      <c r="J745">
        <v>0</v>
      </c>
      <c r="K745" t="s">
        <v>3219</v>
      </c>
      <c r="L745">
        <v>0.76848916577583</v>
      </c>
      <c r="M745">
        <v>23.65</v>
      </c>
      <c r="N745">
        <v>16.63</v>
      </c>
    </row>
    <row r="746" spans="1:14">
      <c r="A746" s="1" t="s">
        <v>758</v>
      </c>
      <c r="B746">
        <f>HYPERLINK("https://www.suredividend.com/sure-analysis-research-database/","Citi Trends Inc")</f>
        <v>0</v>
      </c>
      <c r="C746" t="s">
        <v>3223</v>
      </c>
      <c r="D746">
        <v>32.01</v>
      </c>
      <c r="E746">
        <v>0</v>
      </c>
      <c r="H746">
        <v>0</v>
      </c>
      <c r="I746">
        <v>272.098892</v>
      </c>
      <c r="J746">
        <v>3.862901124944988</v>
      </c>
      <c r="K746">
        <v>0</v>
      </c>
      <c r="L746">
        <v>2.143787664717069</v>
      </c>
      <c r="M746">
        <v>111.44</v>
      </c>
      <c r="N746">
        <v>27.59</v>
      </c>
    </row>
    <row r="747" spans="1:14">
      <c r="A747" s="1" t="s">
        <v>759</v>
      </c>
      <c r="B747">
        <f>HYPERLINK("https://www.suredividend.com/sure-analysis-research-database/","CTS Corp.")</f>
        <v>0</v>
      </c>
      <c r="C747" t="s">
        <v>3222</v>
      </c>
      <c r="D747">
        <v>34.3</v>
      </c>
      <c r="E747">
        <v>0.004656779492739</v>
      </c>
      <c r="F747">
        <v>0</v>
      </c>
      <c r="G747">
        <v>0</v>
      </c>
      <c r="H747">
        <v>0.159727536600978</v>
      </c>
      <c r="I747">
        <v>1102.140188</v>
      </c>
      <c r="J747" t="s">
        <v>3219</v>
      </c>
      <c r="K747" t="s">
        <v>3219</v>
      </c>
      <c r="L747">
        <v>0.873751293824771</v>
      </c>
      <c r="M747">
        <v>39.31</v>
      </c>
      <c r="N747">
        <v>28.65</v>
      </c>
    </row>
    <row r="748" spans="1:14">
      <c r="A748" s="1" t="s">
        <v>760</v>
      </c>
      <c r="B748">
        <f>HYPERLINK("https://www.suredividend.com/sure-analysis-CTSH/","Cognizant Technology Solutions Corp.")</f>
        <v>0</v>
      </c>
      <c r="C748" t="s">
        <v>3222</v>
      </c>
      <c r="D748">
        <v>84.73999999999999</v>
      </c>
      <c r="E748">
        <v>0.01274486665093227</v>
      </c>
      <c r="F748">
        <v>0.1250000000000002</v>
      </c>
      <c r="G748">
        <v>0.1247461131420948</v>
      </c>
      <c r="H748">
        <v>0.9856609669101341</v>
      </c>
      <c r="I748">
        <v>44449.081325</v>
      </c>
      <c r="J748">
        <v>20.79975728812354</v>
      </c>
      <c r="K748">
        <v>0.2433730782494158</v>
      </c>
      <c r="L748">
        <v>0.960128702151074</v>
      </c>
      <c r="M748">
        <v>93.47</v>
      </c>
      <c r="N748">
        <v>65.59</v>
      </c>
    </row>
    <row r="749" spans="1:14">
      <c r="A749" s="1" t="s">
        <v>761</v>
      </c>
      <c r="B749">
        <f>HYPERLINK("https://www.suredividend.com/sure-analysis-research-database/","Cytosorbents Corp")</f>
        <v>0</v>
      </c>
      <c r="C749" t="s">
        <v>3217</v>
      </c>
      <c r="D749">
        <v>2.87</v>
      </c>
      <c r="E749">
        <v>0</v>
      </c>
      <c r="H749">
        <v>0</v>
      </c>
      <c r="I749">
        <v>124.862071</v>
      </c>
      <c r="J749">
        <v>0</v>
      </c>
      <c r="K749" t="s">
        <v>3219</v>
      </c>
      <c r="L749">
        <v>1.066549039765337</v>
      </c>
      <c r="M749">
        <v>9.800000000000001</v>
      </c>
      <c r="N749">
        <v>2.82</v>
      </c>
    </row>
    <row r="750" spans="1:14">
      <c r="A750" s="1" t="s">
        <v>762</v>
      </c>
      <c r="B750">
        <f>HYPERLINK("https://www.suredividend.com/sure-analysis-research-database/","CatchMark Timber Trust Inc")</f>
        <v>0</v>
      </c>
      <c r="C750" t="s">
        <v>3224</v>
      </c>
      <c r="D750">
        <v>8.41</v>
      </c>
      <c r="E750">
        <v>0.049064462436619</v>
      </c>
      <c r="F750">
        <v>-0.4444444444444445</v>
      </c>
      <c r="G750">
        <v>-0.1109104638678</v>
      </c>
      <c r="H750">
        <v>0.4126321290919671</v>
      </c>
      <c r="I750">
        <v>412.266097</v>
      </c>
      <c r="J750">
        <v>0</v>
      </c>
      <c r="K750" t="s">
        <v>3219</v>
      </c>
      <c r="L750">
        <v>0.509933698168619</v>
      </c>
      <c r="M750">
        <v>12.26</v>
      </c>
      <c r="N750">
        <v>7.12</v>
      </c>
    </row>
    <row r="751" spans="1:14">
      <c r="A751" s="1" t="s">
        <v>763</v>
      </c>
      <c r="B751">
        <f>HYPERLINK("https://www.suredividend.com/sure-analysis-research-database/","Corteva Inc")</f>
        <v>0</v>
      </c>
      <c r="C751" t="s">
        <v>3218</v>
      </c>
      <c r="D751">
        <v>61.01</v>
      </c>
      <c r="E751">
        <v>0.008977364481866</v>
      </c>
      <c r="H751">
        <v>0.547709007038647</v>
      </c>
      <c r="I751">
        <v>44340.457641</v>
      </c>
      <c r="J751">
        <v>25.20776443493462</v>
      </c>
      <c r="K751">
        <v>0.2311008468517498</v>
      </c>
      <c r="L751">
        <v>0.7629609050054881</v>
      </c>
      <c r="M751">
        <v>61.74</v>
      </c>
      <c r="N751">
        <v>40.25</v>
      </c>
    </row>
    <row r="752" spans="1:14">
      <c r="A752" s="1" t="s">
        <v>764</v>
      </c>
      <c r="B752">
        <f>HYPERLINK("https://www.suredividend.com/sure-analysis-research-database/","Citrix Systems, Inc.")</f>
        <v>0</v>
      </c>
      <c r="C752" t="s">
        <v>3222</v>
      </c>
      <c r="D752">
        <v>102.24</v>
      </c>
      <c r="E752">
        <v>0.010810512750218</v>
      </c>
      <c r="H752">
        <v>1.105266823582319</v>
      </c>
      <c r="I752">
        <v>12873.36066</v>
      </c>
      <c r="J752">
        <v>41.86472365919889</v>
      </c>
      <c r="K752">
        <v>0.4529782063861963</v>
      </c>
      <c r="L752">
        <v>0.4962228840551781</v>
      </c>
      <c r="M752">
        <v>142.85</v>
      </c>
      <c r="N752">
        <v>77.98999999999999</v>
      </c>
    </row>
    <row r="753" spans="1:14">
      <c r="A753" s="1" t="s">
        <v>765</v>
      </c>
      <c r="B753">
        <f>HYPERLINK("https://www.suredividend.com/sure-analysis-research-database/","Cubic Corp.")</f>
        <v>0</v>
      </c>
      <c r="C753" t="s">
        <v>3220</v>
      </c>
      <c r="D753">
        <v>75</v>
      </c>
      <c r="E753">
        <v>0.003596500979032</v>
      </c>
      <c r="H753">
        <v>0.269737573427437</v>
      </c>
      <c r="I753">
        <v>2382.6432</v>
      </c>
      <c r="J753">
        <v>319.175244474213</v>
      </c>
      <c r="K753">
        <v>1.136694367582963</v>
      </c>
      <c r="L753">
        <v>0.7468079972166171</v>
      </c>
      <c r="M753">
        <v>78.13</v>
      </c>
      <c r="N753">
        <v>39.78</v>
      </c>
    </row>
    <row r="754" spans="1:14">
      <c r="A754" s="1" t="s">
        <v>766</v>
      </c>
      <c r="B754">
        <f>HYPERLINK("https://www.suredividend.com/sure-analysis-CUBE/","CubeSmart")</f>
        <v>0</v>
      </c>
      <c r="C754" t="s">
        <v>3224</v>
      </c>
      <c r="D754">
        <v>53.68</v>
      </c>
      <c r="E754">
        <v>0.03204172876304024</v>
      </c>
      <c r="F754">
        <v>0.2647058823529411</v>
      </c>
      <c r="G754">
        <v>0.09754146869121727</v>
      </c>
      <c r="H754">
        <v>1.523659479095967</v>
      </c>
      <c r="I754">
        <v>12024.468962</v>
      </c>
      <c r="J754">
        <v>53.80508927788368</v>
      </c>
      <c r="K754">
        <v>1.397852733115566</v>
      </c>
      <c r="L754">
        <v>0.537214619306964</v>
      </c>
      <c r="M754">
        <v>56.88</v>
      </c>
      <c r="N754">
        <v>39.37</v>
      </c>
    </row>
    <row r="755" spans="1:14">
      <c r="A755" s="1" t="s">
        <v>767</v>
      </c>
      <c r="B755">
        <f>HYPERLINK("https://www.suredividend.com/sure-analysis-research-database/","Customers Bancorp Inc")</f>
        <v>0</v>
      </c>
      <c r="C755" t="s">
        <v>3221</v>
      </c>
      <c r="D755">
        <v>44.08</v>
      </c>
      <c r="E755">
        <v>0</v>
      </c>
      <c r="H755">
        <v>0</v>
      </c>
      <c r="I755">
        <v>1452.31024</v>
      </c>
      <c r="J755">
        <v>4.838872769363017</v>
      </c>
      <c r="K755">
        <v>0</v>
      </c>
      <c r="L755">
        <v>1.743182438602595</v>
      </c>
      <c r="M755">
        <v>76.13</v>
      </c>
      <c r="N755">
        <v>29.17</v>
      </c>
    </row>
    <row r="756" spans="1:14">
      <c r="A756" s="1" t="s">
        <v>768</v>
      </c>
      <c r="B756">
        <f>HYPERLINK("https://www.suredividend.com/sure-analysis-research-database/","Cue Biopharma Inc")</f>
        <v>0</v>
      </c>
      <c r="C756" t="s">
        <v>3217</v>
      </c>
      <c r="D756">
        <v>4.54</v>
      </c>
      <c r="E756">
        <v>0</v>
      </c>
      <c r="H756">
        <v>0</v>
      </c>
      <c r="I756">
        <v>149.868587</v>
      </c>
      <c r="J756">
        <v>0</v>
      </c>
      <c r="K756" t="s">
        <v>3219</v>
      </c>
      <c r="L756">
        <v>1.151969240363781</v>
      </c>
      <c r="M756">
        <v>18.42</v>
      </c>
      <c r="N756">
        <v>4.29</v>
      </c>
    </row>
    <row r="757" spans="1:14">
      <c r="A757" s="1" t="s">
        <v>769</v>
      </c>
      <c r="B757">
        <f>HYPERLINK("https://www.suredividend.com/sure-analysis-research-database/","Culp Inc.")</f>
        <v>0</v>
      </c>
      <c r="C757" t="s">
        <v>3223</v>
      </c>
      <c r="D757">
        <v>7.7</v>
      </c>
      <c r="E757">
        <v>0.05735830108626801</v>
      </c>
      <c r="F757">
        <v>0.04545454545454541</v>
      </c>
      <c r="G757">
        <v>-0.113465361111414</v>
      </c>
      <c r="H757">
        <v>0.441658918364263</v>
      </c>
      <c r="I757">
        <v>94.079116</v>
      </c>
      <c r="J757">
        <v>21.89413914358855</v>
      </c>
      <c r="K757">
        <v>1.265498333421957</v>
      </c>
      <c r="L757">
        <v>0.4056845483631381</v>
      </c>
      <c r="M757">
        <v>17.14</v>
      </c>
      <c r="N757">
        <v>7.59</v>
      </c>
    </row>
    <row r="758" spans="1:14">
      <c r="A758" s="1" t="s">
        <v>770</v>
      </c>
      <c r="B758">
        <f>HYPERLINK("https://www.suredividend.com/sure-analysis-research-database/","CURO Group Holdings Corp")</f>
        <v>0</v>
      </c>
      <c r="C758" t="s">
        <v>3221</v>
      </c>
      <c r="D758">
        <v>12.26</v>
      </c>
      <c r="E758">
        <v>0.035510942798658</v>
      </c>
      <c r="H758">
        <v>0.435364158711557</v>
      </c>
      <c r="I758">
        <v>493.368391</v>
      </c>
      <c r="J758">
        <v>8.315104176357568</v>
      </c>
      <c r="K758">
        <v>0.3154812744286645</v>
      </c>
      <c r="L758">
        <v>1.404184416193519</v>
      </c>
      <c r="M758">
        <v>19.94</v>
      </c>
      <c r="N758">
        <v>11.53</v>
      </c>
    </row>
    <row r="759" spans="1:14">
      <c r="A759" s="1" t="s">
        <v>771</v>
      </c>
      <c r="B759">
        <f>HYPERLINK("https://www.suredividend.com/sure-analysis-research-database/","Cutera Inc")</f>
        <v>0</v>
      </c>
      <c r="C759" t="s">
        <v>3217</v>
      </c>
      <c r="D759">
        <v>64.47</v>
      </c>
      <c r="E759">
        <v>0</v>
      </c>
      <c r="H759">
        <v>0</v>
      </c>
      <c r="I759">
        <v>1164.345027</v>
      </c>
      <c r="J759">
        <v>564.6678111881668</v>
      </c>
      <c r="K759">
        <v>0</v>
      </c>
      <c r="L759">
        <v>1.351029881206991</v>
      </c>
      <c r="M759">
        <v>74.38</v>
      </c>
      <c r="N759">
        <v>27.27</v>
      </c>
    </row>
    <row r="760" spans="1:14">
      <c r="A760" s="1" t="s">
        <v>772</v>
      </c>
      <c r="B760">
        <f>HYPERLINK("https://www.suredividend.com/sure-analysis-CUZ/","Cousins Properties Inc.")</f>
        <v>0</v>
      </c>
      <c r="C760" t="s">
        <v>3224</v>
      </c>
      <c r="D760">
        <v>38.57</v>
      </c>
      <c r="E760">
        <v>0.03318641431164118</v>
      </c>
      <c r="F760">
        <v>0.032258064516129</v>
      </c>
      <c r="G760">
        <v>0.3976542375431587</v>
      </c>
      <c r="H760">
        <v>1.235625317397113</v>
      </c>
      <c r="I760">
        <v>5737.805611</v>
      </c>
      <c r="J760">
        <v>20.59617357229006</v>
      </c>
      <c r="K760">
        <v>0.6607622018166379</v>
      </c>
      <c r="L760">
        <v>0.7234206542256241</v>
      </c>
      <c r="M760">
        <v>42.08</v>
      </c>
      <c r="N760">
        <v>33.72</v>
      </c>
    </row>
    <row r="761" spans="1:14">
      <c r="A761" s="1" t="s">
        <v>773</v>
      </c>
      <c r="B761">
        <f>HYPERLINK("https://www.suredividend.com/sure-analysis-research-database/","Covanta Holding Corporation")</f>
        <v>0</v>
      </c>
      <c r="C761" t="s">
        <v>3220</v>
      </c>
      <c r="D761">
        <v>20.26</v>
      </c>
      <c r="E761">
        <v>0.015688775559184</v>
      </c>
      <c r="H761">
        <v>0.317854592829069</v>
      </c>
      <c r="I761">
        <v>2694.766027</v>
      </c>
      <c r="J761">
        <v>107.7906410928</v>
      </c>
      <c r="K761">
        <v>1.713501848135143</v>
      </c>
      <c r="L761">
        <v>0.654400474387084</v>
      </c>
      <c r="M761">
        <v>20.26</v>
      </c>
      <c r="N761">
        <v>12.09</v>
      </c>
    </row>
    <row r="762" spans="1:14">
      <c r="A762" s="1" t="s">
        <v>774</v>
      </c>
      <c r="B762">
        <f>HYPERLINK("https://www.suredividend.com/sure-analysis-research-database/","CVB Financial Corp.")</f>
        <v>0</v>
      </c>
      <c r="C762" t="s">
        <v>3221</v>
      </c>
      <c r="D762">
        <v>22.77</v>
      </c>
      <c r="E762">
        <v>0.031237502937507</v>
      </c>
      <c r="F762">
        <v>0</v>
      </c>
      <c r="G762">
        <v>0.05154749679728043</v>
      </c>
      <c r="H762">
        <v>0.7112779418870541</v>
      </c>
      <c r="I762">
        <v>3227.50414</v>
      </c>
      <c r="J762">
        <v>15.25638801083427</v>
      </c>
      <c r="K762">
        <v>0.4559473986455475</v>
      </c>
      <c r="L762">
        <v>0.552307945189021</v>
      </c>
      <c r="M762">
        <v>24.18</v>
      </c>
      <c r="N762">
        <v>18.26</v>
      </c>
    </row>
    <row r="763" spans="1:14">
      <c r="A763" s="1" t="s">
        <v>775</v>
      </c>
      <c r="B763">
        <f>HYPERLINK("https://www.suredividend.com/sure-analysis-research-database/","Cavco Industries Inc")</f>
        <v>0</v>
      </c>
      <c r="C763" t="s">
        <v>3223</v>
      </c>
      <c r="D763">
        <v>235.94</v>
      </c>
      <c r="E763">
        <v>0</v>
      </c>
      <c r="H763">
        <v>0</v>
      </c>
      <c r="I763">
        <v>2162.057189</v>
      </c>
      <c r="J763">
        <v>12.77079445388873</v>
      </c>
      <c r="K763">
        <v>0</v>
      </c>
      <c r="L763">
        <v>1.383675461202959</v>
      </c>
      <c r="M763">
        <v>327.24</v>
      </c>
      <c r="N763">
        <v>196.46</v>
      </c>
    </row>
    <row r="764" spans="1:14">
      <c r="A764" s="1" t="s">
        <v>776</v>
      </c>
      <c r="B764">
        <f>HYPERLINK("https://www.suredividend.com/sure-analysis-research-database/","Central Valley Community Bancorp")</f>
        <v>0</v>
      </c>
      <c r="C764" t="s">
        <v>3221</v>
      </c>
      <c r="D764">
        <v>21.53</v>
      </c>
      <c r="E764">
        <v>0.022116122787627</v>
      </c>
      <c r="F764">
        <v>0.09090909090909083</v>
      </c>
      <c r="G764">
        <v>0.1486983549970351</v>
      </c>
      <c r="H764">
        <v>0.4761601236176151</v>
      </c>
      <c r="I764">
        <v>253.413439</v>
      </c>
      <c r="J764">
        <v>0</v>
      </c>
      <c r="K764" t="s">
        <v>3219</v>
      </c>
      <c r="L764">
        <v>0.428180084443796</v>
      </c>
      <c r="M764">
        <v>23.99</v>
      </c>
      <c r="N764">
        <v>18.13</v>
      </c>
    </row>
    <row r="765" spans="1:14">
      <c r="A765" s="1" t="s">
        <v>777</v>
      </c>
      <c r="B765">
        <f>HYPERLINK("https://www.suredividend.com/sure-analysis-research-database/","Covetrus Inc")</f>
        <v>0</v>
      </c>
      <c r="C765" t="s">
        <v>3217</v>
      </c>
      <c r="D765">
        <v>15</v>
      </c>
      <c r="E765">
        <v>0</v>
      </c>
      <c r="H765">
        <v>0</v>
      </c>
      <c r="I765">
        <v>2078.02728</v>
      </c>
      <c r="J765">
        <v>0</v>
      </c>
      <c r="K765" t="s">
        <v>3219</v>
      </c>
      <c r="L765">
        <v>1.443937397109679</v>
      </c>
      <c r="M765">
        <v>31.24</v>
      </c>
      <c r="N765">
        <v>14.84</v>
      </c>
    </row>
    <row r="766" spans="1:14">
      <c r="A766" s="1" t="s">
        <v>778</v>
      </c>
      <c r="B766">
        <f>HYPERLINK("https://www.suredividend.com/sure-analysis-research-database/","Commercial Vehicle Group Inc")</f>
        <v>0</v>
      </c>
      <c r="C766" t="s">
        <v>3223</v>
      </c>
      <c r="D766">
        <v>7.55</v>
      </c>
      <c r="E766">
        <v>0</v>
      </c>
      <c r="H766">
        <v>0</v>
      </c>
      <c r="I766">
        <v>248.237583</v>
      </c>
      <c r="J766">
        <v>10.4600363433339</v>
      </c>
      <c r="K766">
        <v>0</v>
      </c>
      <c r="L766">
        <v>1.278659960167859</v>
      </c>
      <c r="M766">
        <v>13.61</v>
      </c>
      <c r="N766">
        <v>6.92</v>
      </c>
    </row>
    <row r="767" spans="1:14">
      <c r="A767" s="1" t="s">
        <v>779</v>
      </c>
      <c r="B767">
        <f>HYPERLINK("https://www.suredividend.com/sure-analysis-research-database/","Calavo Growers, Inc")</f>
        <v>0</v>
      </c>
      <c r="C767" t="s">
        <v>3225</v>
      </c>
      <c r="D767">
        <v>38.47</v>
      </c>
      <c r="E767">
        <v>0.029893422827089</v>
      </c>
      <c r="H767">
        <v>1.149999976158142</v>
      </c>
      <c r="I767">
        <v>681.5466</v>
      </c>
      <c r="J767" t="s">
        <v>3219</v>
      </c>
      <c r="K767" t="s">
        <v>3219</v>
      </c>
      <c r="L767">
        <v>0.420931783245981</v>
      </c>
      <c r="M767">
        <v>78.73999999999999</v>
      </c>
      <c r="N767">
        <v>32.34</v>
      </c>
    </row>
    <row r="768" spans="1:14">
      <c r="A768" s="1" t="s">
        <v>780</v>
      </c>
      <c r="B768">
        <f>HYPERLINK("https://www.suredividend.com/sure-analysis-research-database/","CVR Energy Inc")</f>
        <v>0</v>
      </c>
      <c r="C768" t="s">
        <v>3226</v>
      </c>
      <c r="D768">
        <v>26.51</v>
      </c>
      <c r="E768">
        <v>0</v>
      </c>
      <c r="H768">
        <v>0</v>
      </c>
      <c r="I768">
        <v>2665.066179</v>
      </c>
      <c r="J768">
        <v>106.6026471796</v>
      </c>
      <c r="K768">
        <v>0</v>
      </c>
      <c r="L768">
        <v>0.7951640231019491</v>
      </c>
      <c r="M768">
        <v>26.99</v>
      </c>
      <c r="N768">
        <v>11.22</v>
      </c>
    </row>
    <row r="769" spans="1:14">
      <c r="A769" s="1" t="s">
        <v>781</v>
      </c>
      <c r="B769">
        <f>HYPERLINK("https://www.suredividend.com/sure-analysis-research-database/","Commvault Systems Inc")</f>
        <v>0</v>
      </c>
      <c r="C769" t="s">
        <v>3222</v>
      </c>
      <c r="D769">
        <v>64.06</v>
      </c>
      <c r="E769">
        <v>0</v>
      </c>
      <c r="H769">
        <v>0</v>
      </c>
      <c r="I769">
        <v>2854.487592</v>
      </c>
      <c r="J769">
        <v>89.49078570523874</v>
      </c>
      <c r="K769">
        <v>0</v>
      </c>
      <c r="L769">
        <v>1.092222375103119</v>
      </c>
      <c r="M769">
        <v>84.22</v>
      </c>
      <c r="N769">
        <v>59.01</v>
      </c>
    </row>
    <row r="770" spans="1:14">
      <c r="A770" s="1" t="s">
        <v>782</v>
      </c>
      <c r="B770">
        <f>HYPERLINK("https://www.suredividend.com/sure-analysis-research-database/","Codorus Valley Bancorp, Inc.")</f>
        <v>0</v>
      </c>
      <c r="C770" t="s">
        <v>3221</v>
      </c>
      <c r="D770">
        <v>23.735</v>
      </c>
      <c r="E770">
        <v>0.021734881560921</v>
      </c>
      <c r="F770">
        <v>0.3636363636363635</v>
      </c>
      <c r="G770">
        <v>-0.00653650804430439</v>
      </c>
      <c r="H770">
        <v>0.5158774138484791</v>
      </c>
      <c r="I770">
        <v>22.614827</v>
      </c>
      <c r="J770">
        <v>0</v>
      </c>
      <c r="K770" t="s">
        <v>3219</v>
      </c>
      <c r="M770">
        <v>24</v>
      </c>
      <c r="N770">
        <v>17</v>
      </c>
    </row>
    <row r="771" spans="1:14">
      <c r="A771" s="1" t="s">
        <v>783</v>
      </c>
      <c r="B771">
        <f>HYPERLINK("https://www.suredividend.com/sure-analysis-research-database/","Cel-Sci Corp.")</f>
        <v>0</v>
      </c>
      <c r="C771" t="s">
        <v>3217</v>
      </c>
      <c r="D771">
        <v>3.3</v>
      </c>
      <c r="E771">
        <v>0</v>
      </c>
      <c r="H771">
        <v>0</v>
      </c>
      <c r="I771">
        <v>142.809935</v>
      </c>
      <c r="J771" t="s">
        <v>3219</v>
      </c>
      <c r="K771">
        <v>-0</v>
      </c>
      <c r="L771">
        <v>2.04682652127963</v>
      </c>
      <c r="M771">
        <v>27.86</v>
      </c>
      <c r="N771">
        <v>3.15</v>
      </c>
    </row>
    <row r="772" spans="1:14">
      <c r="A772" s="1" t="s">
        <v>784</v>
      </c>
      <c r="B772">
        <f>HYPERLINK("https://www.suredividend.com/sure-analysis-research-database/","Carvana Co.")</f>
        <v>0</v>
      </c>
      <c r="C772" t="s">
        <v>3223</v>
      </c>
      <c r="D772">
        <v>101.53</v>
      </c>
      <c r="E772">
        <v>0</v>
      </c>
      <c r="H772">
        <v>0</v>
      </c>
      <c r="I772">
        <v>4751.604</v>
      </c>
      <c r="J772" t="s">
        <v>3219</v>
      </c>
      <c r="K772">
        <v>-0</v>
      </c>
      <c r="L772">
        <v>2.390254420801158</v>
      </c>
      <c r="M772">
        <v>376.83</v>
      </c>
      <c r="N772">
        <v>97.05</v>
      </c>
    </row>
    <row r="773" spans="1:14">
      <c r="A773" s="1" t="s">
        <v>785</v>
      </c>
      <c r="B773">
        <f>HYPERLINK("https://www.suredividend.com/sure-analysis-research-database/","Chicago Rivet &amp; Machine Co.")</f>
        <v>0</v>
      </c>
      <c r="C773" t="s">
        <v>3220</v>
      </c>
      <c r="D773">
        <v>26.3282</v>
      </c>
      <c r="E773">
        <v>0.024795952692861</v>
      </c>
      <c r="F773">
        <v>0</v>
      </c>
      <c r="G773">
        <v>0.01924487649145656</v>
      </c>
      <c r="H773">
        <v>0.652832801688185</v>
      </c>
      <c r="I773">
        <v>25.436517</v>
      </c>
      <c r="J773">
        <v>0</v>
      </c>
      <c r="K773" t="s">
        <v>3219</v>
      </c>
      <c r="M773">
        <v>32.34</v>
      </c>
      <c r="N773">
        <v>24.2</v>
      </c>
    </row>
    <row r="774" spans="1:14">
      <c r="A774" s="1" t="s">
        <v>786</v>
      </c>
      <c r="B774">
        <f>HYPERLINK("https://www.suredividend.com/sure-analysis-CVS/","CVS Health Corp")</f>
        <v>0</v>
      </c>
      <c r="C774" t="s">
        <v>3217</v>
      </c>
      <c r="D774">
        <v>103.68</v>
      </c>
      <c r="E774">
        <v>0.02121913580246914</v>
      </c>
      <c r="F774">
        <v>0.1000000000000001</v>
      </c>
      <c r="G774">
        <v>0.01924487649145656</v>
      </c>
      <c r="H774">
        <v>2.033302288550802</v>
      </c>
      <c r="I774">
        <v>136151.921157</v>
      </c>
      <c r="J774">
        <v>17.21263225753729</v>
      </c>
      <c r="K774">
        <v>0.3417314770673616</v>
      </c>
      <c r="L774">
        <v>0.418704500310124</v>
      </c>
      <c r="M774">
        <v>111.25</v>
      </c>
      <c r="N774">
        <v>73.58</v>
      </c>
    </row>
    <row r="775" spans="1:14">
      <c r="A775" s="1" t="s">
        <v>787</v>
      </c>
      <c r="B775">
        <f>HYPERLINK("https://www.suredividend.com/sure-analysis-research-database/","CPI Aerostructures Inc")</f>
        <v>0</v>
      </c>
      <c r="C775" t="s">
        <v>3220</v>
      </c>
      <c r="D775">
        <v>2.43</v>
      </c>
      <c r="E775">
        <v>0</v>
      </c>
      <c r="H775">
        <v>0</v>
      </c>
      <c r="I775">
        <v>30.001312</v>
      </c>
      <c r="J775">
        <v>0</v>
      </c>
      <c r="K775" t="s">
        <v>3219</v>
      </c>
      <c r="L775">
        <v>0.500706871634235</v>
      </c>
      <c r="M775">
        <v>4.62</v>
      </c>
      <c r="N775">
        <v>2.16</v>
      </c>
    </row>
    <row r="776" spans="1:14">
      <c r="A776" s="1" t="s">
        <v>788</v>
      </c>
      <c r="B776">
        <f>HYPERLINK("https://www.suredividend.com/sure-analysis-research-database/","CVD Equipment Corp.")</f>
        <v>0</v>
      </c>
      <c r="C776" t="s">
        <v>3220</v>
      </c>
      <c r="D776">
        <v>5.04</v>
      </c>
      <c r="E776">
        <v>0</v>
      </c>
      <c r="H776">
        <v>0</v>
      </c>
      <c r="I776">
        <v>33.886128</v>
      </c>
      <c r="J776">
        <v>0</v>
      </c>
      <c r="K776" t="s">
        <v>3219</v>
      </c>
      <c r="L776">
        <v>0.7767052971814871</v>
      </c>
      <c r="M776">
        <v>6.37</v>
      </c>
      <c r="N776">
        <v>3.83</v>
      </c>
    </row>
    <row r="777" spans="1:14">
      <c r="A777" s="1" t="s">
        <v>789</v>
      </c>
      <c r="B777">
        <f>HYPERLINK("https://www.suredividend.com/sure-analysis-CVX/","Chevron Corp.")</f>
        <v>0</v>
      </c>
      <c r="C777" t="s">
        <v>3226</v>
      </c>
      <c r="D777">
        <v>171.59</v>
      </c>
      <c r="E777">
        <v>0.03310216213066029</v>
      </c>
      <c r="F777">
        <v>0.1007751937984496</v>
      </c>
      <c r="G777">
        <v>0.0562650689989983</v>
      </c>
      <c r="H777">
        <v>5.350491070248687</v>
      </c>
      <c r="I777">
        <v>337134.775684</v>
      </c>
      <c r="J777">
        <v>21.57662564374592</v>
      </c>
      <c r="K777">
        <v>0.6573084852885364</v>
      </c>
      <c r="L777">
        <v>0.363485121637159</v>
      </c>
      <c r="M777">
        <v>174.76</v>
      </c>
      <c r="N777">
        <v>90.84999999999999</v>
      </c>
    </row>
    <row r="778" spans="1:14">
      <c r="A778" s="1" t="s">
        <v>790</v>
      </c>
      <c r="B778">
        <f>HYPERLINK("https://www.suredividend.com/sure-analysis-research-database/","Curtiss-Wright Corp.")</f>
        <v>0</v>
      </c>
      <c r="C778" t="s">
        <v>3220</v>
      </c>
      <c r="D778">
        <v>151.32</v>
      </c>
      <c r="E778">
        <v>0.00474900554559</v>
      </c>
      <c r="H778">
        <v>0.718619519158718</v>
      </c>
      <c r="I778">
        <v>5815.557024</v>
      </c>
      <c r="J778">
        <v>21.76814939283348</v>
      </c>
      <c r="K778">
        <v>0.1092126928812641</v>
      </c>
      <c r="L778">
        <v>0.8378054229982</v>
      </c>
      <c r="M778">
        <v>162.79</v>
      </c>
      <c r="N778">
        <v>110.82</v>
      </c>
    </row>
    <row r="779" spans="1:14">
      <c r="A779" s="1" t="s">
        <v>791</v>
      </c>
      <c r="B779">
        <f>HYPERLINK("https://www.suredividend.com/sure-analysis-research-database/","Community West Bancshares")</f>
        <v>0</v>
      </c>
      <c r="C779" t="s">
        <v>3221</v>
      </c>
      <c r="D779">
        <v>13.8</v>
      </c>
      <c r="E779">
        <v>0.02013324871669</v>
      </c>
      <c r="F779">
        <v>0.1666666666666667</v>
      </c>
      <c r="G779">
        <v>0.1184269147201447</v>
      </c>
      <c r="H779">
        <v>0.277838832290325</v>
      </c>
      <c r="I779">
        <v>119.816609</v>
      </c>
      <c r="J779">
        <v>0</v>
      </c>
      <c r="K779" t="s">
        <v>3219</v>
      </c>
      <c r="M779">
        <v>16.55</v>
      </c>
      <c r="N779">
        <v>11.28</v>
      </c>
    </row>
    <row r="780" spans="1:14">
      <c r="A780" s="1" t="s">
        <v>792</v>
      </c>
      <c r="B780">
        <f>HYPERLINK("https://www.suredividend.com/sure-analysis-research-database/","CohBar Inc")</f>
        <v>0</v>
      </c>
      <c r="C780" t="s">
        <v>3217</v>
      </c>
      <c r="D780">
        <v>0.265</v>
      </c>
      <c r="E780">
        <v>0</v>
      </c>
      <c r="H780">
        <v>0</v>
      </c>
      <c r="I780">
        <v>23.050146</v>
      </c>
      <c r="J780">
        <v>0</v>
      </c>
      <c r="K780" t="s">
        <v>3219</v>
      </c>
      <c r="L780">
        <v>1.529154679415536</v>
      </c>
      <c r="M780">
        <v>2.27</v>
      </c>
      <c r="N780">
        <v>0.2351</v>
      </c>
    </row>
    <row r="781" spans="1:14">
      <c r="A781" s="1" t="s">
        <v>793</v>
      </c>
      <c r="B781">
        <f>HYPERLINK("https://www.suredividend.com/sure-analysis-CWEN/","Clearway Energy Inc")</f>
        <v>0</v>
      </c>
      <c r="C781" t="s">
        <v>3227</v>
      </c>
      <c r="D781">
        <v>34.24</v>
      </c>
      <c r="E781">
        <v>0.0397196261682243</v>
      </c>
      <c r="F781">
        <v>0.07037037037037042</v>
      </c>
      <c r="G781">
        <v>0.05133970160334123</v>
      </c>
      <c r="H781">
        <v>1.330479000746259</v>
      </c>
      <c r="I781">
        <v>3893.806426</v>
      </c>
      <c r="J781">
        <v>76.34914560941178</v>
      </c>
      <c r="K781">
        <v>3.052257400197887</v>
      </c>
      <c r="L781">
        <v>0.685442479645179</v>
      </c>
      <c r="M781">
        <v>38.98</v>
      </c>
      <c r="N781">
        <v>23.9</v>
      </c>
    </row>
    <row r="782" spans="1:14">
      <c r="A782" s="1" t="s">
        <v>794</v>
      </c>
      <c r="B782">
        <f>HYPERLINK("https://www.suredividend.com/sure-analysis-research-database/","Camping World Holdings Inc")</f>
        <v>0</v>
      </c>
      <c r="C782" t="s">
        <v>3223</v>
      </c>
      <c r="D782">
        <v>26.81</v>
      </c>
      <c r="E782">
        <v>0.068535590972624</v>
      </c>
      <c r="F782">
        <v>5.944444444444445</v>
      </c>
      <c r="G782">
        <v>0.5355847386831107</v>
      </c>
      <c r="H782">
        <v>1.837439193976055</v>
      </c>
      <c r="I782">
        <v>1185.372675</v>
      </c>
      <c r="J782">
        <v>4.25687142924862</v>
      </c>
      <c r="K782">
        <v>0.5927223206374371</v>
      </c>
      <c r="L782">
        <v>1.247047380438353</v>
      </c>
      <c r="M782">
        <v>46.03</v>
      </c>
      <c r="N782">
        <v>26.22</v>
      </c>
    </row>
    <row r="783" spans="1:14">
      <c r="A783" s="1" t="s">
        <v>795</v>
      </c>
      <c r="B783">
        <f>HYPERLINK("https://www.suredividend.com/sure-analysis-research-database/","Casella Waste Systems, Inc.")</f>
        <v>0</v>
      </c>
      <c r="C783" t="s">
        <v>3220</v>
      </c>
      <c r="D783">
        <v>87.91</v>
      </c>
      <c r="E783">
        <v>0</v>
      </c>
      <c r="H783">
        <v>0</v>
      </c>
      <c r="I783">
        <v>4432.706325</v>
      </c>
      <c r="J783">
        <v>107.8517354043796</v>
      </c>
      <c r="K783">
        <v>0</v>
      </c>
      <c r="L783">
        <v>0.693148478926882</v>
      </c>
      <c r="M783">
        <v>92.75</v>
      </c>
      <c r="N783">
        <v>62.47</v>
      </c>
    </row>
    <row r="784" spans="1:14">
      <c r="A784" s="1" t="s">
        <v>796</v>
      </c>
      <c r="B784">
        <f>HYPERLINK("https://www.suredividend.com/sure-analysis-CWT/","California Water Service Group")</f>
        <v>0</v>
      </c>
      <c r="C784" t="s">
        <v>3227</v>
      </c>
      <c r="D784">
        <v>55.72</v>
      </c>
      <c r="E784">
        <v>0.01794687724335966</v>
      </c>
      <c r="F784">
        <v>0.08695652173913038</v>
      </c>
      <c r="G784">
        <v>0.06790716584560208</v>
      </c>
      <c r="H784">
        <v>0.934668077820162</v>
      </c>
      <c r="I784">
        <v>2996.001492</v>
      </c>
      <c r="J784">
        <v>29.62671438437577</v>
      </c>
      <c r="K784">
        <v>0.4768714682755929</v>
      </c>
      <c r="L784">
        <v>0.4130570123886581</v>
      </c>
      <c r="M784">
        <v>71.78</v>
      </c>
      <c r="N784">
        <v>50.45</v>
      </c>
    </row>
    <row r="785" spans="1:14">
      <c r="A785" s="1" t="s">
        <v>797</v>
      </c>
      <c r="B785">
        <f>HYPERLINK("https://www.suredividend.com/sure-analysis-research-database/","Concho Resources Inc")</f>
        <v>0</v>
      </c>
      <c r="C785" t="s">
        <v>3226</v>
      </c>
      <c r="D785">
        <v>65.59999999999999</v>
      </c>
      <c r="E785">
        <v>0.01212016019638</v>
      </c>
      <c r="H785">
        <v>0.795082508882577</v>
      </c>
      <c r="I785">
        <v>12877.584384</v>
      </c>
      <c r="J785" t="s">
        <v>3219</v>
      </c>
      <c r="K785" t="s">
        <v>3219</v>
      </c>
      <c r="L785">
        <v>1.354776460504515</v>
      </c>
      <c r="M785">
        <v>86.81</v>
      </c>
      <c r="N785">
        <v>35.58</v>
      </c>
    </row>
    <row r="786" spans="1:14">
      <c r="A786" s="1" t="s">
        <v>798</v>
      </c>
      <c r="B786">
        <f>HYPERLINK("https://www.suredividend.com/sure-analysis-research-database/","Columbia Property Trust Inc")</f>
        <v>0</v>
      </c>
      <c r="C786" t="s">
        <v>3224</v>
      </c>
      <c r="D786">
        <v>19.28</v>
      </c>
      <c r="E786">
        <v>0.032276797496104</v>
      </c>
      <c r="F786">
        <v>9.333333333333334</v>
      </c>
      <c r="G786">
        <v>0.6109644163067485</v>
      </c>
      <c r="H786">
        <v>0.622296655724888</v>
      </c>
      <c r="I786">
        <v>2215.348812</v>
      </c>
      <c r="J786">
        <v>26.55815874267218</v>
      </c>
      <c r="K786">
        <v>0.8878536962831901</v>
      </c>
      <c r="L786">
        <v>0.424861045759279</v>
      </c>
      <c r="M786">
        <v>19.29</v>
      </c>
      <c r="N786">
        <v>12.71</v>
      </c>
    </row>
    <row r="787" spans="1:14">
      <c r="A787" s="1" t="s">
        <v>799</v>
      </c>
      <c r="B787">
        <f>HYPERLINK("https://www.suredividend.com/sure-analysis-research-database/","CoreCivic Inc")</f>
        <v>0</v>
      </c>
      <c r="C787" t="s">
        <v>3224</v>
      </c>
      <c r="D787">
        <v>13.45</v>
      </c>
      <c r="E787">
        <v>0</v>
      </c>
      <c r="H787">
        <v>0</v>
      </c>
      <c r="I787">
        <v>1632.420501</v>
      </c>
      <c r="J787" t="s">
        <v>3219</v>
      </c>
      <c r="K787">
        <v>-0</v>
      </c>
      <c r="L787">
        <v>0.555015666568721</v>
      </c>
      <c r="M787">
        <v>13.74</v>
      </c>
      <c r="N787">
        <v>7.37</v>
      </c>
    </row>
    <row r="788" spans="1:14">
      <c r="A788" s="1" t="s">
        <v>800</v>
      </c>
      <c r="B788">
        <f>HYPERLINK("https://www.suredividend.com/sure-analysis-research-database/","Cyanotech Corp.")</f>
        <v>0</v>
      </c>
      <c r="C788" t="s">
        <v>3225</v>
      </c>
      <c r="D788">
        <v>3.1</v>
      </c>
      <c r="E788">
        <v>0</v>
      </c>
      <c r="H788">
        <v>0</v>
      </c>
      <c r="I788">
        <v>19.201915</v>
      </c>
      <c r="J788">
        <v>0</v>
      </c>
      <c r="K788" t="s">
        <v>3219</v>
      </c>
      <c r="L788">
        <v>0.446321292843073</v>
      </c>
      <c r="M788">
        <v>3.95</v>
      </c>
      <c r="N788">
        <v>2.56</v>
      </c>
    </row>
    <row r="789" spans="1:14">
      <c r="A789" s="1" t="s">
        <v>801</v>
      </c>
      <c r="B789">
        <f>HYPERLINK("https://www.suredividend.com/sure-analysis-research-database/","Cyberoptics Corp.")</f>
        <v>0</v>
      </c>
      <c r="C789" t="s">
        <v>3222</v>
      </c>
      <c r="D789">
        <v>40.32</v>
      </c>
      <c r="E789">
        <v>0</v>
      </c>
      <c r="H789">
        <v>0</v>
      </c>
      <c r="I789">
        <v>298.476179</v>
      </c>
      <c r="J789">
        <v>23.40806043133872</v>
      </c>
      <c r="K789">
        <v>0</v>
      </c>
      <c r="L789">
        <v>1.363610385176361</v>
      </c>
      <c r="M789">
        <v>49.95</v>
      </c>
      <c r="N789">
        <v>25.62</v>
      </c>
    </row>
    <row r="790" spans="1:14">
      <c r="A790" s="1" t="s">
        <v>802</v>
      </c>
      <c r="B790">
        <f>HYPERLINK("https://www.suredividend.com/sure-analysis-research-database/","Cyclacel Pharmaceuticals Inc")</f>
        <v>0</v>
      </c>
      <c r="C790" t="s">
        <v>3217</v>
      </c>
      <c r="D790">
        <v>2.05</v>
      </c>
      <c r="E790">
        <v>0</v>
      </c>
      <c r="H790">
        <v>0</v>
      </c>
      <c r="I790">
        <v>20.485927</v>
      </c>
      <c r="J790">
        <v>0</v>
      </c>
      <c r="K790" t="s">
        <v>3219</v>
      </c>
      <c r="L790">
        <v>1.244163163850362</v>
      </c>
      <c r="M790">
        <v>7.95</v>
      </c>
      <c r="N790">
        <v>1.96</v>
      </c>
    </row>
    <row r="791" spans="1:14">
      <c r="A791" s="1" t="s">
        <v>803</v>
      </c>
      <c r="B791">
        <f>HYPERLINK("https://www.suredividend.com/sure-analysis-research-database/","Cyclerion Therapeutics Inc")</f>
        <v>0</v>
      </c>
      <c r="C791" t="s">
        <v>3217</v>
      </c>
      <c r="D791">
        <v>1</v>
      </c>
      <c r="E791">
        <v>0</v>
      </c>
      <c r="H791">
        <v>0</v>
      </c>
      <c r="I791">
        <v>43.410185</v>
      </c>
      <c r="J791">
        <v>0</v>
      </c>
      <c r="K791" t="s">
        <v>3219</v>
      </c>
      <c r="L791">
        <v>1.636457877499923</v>
      </c>
      <c r="M791">
        <v>4.86</v>
      </c>
      <c r="N791">
        <v>0.9</v>
      </c>
    </row>
    <row r="792" spans="1:14">
      <c r="A792" s="1" t="s">
        <v>804</v>
      </c>
      <c r="B792">
        <f>HYPERLINK("https://www.suredividend.com/sure-analysis-research-database/","Community Health Systems, Inc.")</f>
        <v>0</v>
      </c>
      <c r="C792" t="s">
        <v>3217</v>
      </c>
      <c r="D792">
        <v>11.46</v>
      </c>
      <c r="E792">
        <v>0</v>
      </c>
      <c r="H792">
        <v>0</v>
      </c>
      <c r="I792">
        <v>1543.359307</v>
      </c>
      <c r="J792">
        <v>6.710257856608696</v>
      </c>
      <c r="K792">
        <v>0</v>
      </c>
      <c r="L792">
        <v>1.7008480945904</v>
      </c>
      <c r="M792">
        <v>17.04</v>
      </c>
      <c r="N792">
        <v>9.220000000000001</v>
      </c>
    </row>
    <row r="793" spans="1:14">
      <c r="A793" s="1" t="s">
        <v>805</v>
      </c>
      <c r="B793">
        <f>HYPERLINK("https://www.suredividend.com/sure-analysis-research-database/","CryoPort Inc")</f>
        <v>0</v>
      </c>
      <c r="C793" t="s">
        <v>3220</v>
      </c>
      <c r="D793">
        <v>29.68</v>
      </c>
      <c r="E793">
        <v>0</v>
      </c>
      <c r="H793">
        <v>0</v>
      </c>
      <c r="I793">
        <v>1474.978378</v>
      </c>
      <c r="J793">
        <v>0</v>
      </c>
      <c r="K793" t="s">
        <v>3219</v>
      </c>
      <c r="L793">
        <v>2.07307653117534</v>
      </c>
      <c r="M793">
        <v>86.3</v>
      </c>
      <c r="N793">
        <v>26.69</v>
      </c>
    </row>
    <row r="794" spans="1:14">
      <c r="A794" s="1" t="s">
        <v>806</v>
      </c>
      <c r="B794">
        <f>HYPERLINK("https://www.suredividend.com/sure-analysis-research-database/","Cytokinetics Inc")</f>
        <v>0</v>
      </c>
      <c r="C794" t="s">
        <v>3217</v>
      </c>
      <c r="D794">
        <v>39.56</v>
      </c>
      <c r="E794">
        <v>0</v>
      </c>
      <c r="H794">
        <v>0</v>
      </c>
      <c r="I794">
        <v>3382.535906</v>
      </c>
      <c r="J794" t="s">
        <v>3219</v>
      </c>
      <c r="K794">
        <v>-0</v>
      </c>
      <c r="L794">
        <v>1.085269744603131</v>
      </c>
      <c r="M794">
        <v>47.9</v>
      </c>
      <c r="N794">
        <v>17.72</v>
      </c>
    </row>
    <row r="795" spans="1:14">
      <c r="A795" s="1" t="s">
        <v>807</v>
      </c>
      <c r="B795">
        <f>HYPERLINK("https://www.suredividend.com/sure-analysis-research-database/","CytRx Corporation")</f>
        <v>0</v>
      </c>
      <c r="C795" t="s">
        <v>3217</v>
      </c>
      <c r="D795">
        <v>0.18</v>
      </c>
      <c r="E795">
        <v>0</v>
      </c>
      <c r="H795">
        <v>0</v>
      </c>
      <c r="I795">
        <v>7.826987</v>
      </c>
      <c r="J795">
        <v>0</v>
      </c>
      <c r="K795" t="s">
        <v>3219</v>
      </c>
      <c r="M795">
        <v>4.7</v>
      </c>
      <c r="N795">
        <v>0.1742</v>
      </c>
    </row>
    <row r="796" spans="1:14">
      <c r="A796" s="1" t="s">
        <v>808</v>
      </c>
      <c r="B796">
        <f>HYPERLINK("https://www.suredividend.com/sure-analysis-research-database/","Citizens &amp; Northern Corp")</f>
        <v>0</v>
      </c>
      <c r="C796" t="s">
        <v>3221</v>
      </c>
      <c r="D796">
        <v>24.46</v>
      </c>
      <c r="E796">
        <v>0.045037922036669</v>
      </c>
      <c r="F796">
        <v>0.03703703703703698</v>
      </c>
      <c r="G796">
        <v>0.01493197894539389</v>
      </c>
      <c r="H796">
        <v>1.101627573016932</v>
      </c>
      <c r="I796">
        <v>387.083291</v>
      </c>
      <c r="J796">
        <v>12.76954743179494</v>
      </c>
      <c r="K796">
        <v>0.5737643609463188</v>
      </c>
      <c r="L796">
        <v>0.634359024223583</v>
      </c>
      <c r="M796">
        <v>27.68</v>
      </c>
      <c r="N796">
        <v>22</v>
      </c>
    </row>
    <row r="797" spans="1:14">
      <c r="A797" s="1" t="s">
        <v>809</v>
      </c>
      <c r="B797">
        <f>HYPERLINK("https://www.suredividend.com/sure-analysis-research-database/","Caesars Entertainment Inc")</f>
        <v>0</v>
      </c>
      <c r="C797" t="s">
        <v>3223</v>
      </c>
      <c r="D797">
        <v>68.88</v>
      </c>
      <c r="E797">
        <v>0</v>
      </c>
      <c r="H797">
        <v>0</v>
      </c>
      <c r="I797">
        <v>14748.823305</v>
      </c>
      <c r="J797" t="s">
        <v>3219</v>
      </c>
      <c r="K797">
        <v>-0</v>
      </c>
      <c r="L797">
        <v>1.967807775282891</v>
      </c>
      <c r="M797">
        <v>119.81</v>
      </c>
      <c r="N797">
        <v>66.81</v>
      </c>
    </row>
    <row r="798" spans="1:14">
      <c r="A798" s="1" t="s">
        <v>810</v>
      </c>
      <c r="B798">
        <f>HYPERLINK("https://www.suredividend.com/sure-analysis-research-database/","Citizens Community Bancorp Inc MD")</f>
        <v>0</v>
      </c>
      <c r="C798" t="s">
        <v>3221</v>
      </c>
      <c r="D798">
        <v>14</v>
      </c>
      <c r="E798">
        <v>0.018571427890232</v>
      </c>
      <c r="H798">
        <v>0.259999990463256</v>
      </c>
      <c r="I798">
        <v>147.511616</v>
      </c>
      <c r="J798">
        <v>0</v>
      </c>
      <c r="K798" t="s">
        <v>3219</v>
      </c>
      <c r="L798">
        <v>0.332270155149241</v>
      </c>
      <c r="M798">
        <v>16.35</v>
      </c>
      <c r="N798">
        <v>12.16</v>
      </c>
    </row>
    <row r="799" spans="1:14">
      <c r="A799" s="1" t="s">
        <v>811</v>
      </c>
      <c r="B799">
        <f>HYPERLINK("https://www.suredividend.com/sure-analysis-D/","Dominion Energy Inc")</f>
        <v>0</v>
      </c>
      <c r="C799" t="s">
        <v>3227</v>
      </c>
      <c r="D799">
        <v>87.40000000000001</v>
      </c>
      <c r="E799">
        <v>0.03054919908466819</v>
      </c>
      <c r="F799">
        <v>0.05952380952380953</v>
      </c>
      <c r="G799">
        <v>-0.02433469032526314</v>
      </c>
      <c r="H799">
        <v>2.525711944937697</v>
      </c>
      <c r="I799">
        <v>70852.89894699999</v>
      </c>
      <c r="J799">
        <v>27.47301238751454</v>
      </c>
      <c r="K799">
        <v>0.7917592303879929</v>
      </c>
      <c r="L799">
        <v>0.235981130435648</v>
      </c>
      <c r="M799">
        <v>88.78</v>
      </c>
      <c r="N799">
        <v>69.61</v>
      </c>
    </row>
    <row r="800" spans="1:14">
      <c r="A800" s="1" t="s">
        <v>812</v>
      </c>
      <c r="B800">
        <f>HYPERLINK("https://www.suredividend.com/sure-analysis-research-database/","Data io Corp.")</f>
        <v>0</v>
      </c>
      <c r="C800" t="s">
        <v>3222</v>
      </c>
      <c r="D800">
        <v>3.5799</v>
      </c>
      <c r="E800">
        <v>0</v>
      </c>
      <c r="H800">
        <v>0</v>
      </c>
      <c r="I800">
        <v>30.867219</v>
      </c>
      <c r="J800">
        <v>0</v>
      </c>
      <c r="K800" t="s">
        <v>3219</v>
      </c>
      <c r="L800">
        <v>0.7529089584375741</v>
      </c>
      <c r="M800">
        <v>7.52</v>
      </c>
      <c r="N800">
        <v>3.5</v>
      </c>
    </row>
    <row r="801" spans="1:14">
      <c r="A801" s="1" t="s">
        <v>813</v>
      </c>
      <c r="B801">
        <f>HYPERLINK("https://www.suredividend.com/sure-analysis-research-database/","Daktronics Inc.")</f>
        <v>0</v>
      </c>
      <c r="C801" t="s">
        <v>3222</v>
      </c>
      <c r="D801">
        <v>3.65</v>
      </c>
      <c r="E801">
        <v>0</v>
      </c>
      <c r="H801">
        <v>0</v>
      </c>
      <c r="I801">
        <v>165.952203</v>
      </c>
      <c r="J801">
        <v>84.41109005595116</v>
      </c>
      <c r="K801">
        <v>0</v>
      </c>
      <c r="L801">
        <v>0.7773253651475951</v>
      </c>
      <c r="M801">
        <v>7.23</v>
      </c>
      <c r="N801">
        <v>3.63</v>
      </c>
    </row>
    <row r="802" spans="1:14">
      <c r="A802" s="1" t="s">
        <v>814</v>
      </c>
      <c r="B802">
        <f>HYPERLINK("https://www.suredividend.com/sure-analysis-research-database/","Delta Air Lines, Inc.")</f>
        <v>0</v>
      </c>
      <c r="C802" t="s">
        <v>3220</v>
      </c>
      <c r="D802">
        <v>42.36</v>
      </c>
      <c r="E802">
        <v>0</v>
      </c>
      <c r="H802">
        <v>0</v>
      </c>
      <c r="I802">
        <v>27155.998973</v>
      </c>
      <c r="J802">
        <v>52.52611019860735</v>
      </c>
      <c r="K802">
        <v>0</v>
      </c>
      <c r="L802">
        <v>1.494153572052185</v>
      </c>
      <c r="M802">
        <v>48.54</v>
      </c>
      <c r="N802">
        <v>29.75</v>
      </c>
    </row>
    <row r="803" spans="1:14">
      <c r="A803" s="1" t="s">
        <v>815</v>
      </c>
      <c r="B803">
        <f>HYPERLINK("https://www.suredividend.com/sure-analysis-research-database/","Dana Inc")</f>
        <v>0</v>
      </c>
      <c r="C803" t="s">
        <v>3223</v>
      </c>
      <c r="D803">
        <v>15.59</v>
      </c>
      <c r="E803">
        <v>0.025471783609643</v>
      </c>
      <c r="H803">
        <v>0.3971051064743361</v>
      </c>
      <c r="I803">
        <v>2257.692774</v>
      </c>
      <c r="J803">
        <v>11.46036941081218</v>
      </c>
      <c r="K803">
        <v>0.2941519307217304</v>
      </c>
      <c r="L803">
        <v>1.744724388881951</v>
      </c>
      <c r="M803">
        <v>27.94</v>
      </c>
      <c r="N803">
        <v>14.44</v>
      </c>
    </row>
    <row r="804" spans="1:14">
      <c r="A804" s="1" t="s">
        <v>816</v>
      </c>
      <c r="B804">
        <f>HYPERLINK("https://www.suredividend.com/sure-analysis-research-database/","Darling Ingredients Inc")</f>
        <v>0</v>
      </c>
      <c r="C804" t="s">
        <v>3225</v>
      </c>
      <c r="D804">
        <v>80.37</v>
      </c>
      <c r="E804">
        <v>0</v>
      </c>
      <c r="H804">
        <v>0</v>
      </c>
      <c r="I804">
        <v>12985.794725</v>
      </c>
      <c r="J804">
        <v>19.95009283120351</v>
      </c>
      <c r="K804">
        <v>0</v>
      </c>
      <c r="L804">
        <v>1.113250109733648</v>
      </c>
      <c r="M804">
        <v>85.98</v>
      </c>
      <c r="N804">
        <v>58.7</v>
      </c>
    </row>
    <row r="805" spans="1:14">
      <c r="A805" s="1" t="s">
        <v>817</v>
      </c>
      <c r="B805">
        <f>HYPERLINK("https://www.suredividend.com/sure-analysis-research-database/","Dare Bioscience Inc")</f>
        <v>0</v>
      </c>
      <c r="C805" t="s">
        <v>3217</v>
      </c>
      <c r="D805">
        <v>1.37</v>
      </c>
      <c r="E805">
        <v>0</v>
      </c>
      <c r="H805">
        <v>0</v>
      </c>
      <c r="I805">
        <v>115.003443</v>
      </c>
      <c r="J805">
        <v>0</v>
      </c>
      <c r="K805" t="s">
        <v>3219</v>
      </c>
      <c r="L805">
        <v>1.09976646993842</v>
      </c>
      <c r="M805">
        <v>2.51</v>
      </c>
      <c r="N805">
        <v>1.2</v>
      </c>
    </row>
    <row r="806" spans="1:14">
      <c r="A806" s="1" t="s">
        <v>818</v>
      </c>
      <c r="B806">
        <f>HYPERLINK("https://www.suredividend.com/sure-analysis-research-database/","Dave Inc")</f>
        <v>0</v>
      </c>
      <c r="C806" t="s">
        <v>3219</v>
      </c>
      <c r="D806">
        <v>5.11</v>
      </c>
      <c r="E806">
        <v>0</v>
      </c>
      <c r="H806">
        <v>0</v>
      </c>
      <c r="I806">
        <v>1653.33979</v>
      </c>
      <c r="J806">
        <v>0</v>
      </c>
      <c r="K806" t="s">
        <v>3219</v>
      </c>
      <c r="M806">
        <v>15.35</v>
      </c>
      <c r="N806">
        <v>3.95</v>
      </c>
    </row>
    <row r="807" spans="1:14">
      <c r="A807" s="1" t="s">
        <v>819</v>
      </c>
      <c r="B807">
        <f>HYPERLINK("https://www.suredividend.com/sure-analysis-research-database/","Diebold Nixdorf Inc")</f>
        <v>0</v>
      </c>
      <c r="C807" t="s">
        <v>3222</v>
      </c>
      <c r="D807">
        <v>5.44</v>
      </c>
      <c r="E807">
        <v>0</v>
      </c>
      <c r="H807">
        <v>0</v>
      </c>
      <c r="I807">
        <v>429.365241</v>
      </c>
      <c r="J807" t="s">
        <v>3219</v>
      </c>
      <c r="K807">
        <v>-0</v>
      </c>
      <c r="L807">
        <v>1.398760700917935</v>
      </c>
      <c r="M807">
        <v>15.64</v>
      </c>
      <c r="N807">
        <v>5.11</v>
      </c>
    </row>
    <row r="808" spans="1:14">
      <c r="A808" s="1" t="s">
        <v>820</v>
      </c>
      <c r="B808">
        <f>HYPERLINK("https://www.suredividend.com/sure-analysis-research-database/","Designer Brands Inc")</f>
        <v>0</v>
      </c>
      <c r="C808" t="s">
        <v>3223</v>
      </c>
      <c r="D808">
        <v>14.89</v>
      </c>
      <c r="E808">
        <v>0</v>
      </c>
      <c r="H808">
        <v>0</v>
      </c>
      <c r="I808">
        <v>961.17855</v>
      </c>
      <c r="J808">
        <v>6.221985554145818</v>
      </c>
      <c r="K808">
        <v>0</v>
      </c>
      <c r="L808">
        <v>1.943949074625442</v>
      </c>
      <c r="M808">
        <v>20.48</v>
      </c>
      <c r="N808">
        <v>11.24</v>
      </c>
    </row>
    <row r="809" spans="1:14">
      <c r="A809" s="1" t="s">
        <v>821</v>
      </c>
      <c r="B809">
        <f>HYPERLINK("https://www.suredividend.com/sure-analysis-research-database/","Dropbox Inc")</f>
        <v>0</v>
      </c>
      <c r="C809" t="s">
        <v>3222</v>
      </c>
      <c r="D809">
        <v>23.07</v>
      </c>
      <c r="E809">
        <v>0</v>
      </c>
      <c r="H809">
        <v>0</v>
      </c>
      <c r="I809">
        <v>6826.058483</v>
      </c>
      <c r="J809">
        <v>20.32775009919595</v>
      </c>
      <c r="K809">
        <v>0</v>
      </c>
      <c r="L809">
        <v>1.262176490274986</v>
      </c>
      <c r="M809">
        <v>33</v>
      </c>
      <c r="N809">
        <v>19.9</v>
      </c>
    </row>
    <row r="810" spans="1:14">
      <c r="A810" s="1" t="s">
        <v>822</v>
      </c>
      <c r="B810">
        <f>HYPERLINK("https://www.suredividend.com/sure-analysis-DCI/","Donaldson Co. Inc.")</f>
        <v>0</v>
      </c>
      <c r="C810" t="s">
        <v>3220</v>
      </c>
      <c r="D810">
        <v>50.45</v>
      </c>
      <c r="E810">
        <v>0.01744301288404361</v>
      </c>
      <c r="F810">
        <v>0.04761904761904767</v>
      </c>
      <c r="G810">
        <v>0.04683184708394994</v>
      </c>
      <c r="H810">
        <v>0.8749311593023941</v>
      </c>
      <c r="I810">
        <v>6233.499587</v>
      </c>
      <c r="J810">
        <v>19.62071006137866</v>
      </c>
      <c r="K810">
        <v>0.3499724637209576</v>
      </c>
      <c r="L810">
        <v>0.93676416168006</v>
      </c>
      <c r="M810">
        <v>68.8</v>
      </c>
      <c r="N810">
        <v>48.52</v>
      </c>
    </row>
    <row r="811" spans="1:14">
      <c r="A811" s="1" t="s">
        <v>823</v>
      </c>
      <c r="B811">
        <f>HYPERLINK("https://www.suredividend.com/sure-analysis-research-database/","Ducommun Inc.")</f>
        <v>0</v>
      </c>
      <c r="C811" t="s">
        <v>3220</v>
      </c>
      <c r="D811">
        <v>55.42</v>
      </c>
      <c r="E811">
        <v>0</v>
      </c>
      <c r="H811">
        <v>0</v>
      </c>
      <c r="I811">
        <v>663.508635</v>
      </c>
      <c r="J811">
        <v>4.895442056427813</v>
      </c>
      <c r="K811">
        <v>0</v>
      </c>
      <c r="L811">
        <v>0.8694099576185971</v>
      </c>
      <c r="M811">
        <v>62.35</v>
      </c>
      <c r="N811">
        <v>40.82</v>
      </c>
    </row>
    <row r="812" spans="1:14">
      <c r="A812" s="1" t="s">
        <v>824</v>
      </c>
      <c r="B812">
        <f>HYPERLINK("https://www.suredividend.com/sure-analysis-research-database/","Dime Community Bancshares Inc")</f>
        <v>0</v>
      </c>
      <c r="C812" t="s">
        <v>3221</v>
      </c>
      <c r="D812">
        <v>34.71</v>
      </c>
      <c r="E812">
        <v>0.034105934446282</v>
      </c>
      <c r="F812">
        <v>0</v>
      </c>
      <c r="G812">
        <v>0.1138241786028789</v>
      </c>
      <c r="H812">
        <v>1.183816984630451</v>
      </c>
      <c r="I812">
        <v>1369.653441</v>
      </c>
      <c r="J812">
        <v>14.34267177747526</v>
      </c>
      <c r="K812">
        <v>0.4831906059716126</v>
      </c>
      <c r="L812">
        <v>0.7589286290654461</v>
      </c>
      <c r="M812">
        <v>37.94</v>
      </c>
      <c r="N812">
        <v>28.63</v>
      </c>
    </row>
    <row r="813" spans="1:14">
      <c r="A813" s="1" t="s">
        <v>825</v>
      </c>
      <c r="B813">
        <f>HYPERLINK("https://www.suredividend.com/sure-analysis-research-database/","Deciphera Pharmaceuticals Inc")</f>
        <v>0</v>
      </c>
      <c r="C813" t="s">
        <v>3217</v>
      </c>
      <c r="D813">
        <v>10.45</v>
      </c>
      <c r="E813">
        <v>0</v>
      </c>
      <c r="H813">
        <v>0</v>
      </c>
      <c r="I813">
        <v>611.872287</v>
      </c>
      <c r="J813">
        <v>0</v>
      </c>
      <c r="K813" t="s">
        <v>3219</v>
      </c>
      <c r="L813">
        <v>1.176919803014251</v>
      </c>
      <c r="M813">
        <v>48.27</v>
      </c>
      <c r="N813">
        <v>6.51</v>
      </c>
    </row>
    <row r="814" spans="1:14">
      <c r="A814" s="1" t="s">
        <v>826</v>
      </c>
      <c r="B814">
        <f>HYPERLINK("https://www.suredividend.com/sure-analysis-DD/","DuPont de Nemours Inc")</f>
        <v>0</v>
      </c>
      <c r="C814" t="s">
        <v>3218</v>
      </c>
      <c r="D814">
        <v>68.7</v>
      </c>
      <c r="E814">
        <v>0.01921397379912664</v>
      </c>
      <c r="H814">
        <v>1.222539503200043</v>
      </c>
      <c r="I814">
        <v>34935.926636</v>
      </c>
      <c r="J814">
        <v>5.402184418803155</v>
      </c>
      <c r="K814">
        <v>0.1029073655892292</v>
      </c>
      <c r="L814">
        <v>1.174659364172423</v>
      </c>
      <c r="M814">
        <v>85.22</v>
      </c>
      <c r="N814">
        <v>65.81999999999999</v>
      </c>
    </row>
    <row r="815" spans="1:14">
      <c r="A815" s="1" t="s">
        <v>827</v>
      </c>
      <c r="B815">
        <f>HYPERLINK("https://www.suredividend.com/sure-analysis-research-database/","3D Systems Corp.")</f>
        <v>0</v>
      </c>
      <c r="C815" t="s">
        <v>3222</v>
      </c>
      <c r="D815">
        <v>14.4</v>
      </c>
      <c r="E815">
        <v>0</v>
      </c>
      <c r="H815">
        <v>0</v>
      </c>
      <c r="I815">
        <v>1877.127307</v>
      </c>
      <c r="J815">
        <v>5.828646638431061</v>
      </c>
      <c r="K815">
        <v>0</v>
      </c>
      <c r="L815">
        <v>1.978525242444191</v>
      </c>
      <c r="M815">
        <v>41.48</v>
      </c>
      <c r="N815">
        <v>13.33</v>
      </c>
    </row>
    <row r="816" spans="1:14">
      <c r="A816" s="1" t="s">
        <v>828</v>
      </c>
      <c r="B816">
        <f>HYPERLINK("https://www.suredividend.com/sure-analysis-DDS/","Dillard`s Inc.")</f>
        <v>0</v>
      </c>
      <c r="C816" t="s">
        <v>3223</v>
      </c>
      <c r="D816">
        <v>296.89</v>
      </c>
      <c r="E816">
        <v>0.002694600693859679</v>
      </c>
      <c r="F816">
        <v>0.3333333333333335</v>
      </c>
      <c r="G816">
        <v>0.1486983549970351</v>
      </c>
      <c r="H816">
        <v>0.749193685297013</v>
      </c>
      <c r="I816">
        <v>4226.253198</v>
      </c>
      <c r="J816">
        <v>4.900157104152825</v>
      </c>
      <c r="K816">
        <v>0.01788905647796115</v>
      </c>
      <c r="L816">
        <v>2.234396381508741</v>
      </c>
      <c r="M816">
        <v>416.09</v>
      </c>
      <c r="N816">
        <v>90.87</v>
      </c>
    </row>
    <row r="817" spans="1:14">
      <c r="A817" s="1" t="s">
        <v>829</v>
      </c>
      <c r="B817">
        <f>HYPERLINK("https://www.suredividend.com/sure-analysis-DE/","Deere &amp; Co.")</f>
        <v>0</v>
      </c>
      <c r="C817" t="s">
        <v>3220</v>
      </c>
      <c r="D817">
        <v>436.75</v>
      </c>
      <c r="E817">
        <v>0.009616485403548942</v>
      </c>
      <c r="F817">
        <v>0.1666666666666667</v>
      </c>
      <c r="G817">
        <v>0.1184269147201447</v>
      </c>
      <c r="H817">
        <v>4.033808774621206</v>
      </c>
      <c r="I817">
        <v>133988.054817</v>
      </c>
      <c r="J817">
        <v>23.74832591585431</v>
      </c>
      <c r="K817">
        <v>0.2233559675869992</v>
      </c>
      <c r="L817">
        <v>0.7470746475909891</v>
      </c>
      <c r="M817">
        <v>439.41</v>
      </c>
      <c r="N817">
        <v>318.34</v>
      </c>
    </row>
    <row r="818" spans="1:14">
      <c r="A818" s="1" t="s">
        <v>830</v>
      </c>
      <c r="B818">
        <f>HYPERLINK("https://www.suredividend.com/sure-analysis-DEA/","Easterly Government Properties Inc")</f>
        <v>0</v>
      </c>
      <c r="C818" t="s">
        <v>3224</v>
      </c>
      <c r="D818">
        <v>20.12</v>
      </c>
      <c r="E818">
        <v>0.05268389662027833</v>
      </c>
      <c r="F818">
        <v>0.01923076923076916</v>
      </c>
      <c r="G818">
        <v>0.01172195149275423</v>
      </c>
      <c r="H818">
        <v>1.035843848246883</v>
      </c>
      <c r="I818">
        <v>1817.599997</v>
      </c>
      <c r="J818">
        <v>61.43030947140733</v>
      </c>
      <c r="K818">
        <v>2.962092788810074</v>
      </c>
      <c r="L818">
        <v>0.373730935057925</v>
      </c>
      <c r="M818">
        <v>23.36</v>
      </c>
      <c r="N818">
        <v>18.93</v>
      </c>
    </row>
    <row r="819" spans="1:14">
      <c r="A819" s="1" t="s">
        <v>831</v>
      </c>
      <c r="B819">
        <f>HYPERLINK("https://www.suredividend.com/sure-analysis-research-database/","Deckers Outdoor Corp.")</f>
        <v>0</v>
      </c>
      <c r="C819" t="s">
        <v>3223</v>
      </c>
      <c r="D819">
        <v>271.24</v>
      </c>
      <c r="E819">
        <v>0</v>
      </c>
      <c r="H819">
        <v>0</v>
      </c>
      <c r="I819">
        <v>7388.925601</v>
      </c>
      <c r="J819">
        <v>17.73677014441127</v>
      </c>
      <c r="K819">
        <v>0</v>
      </c>
      <c r="L819">
        <v>1.504172353881095</v>
      </c>
      <c r="M819">
        <v>451.49</v>
      </c>
      <c r="N819">
        <v>231.88</v>
      </c>
    </row>
    <row r="820" spans="1:14">
      <c r="A820" s="1" t="s">
        <v>832</v>
      </c>
      <c r="B820">
        <f>HYPERLINK("https://www.suredividend.com/sure-analysis-DEI/","Douglas Emmett Inc")</f>
        <v>0</v>
      </c>
      <c r="C820" t="s">
        <v>3224</v>
      </c>
      <c r="D820">
        <v>31.01</v>
      </c>
      <c r="E820">
        <v>0.03611738148984199</v>
      </c>
      <c r="F820">
        <v>0</v>
      </c>
      <c r="G820">
        <v>0.04012620718096094</v>
      </c>
      <c r="H820">
        <v>1.106226970428204</v>
      </c>
      <c r="I820">
        <v>5450.676324</v>
      </c>
      <c r="J820">
        <v>84.64966103461664</v>
      </c>
      <c r="K820">
        <v>3.015063969550842</v>
      </c>
      <c r="L820">
        <v>0.819255109404309</v>
      </c>
      <c r="M820">
        <v>36.67</v>
      </c>
      <c r="N820">
        <v>29.14</v>
      </c>
    </row>
    <row r="821" spans="1:14">
      <c r="A821" s="1" t="s">
        <v>833</v>
      </c>
      <c r="B821">
        <f>HYPERLINK("https://www.suredividend.com/sure-analysis-research-database/","Dell Technologies Inc")</f>
        <v>0</v>
      </c>
      <c r="C821" t="s">
        <v>3222</v>
      </c>
      <c r="D821">
        <v>46.94</v>
      </c>
      <c r="E821">
        <v>0</v>
      </c>
      <c r="H821">
        <v>0</v>
      </c>
      <c r="I821">
        <v>33984.56</v>
      </c>
      <c r="J821">
        <v>6.109034693510696</v>
      </c>
      <c r="K821">
        <v>0</v>
      </c>
      <c r="L821">
        <v>0.9230295653896611</v>
      </c>
      <c r="M821">
        <v>61.54</v>
      </c>
      <c r="N821">
        <v>45.63</v>
      </c>
    </row>
    <row r="822" spans="1:14">
      <c r="A822" s="1" t="s">
        <v>834</v>
      </c>
      <c r="B822">
        <f>HYPERLINK("https://www.suredividend.com/sure-analysis-research-database/","Denny`s Corp.")</f>
        <v>0</v>
      </c>
      <c r="C822" t="s">
        <v>3223</v>
      </c>
      <c r="D822">
        <v>13.28</v>
      </c>
      <c r="E822">
        <v>0</v>
      </c>
      <c r="H822">
        <v>0</v>
      </c>
      <c r="I822">
        <v>819.541363</v>
      </c>
      <c r="J822">
        <v>10.49711632139152</v>
      </c>
      <c r="K822">
        <v>0</v>
      </c>
      <c r="L822">
        <v>1.157709954054215</v>
      </c>
      <c r="M822">
        <v>19.31</v>
      </c>
      <c r="N822">
        <v>13.05</v>
      </c>
    </row>
    <row r="823" spans="1:14">
      <c r="A823" s="1" t="s">
        <v>835</v>
      </c>
      <c r="B823">
        <f>HYPERLINK("https://www.suredividend.com/sure-analysis-research-database/","Journey Medical Corp")</f>
        <v>0</v>
      </c>
      <c r="C823" t="s">
        <v>3219</v>
      </c>
      <c r="D823">
        <v>4.75</v>
      </c>
      <c r="E823">
        <v>0</v>
      </c>
      <c r="H823">
        <v>0</v>
      </c>
      <c r="I823">
        <v>53.752634</v>
      </c>
      <c r="J823">
        <v>0</v>
      </c>
      <c r="K823" t="s">
        <v>3219</v>
      </c>
      <c r="M823">
        <v>10.2</v>
      </c>
      <c r="N823">
        <v>3.93</v>
      </c>
    </row>
    <row r="824" spans="1:14">
      <c r="A824" s="1" t="s">
        <v>836</v>
      </c>
      <c r="B824">
        <f>HYPERLINK("https://www.suredividend.com/sure-analysis-research-database/","Donnelley Financial Solutions Inc")</f>
        <v>0</v>
      </c>
      <c r="C824" t="s">
        <v>3221</v>
      </c>
      <c r="D824">
        <v>30.49</v>
      </c>
      <c r="E824">
        <v>0</v>
      </c>
      <c r="H824">
        <v>0</v>
      </c>
      <c r="I824">
        <v>992.726197</v>
      </c>
      <c r="J824">
        <v>6.804154878341329</v>
      </c>
      <c r="K824">
        <v>0</v>
      </c>
      <c r="L824">
        <v>1.654552925861903</v>
      </c>
      <c r="M824">
        <v>52.33</v>
      </c>
      <c r="N824">
        <v>24.67</v>
      </c>
    </row>
    <row r="825" spans="1:14">
      <c r="A825" s="1" t="s">
        <v>837</v>
      </c>
      <c r="B825">
        <f>HYPERLINK("https://www.suredividend.com/sure-analysis-DFS/","Discover Financial Services")</f>
        <v>0</v>
      </c>
      <c r="C825" t="s">
        <v>3221</v>
      </c>
      <c r="D825">
        <v>112.18</v>
      </c>
      <c r="E825">
        <v>0.01782848992690319</v>
      </c>
      <c r="H825">
        <v>1.928662693274764</v>
      </c>
      <c r="I825">
        <v>31960.495608</v>
      </c>
      <c r="J825">
        <v>5.97280799993646</v>
      </c>
      <c r="K825">
        <v>0.1081088953629352</v>
      </c>
      <c r="L825">
        <v>1.274135404830827</v>
      </c>
      <c r="M825">
        <v>134.06</v>
      </c>
      <c r="N825">
        <v>93.41</v>
      </c>
    </row>
    <row r="826" spans="1:14">
      <c r="A826" s="1" t="s">
        <v>838</v>
      </c>
      <c r="B826">
        <f>HYPERLINK("https://www.suredividend.com/sure-analysis-DG/","Dollar General Corp.")</f>
        <v>0</v>
      </c>
      <c r="C826" t="s">
        <v>3225</v>
      </c>
      <c r="D826">
        <v>248.77</v>
      </c>
      <c r="E826">
        <v>0.008320939019978293</v>
      </c>
      <c r="F826">
        <v>0.3095238095238098</v>
      </c>
      <c r="G826">
        <v>0.1616568783858732</v>
      </c>
      <c r="H826">
        <v>1.80460584240962</v>
      </c>
      <c r="I826">
        <v>56914.811364</v>
      </c>
      <c r="J826">
        <v>23.72209580548692</v>
      </c>
      <c r="K826">
        <v>0.1774440356351642</v>
      </c>
      <c r="L826">
        <v>0.4882559533740101</v>
      </c>
      <c r="M826">
        <v>250.3</v>
      </c>
      <c r="N826">
        <v>184.7</v>
      </c>
    </row>
    <row r="827" spans="1:14">
      <c r="A827" s="1" t="s">
        <v>839</v>
      </c>
      <c r="B827">
        <f>HYPERLINK("https://www.suredividend.com/sure-analysis-research-database/","Donegal Group Inc.")</f>
        <v>0</v>
      </c>
      <c r="C827" t="s">
        <v>3221</v>
      </c>
      <c r="D827">
        <v>13.28</v>
      </c>
      <c r="E827">
        <v>0.04740010334447201</v>
      </c>
      <c r="F827">
        <v>0.06666666666666665</v>
      </c>
      <c r="G827">
        <v>0.02706608708935176</v>
      </c>
      <c r="H827">
        <v>0.629473372414598</v>
      </c>
      <c r="I827">
        <v>416.578944</v>
      </c>
      <c r="J827">
        <v>16.49544918436057</v>
      </c>
      <c r="K827">
        <v>0.7604172172198573</v>
      </c>
      <c r="L827">
        <v>0.449035050848847</v>
      </c>
      <c r="M827">
        <v>15.78</v>
      </c>
      <c r="N827">
        <v>13.09</v>
      </c>
    </row>
    <row r="828" spans="1:14">
      <c r="A828" s="1" t="s">
        <v>840</v>
      </c>
      <c r="B828">
        <f>HYPERLINK("https://www.suredividend.com/sure-analysis-research-database/","Digi International, Inc.")</f>
        <v>0</v>
      </c>
      <c r="C828" t="s">
        <v>3222</v>
      </c>
      <c r="D828">
        <v>20.13</v>
      </c>
      <c r="E828">
        <v>0</v>
      </c>
      <c r="H828">
        <v>0</v>
      </c>
      <c r="I828">
        <v>704.431213</v>
      </c>
      <c r="J828">
        <v>59.39554914586846</v>
      </c>
      <c r="K828">
        <v>0</v>
      </c>
      <c r="L828">
        <v>1.271639276323231</v>
      </c>
      <c r="M828">
        <v>25.63</v>
      </c>
      <c r="N828">
        <v>16.7</v>
      </c>
    </row>
    <row r="829" spans="1:14">
      <c r="A829" s="1" t="s">
        <v>841</v>
      </c>
      <c r="B829">
        <f>HYPERLINK("https://www.suredividend.com/sure-analysis-research-database/","Digital Ally Inc.")</f>
        <v>0</v>
      </c>
      <c r="C829" t="s">
        <v>3220</v>
      </c>
      <c r="D829">
        <v>1.09</v>
      </c>
      <c r="E829">
        <v>0</v>
      </c>
      <c r="H829">
        <v>0</v>
      </c>
      <c r="I829">
        <v>57.446212</v>
      </c>
      <c r="J829">
        <v>2.384961596472764</v>
      </c>
      <c r="K829">
        <v>0</v>
      </c>
      <c r="L829">
        <v>0.8210003422626381</v>
      </c>
      <c r="M829">
        <v>2.24</v>
      </c>
      <c r="N829">
        <v>0.9360000000000001</v>
      </c>
    </row>
    <row r="830" spans="1:14">
      <c r="A830" s="1" t="s">
        <v>842</v>
      </c>
      <c r="B830">
        <f>HYPERLINK("https://www.suredividend.com/sure-analysis-DGX/","Quest Diagnostics, Inc.")</f>
        <v>0</v>
      </c>
      <c r="C830" t="s">
        <v>3217</v>
      </c>
      <c r="D830">
        <v>135.92</v>
      </c>
      <c r="E830">
        <v>0.01912889935256033</v>
      </c>
      <c r="F830">
        <v>0.06451612903225823</v>
      </c>
      <c r="G830">
        <v>0.0796084730466029</v>
      </c>
      <c r="H830">
        <v>2.508206330113589</v>
      </c>
      <c r="I830">
        <v>16009.449062</v>
      </c>
      <c r="J830">
        <v>8.05304278780684</v>
      </c>
      <c r="K830">
        <v>0.161507168713045</v>
      </c>
      <c r="L830">
        <v>0.3388937192765361</v>
      </c>
      <c r="M830">
        <v>173.31</v>
      </c>
      <c r="N830">
        <v>125.08</v>
      </c>
    </row>
    <row r="831" spans="1:14">
      <c r="A831" s="1" t="s">
        <v>843</v>
      </c>
      <c r="B831">
        <f>HYPERLINK("https://www.suredividend.com/sure-analysis-DHI/","D.R. Horton Inc.")</f>
        <v>0</v>
      </c>
      <c r="C831" t="s">
        <v>3223</v>
      </c>
      <c r="D831">
        <v>72.51000000000001</v>
      </c>
      <c r="E831">
        <v>0.01241208109226313</v>
      </c>
      <c r="F831">
        <v>0.125</v>
      </c>
      <c r="G831">
        <v>0.1760790225246736</v>
      </c>
      <c r="H831">
        <v>0.847048256670051</v>
      </c>
      <c r="I831">
        <v>25694.510544</v>
      </c>
      <c r="J831">
        <v>5.677592041751371</v>
      </c>
      <c r="K831">
        <v>0.06798140101685803</v>
      </c>
      <c r="L831">
        <v>1.442926399214509</v>
      </c>
      <c r="M831">
        <v>110.16</v>
      </c>
      <c r="N831">
        <v>68.79000000000001</v>
      </c>
    </row>
    <row r="832" spans="1:14">
      <c r="A832" s="1" t="s">
        <v>844</v>
      </c>
      <c r="B832">
        <f>HYPERLINK("https://www.suredividend.com/sure-analysis-research-database/","Diamond Hill Investment Group, Inc.")</f>
        <v>0</v>
      </c>
      <c r="C832" t="s">
        <v>3221</v>
      </c>
      <c r="D832">
        <v>180.01</v>
      </c>
      <c r="E832">
        <v>0.024845543661823</v>
      </c>
      <c r="H832">
        <v>4.472446314564799</v>
      </c>
      <c r="I832">
        <v>579.837411</v>
      </c>
      <c r="J832">
        <v>7.814456231754108</v>
      </c>
      <c r="K832">
        <v>0.1916215216180291</v>
      </c>
      <c r="L832">
        <v>0.8981962386209681</v>
      </c>
      <c r="M832">
        <v>233.1</v>
      </c>
      <c r="N832">
        <v>154.86</v>
      </c>
    </row>
    <row r="833" spans="1:14">
      <c r="A833" s="1" t="s">
        <v>845</v>
      </c>
      <c r="B833">
        <f>HYPERLINK("https://www.suredividend.com/sure-analysis-research-database/","Danaher Corp.")</f>
        <v>0</v>
      </c>
      <c r="C833" t="s">
        <v>3217</v>
      </c>
      <c r="D833">
        <v>276.98</v>
      </c>
      <c r="E833">
        <v>0.003173630083328</v>
      </c>
      <c r="F833">
        <v>0.1904761904761905</v>
      </c>
      <c r="G833">
        <v>0.1229551070568209</v>
      </c>
      <c r="H833">
        <v>0.8790320604802261</v>
      </c>
      <c r="I833">
        <v>198138.35927</v>
      </c>
      <c r="J833">
        <v>31.60605507581433</v>
      </c>
      <c r="K833">
        <v>0.1032940141574884</v>
      </c>
      <c r="L833">
        <v>0.7628787644339791</v>
      </c>
      <c r="M833">
        <v>333.22</v>
      </c>
      <c r="N833">
        <v>237.61</v>
      </c>
    </row>
    <row r="834" spans="1:14">
      <c r="A834" s="1" t="s">
        <v>846</v>
      </c>
      <c r="B834">
        <f>HYPERLINK("https://www.suredividend.com/sure-analysis-research-database/","DHI Group Inc")</f>
        <v>0</v>
      </c>
      <c r="C834" t="s">
        <v>3220</v>
      </c>
      <c r="D834">
        <v>5.88</v>
      </c>
      <c r="E834">
        <v>0</v>
      </c>
      <c r="H834">
        <v>0</v>
      </c>
      <c r="I834">
        <v>290.616995</v>
      </c>
      <c r="J834" t="s">
        <v>3219</v>
      </c>
      <c r="K834">
        <v>-0</v>
      </c>
      <c r="L834">
        <v>1.081131712929187</v>
      </c>
      <c r="M834">
        <v>6.62</v>
      </c>
      <c r="N834">
        <v>2.75</v>
      </c>
    </row>
    <row r="835" spans="1:14">
      <c r="A835" s="1" t="s">
        <v>847</v>
      </c>
      <c r="B835">
        <f>HYPERLINK("https://www.suredividend.com/sure-analysis-research-database/","Dine Brands Global Inc")</f>
        <v>0</v>
      </c>
      <c r="C835" t="s">
        <v>3223</v>
      </c>
      <c r="D835">
        <v>73.75</v>
      </c>
      <c r="E835">
        <v>0.011628911453556</v>
      </c>
      <c r="H835">
        <v>0.8576322196998171</v>
      </c>
      <c r="I835">
        <v>1242.815899</v>
      </c>
      <c r="J835">
        <v>13.00438320742082</v>
      </c>
      <c r="K835">
        <v>0.1515251271554447</v>
      </c>
      <c r="L835">
        <v>1.471470159322033</v>
      </c>
      <c r="M835">
        <v>99.55</v>
      </c>
      <c r="N835">
        <v>61.02</v>
      </c>
    </row>
    <row r="836" spans="1:14">
      <c r="A836" s="1" t="s">
        <v>848</v>
      </c>
      <c r="B836">
        <f>HYPERLINK("https://www.suredividend.com/sure-analysis-research-database/","Diodes, Inc.")</f>
        <v>0</v>
      </c>
      <c r="C836" t="s">
        <v>3222</v>
      </c>
      <c r="D836">
        <v>70.11</v>
      </c>
      <c r="E836">
        <v>0</v>
      </c>
      <c r="H836">
        <v>0</v>
      </c>
      <c r="I836">
        <v>3156.467882</v>
      </c>
      <c r="J836">
        <v>13.79798254743993</v>
      </c>
      <c r="K836">
        <v>0</v>
      </c>
      <c r="L836">
        <v>1.890035058439529</v>
      </c>
      <c r="M836">
        <v>113.98</v>
      </c>
      <c r="N836">
        <v>68.01000000000001</v>
      </c>
    </row>
    <row r="837" spans="1:14">
      <c r="A837" s="1" t="s">
        <v>849</v>
      </c>
      <c r="B837">
        <f>HYPERLINK("https://www.suredividend.com/sure-analysis-research-database/","Walt Disney Co (The)")</f>
        <v>0</v>
      </c>
      <c r="C837" t="s">
        <v>3228</v>
      </c>
      <c r="D837">
        <v>130.47</v>
      </c>
      <c r="E837">
        <v>0</v>
      </c>
      <c r="H837">
        <v>0</v>
      </c>
      <c r="I837">
        <v>237538.040742</v>
      </c>
      <c r="J837">
        <v>77.07269329713174</v>
      </c>
      <c r="K837">
        <v>0</v>
      </c>
      <c r="L837">
        <v>1.012727254500069</v>
      </c>
      <c r="M837">
        <v>190.33</v>
      </c>
      <c r="N837">
        <v>128.38</v>
      </c>
    </row>
    <row r="838" spans="1:14">
      <c r="A838" s="1" t="s">
        <v>850</v>
      </c>
      <c r="B838">
        <f>HYPERLINK("https://www.suredividend.com/sure-analysis-research-database/","Warner Bros.Discovery Inc")</f>
        <v>0</v>
      </c>
      <c r="C838" t="s">
        <v>3228</v>
      </c>
      <c r="D838">
        <v>24.42</v>
      </c>
      <c r="E838">
        <v>0</v>
      </c>
      <c r="H838">
        <v>0</v>
      </c>
      <c r="I838">
        <v>59712</v>
      </c>
      <c r="J838">
        <v>0</v>
      </c>
      <c r="K838" t="s">
        <v>3219</v>
      </c>
    </row>
    <row r="839" spans="1:14">
      <c r="A839" s="1" t="s">
        <v>851</v>
      </c>
      <c r="B839">
        <f>HYPERLINK("https://www.suredividend.com/sure-analysis-research-database/","Dish Network Corp")</f>
        <v>0</v>
      </c>
      <c r="C839" t="s">
        <v>3228</v>
      </c>
      <c r="D839">
        <v>33.19</v>
      </c>
      <c r="E839">
        <v>0</v>
      </c>
      <c r="H839">
        <v>0</v>
      </c>
      <c r="I839">
        <v>17457.707404</v>
      </c>
      <c r="J839">
        <v>7.241932814777143</v>
      </c>
      <c r="K839">
        <v>0</v>
      </c>
      <c r="L839">
        <v>1.181764537462869</v>
      </c>
      <c r="M839">
        <v>47.05</v>
      </c>
      <c r="N839">
        <v>25.84</v>
      </c>
    </row>
    <row r="840" spans="1:14">
      <c r="A840" s="1" t="s">
        <v>852</v>
      </c>
      <c r="B840">
        <f>HYPERLINK("https://www.suredividend.com/sure-analysis-research-database/","Amcon Distributing Company")</f>
        <v>0</v>
      </c>
      <c r="C840" t="s">
        <v>3225</v>
      </c>
      <c r="D840">
        <v>157.02</v>
      </c>
      <c r="E840">
        <v>0.00448276508312</v>
      </c>
      <c r="F840">
        <v>0</v>
      </c>
      <c r="G840">
        <v>0</v>
      </c>
      <c r="H840">
        <v>0.7038837733515221</v>
      </c>
      <c r="I840">
        <v>91.509529</v>
      </c>
      <c r="J840">
        <v>0</v>
      </c>
      <c r="K840" t="s">
        <v>3219</v>
      </c>
      <c r="L840">
        <v>0.7356881704830001</v>
      </c>
      <c r="M840">
        <v>261.91</v>
      </c>
      <c r="N840">
        <v>111.87</v>
      </c>
    </row>
    <row r="841" spans="1:14">
      <c r="A841" s="1" t="s">
        <v>853</v>
      </c>
      <c r="B841">
        <f>HYPERLINK("https://www.suredividend.com/sure-analysis-research-database/","Daily Journal Corporation")</f>
        <v>0</v>
      </c>
      <c r="C841" t="s">
        <v>3228</v>
      </c>
      <c r="D841">
        <v>282.61</v>
      </c>
      <c r="E841">
        <v>0</v>
      </c>
      <c r="H841">
        <v>0</v>
      </c>
      <c r="I841">
        <v>390.212627</v>
      </c>
      <c r="J841">
        <v>0</v>
      </c>
      <c r="K841" t="s">
        <v>3219</v>
      </c>
      <c r="M841">
        <v>415.66</v>
      </c>
      <c r="N841">
        <v>275</v>
      </c>
    </row>
    <row r="842" spans="1:14">
      <c r="A842" s="1" t="s">
        <v>854</v>
      </c>
      <c r="B842">
        <f>HYPERLINK("https://www.suredividend.com/sure-analysis-research-database/","Delek US Holdings Inc")</f>
        <v>0</v>
      </c>
      <c r="C842" t="s">
        <v>3226</v>
      </c>
      <c r="D842">
        <v>23.49</v>
      </c>
      <c r="E842">
        <v>0</v>
      </c>
      <c r="H842">
        <v>0</v>
      </c>
      <c r="I842">
        <v>2074.651176</v>
      </c>
      <c r="J842">
        <v>0</v>
      </c>
      <c r="K842" t="s">
        <v>3219</v>
      </c>
      <c r="L842">
        <v>0.9084294299144421</v>
      </c>
      <c r="M842">
        <v>26.09</v>
      </c>
      <c r="N842">
        <v>13.48</v>
      </c>
    </row>
    <row r="843" spans="1:14">
      <c r="A843" s="1" t="s">
        <v>855</v>
      </c>
      <c r="B843">
        <f>HYPERLINK("https://www.suredividend.com/sure-analysis-DKS/","Dicks Sporting Goods, Inc.")</f>
        <v>0</v>
      </c>
      <c r="C843" t="s">
        <v>3223</v>
      </c>
      <c r="D843">
        <v>105.16</v>
      </c>
      <c r="E843">
        <v>0.01854317230886269</v>
      </c>
      <c r="F843">
        <v>0.3448275862068966</v>
      </c>
      <c r="G843">
        <v>0.2345399254550935</v>
      </c>
      <c r="H843">
        <v>1.715237734640849</v>
      </c>
      <c r="I843">
        <v>6615.646727</v>
      </c>
      <c r="J843">
        <v>4.352768575333038</v>
      </c>
      <c r="K843">
        <v>0.1236653017044592</v>
      </c>
      <c r="L843">
        <v>1.387378843587249</v>
      </c>
      <c r="M843">
        <v>145.68</v>
      </c>
      <c r="N843">
        <v>79.2</v>
      </c>
    </row>
    <row r="844" spans="1:14">
      <c r="A844" s="1" t="s">
        <v>856</v>
      </c>
      <c r="B844">
        <f>HYPERLINK("https://www.suredividend.com/sure-analysis-research-database/","Delta Apparel Inc.")</f>
        <v>0</v>
      </c>
      <c r="C844" t="s">
        <v>3223</v>
      </c>
      <c r="D844">
        <v>32.31</v>
      </c>
      <c r="E844">
        <v>0</v>
      </c>
      <c r="H844">
        <v>0</v>
      </c>
      <c r="I844">
        <v>224.518087</v>
      </c>
      <c r="J844">
        <v>9.737101510538642</v>
      </c>
      <c r="K844">
        <v>0</v>
      </c>
      <c r="L844">
        <v>0.7679377147599951</v>
      </c>
      <c r="M844">
        <v>35.26</v>
      </c>
      <c r="N844">
        <v>24.1</v>
      </c>
    </row>
    <row r="845" spans="1:14">
      <c r="A845" s="1" t="s">
        <v>857</v>
      </c>
      <c r="B845">
        <f>HYPERLINK("https://www.suredividend.com/sure-analysis-research-database/","Dolby Laboratories Inc")</f>
        <v>0</v>
      </c>
      <c r="C845" t="s">
        <v>3228</v>
      </c>
      <c r="D845">
        <v>77.83</v>
      </c>
      <c r="E845">
        <v>0.012025716119573</v>
      </c>
      <c r="F845">
        <v>0.1363636363636365</v>
      </c>
      <c r="G845">
        <v>0.1229551070568209</v>
      </c>
      <c r="H845">
        <v>0.935961485586381</v>
      </c>
      <c r="I845">
        <v>5115.899067</v>
      </c>
      <c r="J845">
        <v>20.05896679042357</v>
      </c>
      <c r="K845">
        <v>0.3835907727813037</v>
      </c>
      <c r="L845">
        <v>0.8585229728326441</v>
      </c>
      <c r="M845">
        <v>103.61</v>
      </c>
      <c r="N845">
        <v>69.18000000000001</v>
      </c>
    </row>
    <row r="846" spans="1:14">
      <c r="A846" s="1" t="s">
        <v>858</v>
      </c>
      <c r="B846">
        <f>HYPERLINK("https://www.suredividend.com/sure-analysis-research-database/","DLH Holdings Corp")</f>
        <v>0</v>
      </c>
      <c r="C846" t="s">
        <v>3220</v>
      </c>
      <c r="D846">
        <v>18.28</v>
      </c>
      <c r="E846">
        <v>0</v>
      </c>
      <c r="H846">
        <v>0</v>
      </c>
      <c r="I846">
        <v>233.396993</v>
      </c>
      <c r="J846">
        <v>0</v>
      </c>
      <c r="K846" t="s">
        <v>3219</v>
      </c>
      <c r="L846">
        <v>0.7777244077324891</v>
      </c>
      <c r="M846">
        <v>21.49</v>
      </c>
      <c r="N846">
        <v>10.01</v>
      </c>
    </row>
    <row r="847" spans="1:14">
      <c r="A847" s="1" t="s">
        <v>859</v>
      </c>
      <c r="B847">
        <f>HYPERLINK("https://www.suredividend.com/sure-analysis-DLR/","Digital Realty Trust Inc")</f>
        <v>0</v>
      </c>
      <c r="C847" t="s">
        <v>3224</v>
      </c>
      <c r="D847">
        <v>145.02</v>
      </c>
      <c r="E847">
        <v>0.03365053096124672</v>
      </c>
      <c r="F847">
        <v>0.05172413793103448</v>
      </c>
      <c r="G847">
        <v>0.05578472997854855</v>
      </c>
      <c r="H847">
        <v>4.644588772452256</v>
      </c>
      <c r="I847">
        <v>41154.856869</v>
      </c>
      <c r="J847">
        <v>24.47511496839128</v>
      </c>
      <c r="K847">
        <v>0.7819173017596389</v>
      </c>
      <c r="L847">
        <v>0.580278396662384</v>
      </c>
      <c r="M847">
        <v>176.62</v>
      </c>
      <c r="N847">
        <v>128.93</v>
      </c>
    </row>
    <row r="848" spans="1:14">
      <c r="A848" s="1" t="s">
        <v>860</v>
      </c>
      <c r="B848">
        <f>HYPERLINK("https://www.suredividend.com/sure-analysis-research-database/","Duluth Holdings Inc")</f>
        <v>0</v>
      </c>
      <c r="C848" t="s">
        <v>3223</v>
      </c>
      <c r="D848">
        <v>12.36</v>
      </c>
      <c r="E848">
        <v>0</v>
      </c>
      <c r="H848">
        <v>0</v>
      </c>
      <c r="I848">
        <v>366.947635</v>
      </c>
      <c r="J848">
        <v>12.35430729243822</v>
      </c>
      <c r="K848">
        <v>0</v>
      </c>
      <c r="L848">
        <v>1.335056824744887</v>
      </c>
      <c r="M848">
        <v>20.78</v>
      </c>
      <c r="N848">
        <v>11.81</v>
      </c>
    </row>
    <row r="849" spans="1:14">
      <c r="A849" s="1" t="s">
        <v>861</v>
      </c>
      <c r="B849">
        <f>HYPERLINK("https://www.suredividend.com/sure-analysis-research-database/","Dollar Tree Inc")</f>
        <v>0</v>
      </c>
      <c r="C849" t="s">
        <v>3225</v>
      </c>
      <c r="D849">
        <v>173.05</v>
      </c>
      <c r="E849">
        <v>0</v>
      </c>
      <c r="H849">
        <v>0</v>
      </c>
      <c r="I849">
        <v>38955.342433</v>
      </c>
      <c r="J849">
        <v>29.3360512338655</v>
      </c>
      <c r="K849">
        <v>0</v>
      </c>
      <c r="L849">
        <v>0.6437017138354391</v>
      </c>
      <c r="M849">
        <v>174.3</v>
      </c>
      <c r="N849">
        <v>84.26000000000001</v>
      </c>
    </row>
    <row r="850" spans="1:14">
      <c r="A850" s="1" t="s">
        <v>862</v>
      </c>
      <c r="B850">
        <f>HYPERLINK("https://www.suredividend.com/sure-analysis-research-database/","Deluxe Corp.")</f>
        <v>0</v>
      </c>
      <c r="C850" t="s">
        <v>3228</v>
      </c>
      <c r="D850">
        <v>29.56</v>
      </c>
      <c r="E850">
        <v>0.040070477731854</v>
      </c>
      <c r="F850">
        <v>0</v>
      </c>
      <c r="G850">
        <v>0</v>
      </c>
      <c r="H850">
        <v>1.184483321753627</v>
      </c>
      <c r="I850">
        <v>1266.8079</v>
      </c>
      <c r="J850">
        <v>20.24075127614361</v>
      </c>
      <c r="K850">
        <v>0.8112899464065939</v>
      </c>
      <c r="L850">
        <v>0.8384316526033081</v>
      </c>
      <c r="M850">
        <v>47.12</v>
      </c>
      <c r="N850">
        <v>27.82</v>
      </c>
    </row>
    <row r="851" spans="1:14">
      <c r="A851" s="1" t="s">
        <v>863</v>
      </c>
      <c r="B851">
        <f>HYPERLINK("https://www.suredividend.com/sure-analysis-research-database/","Digimarc Corporation")</f>
        <v>0</v>
      </c>
      <c r="C851" t="s">
        <v>3222</v>
      </c>
      <c r="D851">
        <v>26.59</v>
      </c>
      <c r="E851">
        <v>0</v>
      </c>
      <c r="H851">
        <v>0</v>
      </c>
      <c r="I851">
        <v>470.28688</v>
      </c>
      <c r="J851" t="s">
        <v>3219</v>
      </c>
      <c r="K851">
        <v>-0</v>
      </c>
      <c r="L851">
        <v>1.753286704229667</v>
      </c>
      <c r="M851">
        <v>53.74</v>
      </c>
      <c r="N851">
        <v>21.5</v>
      </c>
    </row>
    <row r="852" spans="1:14">
      <c r="A852" s="1" t="s">
        <v>864</v>
      </c>
      <c r="B852">
        <f>HYPERLINK("https://www.suredividend.com/sure-analysis-research-database/","Dunkin Brands Group Inc")</f>
        <v>0</v>
      </c>
      <c r="C852" t="s">
        <v>3223</v>
      </c>
      <c r="D852">
        <v>106.48</v>
      </c>
      <c r="E852">
        <v>0</v>
      </c>
      <c r="H852">
        <v>0.805000007152557</v>
      </c>
      <c r="I852">
        <v>0</v>
      </c>
      <c r="J852">
        <v>0</v>
      </c>
      <c r="K852">
        <v>0.3072519111269302</v>
      </c>
    </row>
    <row r="853" spans="1:14">
      <c r="A853" s="1" t="s">
        <v>865</v>
      </c>
      <c r="B853">
        <f>HYPERLINK("https://www.suredividend.com/sure-analysis-research-database/","Denali Therapeutics Inc")</f>
        <v>0</v>
      </c>
      <c r="C853" t="s">
        <v>3217</v>
      </c>
      <c r="D853">
        <v>30.11</v>
      </c>
      <c r="E853">
        <v>0</v>
      </c>
      <c r="H853">
        <v>0</v>
      </c>
      <c r="I853">
        <v>3698.513252</v>
      </c>
      <c r="J853" t="s">
        <v>3219</v>
      </c>
      <c r="K853">
        <v>-0</v>
      </c>
      <c r="L853">
        <v>1.513067136810713</v>
      </c>
      <c r="M853">
        <v>79.7</v>
      </c>
      <c r="N853">
        <v>28.76</v>
      </c>
    </row>
    <row r="854" spans="1:14">
      <c r="A854" s="1" t="s">
        <v>866</v>
      </c>
      <c r="B854">
        <f>HYPERLINK("https://www.suredividend.com/sure-analysis-research-database/","NOW Inc")</f>
        <v>0</v>
      </c>
      <c r="C854" t="s">
        <v>3226</v>
      </c>
      <c r="D854">
        <v>10.92</v>
      </c>
      <c r="E854">
        <v>0</v>
      </c>
      <c r="H854">
        <v>0</v>
      </c>
      <c r="I854">
        <v>1221.409284</v>
      </c>
      <c r="J854">
        <v>244.281856728</v>
      </c>
      <c r="K854">
        <v>0</v>
      </c>
      <c r="L854">
        <v>0.808788279593561</v>
      </c>
      <c r="M854">
        <v>11.87</v>
      </c>
      <c r="N854">
        <v>6.83</v>
      </c>
    </row>
    <row r="855" spans="1:14">
      <c r="A855" s="1" t="s">
        <v>867</v>
      </c>
      <c r="B855">
        <f>HYPERLINK("https://www.suredividend.com/sure-analysis-research-database/","Diamond Offshore Drilling, Inc.")</f>
        <v>0</v>
      </c>
      <c r="C855" t="s">
        <v>3226</v>
      </c>
      <c r="D855">
        <v>7.48</v>
      </c>
      <c r="E855">
        <v>0</v>
      </c>
      <c r="H855">
        <v>0</v>
      </c>
      <c r="I855">
        <v>1032.646246</v>
      </c>
      <c r="J855">
        <v>0</v>
      </c>
      <c r="K855" t="s">
        <v>3219</v>
      </c>
      <c r="M855">
        <v>12.04</v>
      </c>
      <c r="N855">
        <v>6.58</v>
      </c>
    </row>
    <row r="856" spans="1:14">
      <c r="A856" s="1" t="s">
        <v>868</v>
      </c>
      <c r="B856">
        <f>HYPERLINK("https://www.suredividend.com/sure-analysis-DOC/","Physicians Realty Trust")</f>
        <v>0</v>
      </c>
      <c r="C856" t="s">
        <v>3224</v>
      </c>
      <c r="D856">
        <v>17.64</v>
      </c>
      <c r="E856">
        <v>0.05215419501133787</v>
      </c>
      <c r="F856">
        <v>0</v>
      </c>
      <c r="G856">
        <v>0</v>
      </c>
      <c r="H856">
        <v>0.9027712940661271</v>
      </c>
      <c r="I856">
        <v>3975.859402</v>
      </c>
      <c r="J856">
        <v>47.35872167667239</v>
      </c>
      <c r="K856">
        <v>2.398435956605014</v>
      </c>
      <c r="L856">
        <v>0.516045161830583</v>
      </c>
      <c r="M856">
        <v>18.88</v>
      </c>
      <c r="N856">
        <v>15.87</v>
      </c>
    </row>
    <row r="857" spans="1:14">
      <c r="A857" s="1" t="s">
        <v>869</v>
      </c>
      <c r="B857">
        <f>HYPERLINK("https://www.suredividend.com/sure-analysis-research-database/","DocuSign Inc")</f>
        <v>0</v>
      </c>
      <c r="C857" t="s">
        <v>3222</v>
      </c>
      <c r="D857">
        <v>99.53</v>
      </c>
      <c r="E857">
        <v>0</v>
      </c>
      <c r="H857">
        <v>0</v>
      </c>
      <c r="I857">
        <v>19694.650334</v>
      </c>
      <c r="J857" t="s">
        <v>3219</v>
      </c>
      <c r="K857">
        <v>-0</v>
      </c>
      <c r="L857">
        <v>2.025611002862358</v>
      </c>
      <c r="M857">
        <v>314.76</v>
      </c>
      <c r="N857">
        <v>71</v>
      </c>
    </row>
    <row r="858" spans="1:14">
      <c r="A858" s="1" t="s">
        <v>870</v>
      </c>
      <c r="B858">
        <f>HYPERLINK("https://www.suredividend.com/sure-analysis-research-database/","Domo Inc.")</f>
        <v>0</v>
      </c>
      <c r="C858" t="s">
        <v>3222</v>
      </c>
      <c r="D858">
        <v>47.91</v>
      </c>
      <c r="E858">
        <v>0</v>
      </c>
      <c r="H858">
        <v>0</v>
      </c>
      <c r="I858">
        <v>1424.371726</v>
      </c>
      <c r="J858" t="s">
        <v>3219</v>
      </c>
      <c r="K858">
        <v>-0</v>
      </c>
      <c r="L858">
        <v>2.184825088999003</v>
      </c>
      <c r="M858">
        <v>98.34999999999999</v>
      </c>
      <c r="N858">
        <v>36.07</v>
      </c>
    </row>
    <row r="859" spans="1:14">
      <c r="A859" s="1" t="s">
        <v>871</v>
      </c>
      <c r="B859">
        <f>HYPERLINK("https://www.suredividend.com/sure-analysis-research-database/","Masonite International Corp")</f>
        <v>0</v>
      </c>
      <c r="C859" t="s">
        <v>3220</v>
      </c>
      <c r="D859">
        <v>75.86</v>
      </c>
      <c r="E859">
        <v>0</v>
      </c>
      <c r="H859">
        <v>0</v>
      </c>
      <c r="I859">
        <v>1711.745246</v>
      </c>
      <c r="J859">
        <v>18.11351462735844</v>
      </c>
      <c r="K859">
        <v>0</v>
      </c>
      <c r="L859">
        <v>1.537351554187012</v>
      </c>
      <c r="M859">
        <v>132.22</v>
      </c>
      <c r="N859">
        <v>72.86</v>
      </c>
    </row>
    <row r="860" spans="1:14">
      <c r="A860" s="1" t="s">
        <v>872</v>
      </c>
      <c r="B860">
        <f>HYPERLINK("https://www.suredividend.com/sure-analysis-research-database/","Dorman Products Inc")</f>
        <v>0</v>
      </c>
      <c r="C860" t="s">
        <v>3223</v>
      </c>
      <c r="D860">
        <v>93.95</v>
      </c>
      <c r="E860">
        <v>0</v>
      </c>
      <c r="H860">
        <v>0</v>
      </c>
      <c r="I860">
        <v>2963.709402</v>
      </c>
      <c r="J860">
        <v>22.53223095406441</v>
      </c>
      <c r="K860">
        <v>0</v>
      </c>
      <c r="L860">
        <v>0.7609470669891381</v>
      </c>
      <c r="M860">
        <v>122.96</v>
      </c>
      <c r="N860">
        <v>88.44</v>
      </c>
    </row>
    <row r="861" spans="1:14">
      <c r="A861" s="1" t="s">
        <v>873</v>
      </c>
      <c r="B861">
        <f>HYPERLINK("https://www.suredividend.com/sure-analysis-DOV/","Dover Corp.")</f>
        <v>0</v>
      </c>
      <c r="C861" t="s">
        <v>3220</v>
      </c>
      <c r="D861">
        <v>146.39</v>
      </c>
      <c r="E861">
        <v>0.01366213539176173</v>
      </c>
      <c r="F861">
        <v>0.01010101010101017</v>
      </c>
      <c r="G861">
        <v>0.02589630491023409</v>
      </c>
      <c r="H861">
        <v>1.985883768698876</v>
      </c>
      <c r="I861">
        <v>21088.153919</v>
      </c>
      <c r="J861">
        <v>18.76474119361854</v>
      </c>
      <c r="K861">
        <v>0.2565741303228522</v>
      </c>
      <c r="L861">
        <v>0.9915992741257781</v>
      </c>
      <c r="M861">
        <v>183.45</v>
      </c>
      <c r="N861">
        <v>137.17</v>
      </c>
    </row>
    <row r="862" spans="1:14">
      <c r="A862" s="1" t="s">
        <v>874</v>
      </c>
      <c r="B862">
        <f>HYPERLINK("https://www.suredividend.com/sure-analysis-DOW/","Dow Inc")</f>
        <v>0</v>
      </c>
      <c r="C862" t="s">
        <v>3218</v>
      </c>
      <c r="D862">
        <v>65.48999999999999</v>
      </c>
      <c r="E862">
        <v>0.04275461902580547</v>
      </c>
      <c r="H862">
        <v>2.750839365563553</v>
      </c>
      <c r="I862">
        <v>48140.772513</v>
      </c>
      <c r="J862">
        <v>7.628073603703057</v>
      </c>
      <c r="K862">
        <v>0.3263154644796623</v>
      </c>
      <c r="L862">
        <v>0.794628165979649</v>
      </c>
      <c r="M862">
        <v>68.69</v>
      </c>
      <c r="N862">
        <v>51.45</v>
      </c>
    </row>
    <row r="863" spans="1:14">
      <c r="A863" s="1" t="s">
        <v>875</v>
      </c>
      <c r="B863">
        <f>HYPERLINK("https://www.suredividend.com/sure-analysis-DPZ/","Dominos Pizza Inc")</f>
        <v>0</v>
      </c>
      <c r="C863" t="s">
        <v>3223</v>
      </c>
      <c r="D863">
        <v>387.24</v>
      </c>
      <c r="E863">
        <v>0.01136246255552112</v>
      </c>
      <c r="F863">
        <v>0.1702127659574468</v>
      </c>
      <c r="G863">
        <v>0.1904933414519807</v>
      </c>
      <c r="H863">
        <v>3.906971324722048</v>
      </c>
      <c r="I863">
        <v>13954.651892</v>
      </c>
      <c r="J863">
        <v>27.33703039013296</v>
      </c>
      <c r="K863">
        <v>0.2885503194034009</v>
      </c>
      <c r="L863">
        <v>0.680939321248999</v>
      </c>
      <c r="M863">
        <v>565.95</v>
      </c>
      <c r="N863">
        <v>378.46</v>
      </c>
    </row>
    <row r="864" spans="1:14">
      <c r="A864" s="1" t="s">
        <v>876</v>
      </c>
      <c r="B864">
        <f>HYPERLINK("https://www.suredividend.com/sure-analysis-DRE/","Duke Realty Corp")</f>
        <v>0</v>
      </c>
      <c r="C864" t="s">
        <v>3224</v>
      </c>
      <c r="D864">
        <v>58.25</v>
      </c>
      <c r="E864">
        <v>0.0192274678111588</v>
      </c>
      <c r="F864">
        <v>0.09803921568627461</v>
      </c>
      <c r="G864">
        <v>0.08063961960040023</v>
      </c>
      <c r="H864">
        <v>1.062214076427703</v>
      </c>
      <c r="I864">
        <v>22296.219224</v>
      </c>
      <c r="J864">
        <v>26.18343871977678</v>
      </c>
      <c r="K864">
        <v>0.478474809201668</v>
      </c>
      <c r="L864">
        <v>0.6221562010280091</v>
      </c>
      <c r="M864">
        <v>65.88</v>
      </c>
      <c r="N864">
        <v>43.32</v>
      </c>
    </row>
    <row r="865" spans="1:14">
      <c r="A865" s="1" t="s">
        <v>877</v>
      </c>
      <c r="B865">
        <f>HYPERLINK("https://www.suredividend.com/sure-analysis-research-database/","Diamondrock Hospitality Co.")</f>
        <v>0</v>
      </c>
      <c r="C865" t="s">
        <v>3224</v>
      </c>
      <c r="D865">
        <v>10.03</v>
      </c>
      <c r="E865">
        <v>0</v>
      </c>
      <c r="H865">
        <v>0</v>
      </c>
      <c r="I865">
        <v>2131.068594</v>
      </c>
      <c r="J865" t="s">
        <v>3219</v>
      </c>
      <c r="K865">
        <v>-0</v>
      </c>
      <c r="L865">
        <v>1.547741130286729</v>
      </c>
      <c r="M865">
        <v>11.09</v>
      </c>
      <c r="N865">
        <v>8.039999999999999</v>
      </c>
    </row>
    <row r="866" spans="1:14">
      <c r="A866" s="1" t="s">
        <v>878</v>
      </c>
      <c r="B866">
        <f>HYPERLINK("https://www.suredividend.com/sure-analysis-DRI/","Darden Restaurants, Inc.")</f>
        <v>0</v>
      </c>
      <c r="C866" t="s">
        <v>3223</v>
      </c>
      <c r="D866">
        <v>131.45</v>
      </c>
      <c r="E866">
        <v>0.03347280334728034</v>
      </c>
      <c r="H866">
        <v>4.347905810434902</v>
      </c>
      <c r="I866">
        <v>16396.328993</v>
      </c>
      <c r="J866">
        <v>15.77176701904579</v>
      </c>
      <c r="K866">
        <v>0.5469063912496732</v>
      </c>
      <c r="L866">
        <v>1.226753248865787</v>
      </c>
      <c r="M866">
        <v>160.53</v>
      </c>
      <c r="N866">
        <v>115.04</v>
      </c>
    </row>
    <row r="867" spans="1:14">
      <c r="A867" s="1" t="s">
        <v>879</v>
      </c>
      <c r="B867">
        <f>HYPERLINK("https://www.suredividend.com/sure-analysis-research-database/","Dicerna Pharmaceuticals Inc")</f>
        <v>0</v>
      </c>
      <c r="C867" t="s">
        <v>3217</v>
      </c>
      <c r="D867">
        <v>38.22</v>
      </c>
      <c r="E867">
        <v>0</v>
      </c>
      <c r="H867">
        <v>0</v>
      </c>
      <c r="I867">
        <v>0</v>
      </c>
      <c r="J867">
        <v>0</v>
      </c>
      <c r="K867" t="s">
        <v>3219</v>
      </c>
    </row>
    <row r="868" spans="1:14">
      <c r="A868" s="1" t="s">
        <v>880</v>
      </c>
      <c r="B868">
        <f>HYPERLINK("https://www.suredividend.com/sure-analysis-research-database/","Dril-Quip, Inc.")</f>
        <v>0</v>
      </c>
      <c r="C868" t="s">
        <v>3226</v>
      </c>
      <c r="D868">
        <v>35.51</v>
      </c>
      <c r="E868">
        <v>0</v>
      </c>
      <c r="H868">
        <v>0</v>
      </c>
      <c r="I868">
        <v>1235.481213</v>
      </c>
      <c r="J868" t="s">
        <v>3219</v>
      </c>
      <c r="K868">
        <v>-0</v>
      </c>
      <c r="L868">
        <v>0.3737014290610841</v>
      </c>
      <c r="M868">
        <v>41.23</v>
      </c>
      <c r="N868">
        <v>18.17</v>
      </c>
    </row>
    <row r="869" spans="1:14">
      <c r="A869" s="1" t="s">
        <v>881</v>
      </c>
      <c r="B869">
        <f>HYPERLINK("https://www.suredividend.com/sure-analysis-research-database/","Durect Corp")</f>
        <v>0</v>
      </c>
      <c r="C869" t="s">
        <v>3217</v>
      </c>
      <c r="D869">
        <v>0.4764</v>
      </c>
      <c r="E869">
        <v>0</v>
      </c>
      <c r="H869">
        <v>0</v>
      </c>
      <c r="I869">
        <v>108.473429</v>
      </c>
      <c r="J869" t="s">
        <v>3219</v>
      </c>
      <c r="K869">
        <v>-0</v>
      </c>
      <c r="L869">
        <v>1.413779408184521</v>
      </c>
      <c r="M869">
        <v>1.93</v>
      </c>
      <c r="N869">
        <v>0.46</v>
      </c>
    </row>
    <row r="870" spans="1:14">
      <c r="A870" s="1" t="s">
        <v>882</v>
      </c>
      <c r="B870">
        <f>HYPERLINK("https://www.suredividend.com/sure-analysis-research-database/","Drive Shack Inc")</f>
        <v>0</v>
      </c>
      <c r="C870" t="s">
        <v>3223</v>
      </c>
      <c r="D870">
        <v>1.32</v>
      </c>
      <c r="E870">
        <v>0</v>
      </c>
      <c r="H870">
        <v>0</v>
      </c>
      <c r="I870">
        <v>121.563321</v>
      </c>
      <c r="J870" t="s">
        <v>3219</v>
      </c>
      <c r="K870">
        <v>-0</v>
      </c>
      <c r="L870">
        <v>1.695139027474351</v>
      </c>
      <c r="M870">
        <v>4.02</v>
      </c>
      <c r="N870">
        <v>1.12</v>
      </c>
    </row>
    <row r="871" spans="1:14">
      <c r="A871" s="1" t="s">
        <v>883</v>
      </c>
      <c r="B871">
        <f>HYPERLINK("https://www.suredividend.com/sure-analysis-research-database/","Daseke Inc")</f>
        <v>0</v>
      </c>
      <c r="C871" t="s">
        <v>3220</v>
      </c>
      <c r="D871">
        <v>7.86</v>
      </c>
      <c r="E871">
        <v>0</v>
      </c>
      <c r="H871">
        <v>0</v>
      </c>
      <c r="I871">
        <v>491.769805</v>
      </c>
      <c r="J871">
        <v>9.642545203529412</v>
      </c>
      <c r="K871">
        <v>0</v>
      </c>
      <c r="L871">
        <v>1.273041338398827</v>
      </c>
      <c r="M871">
        <v>13.17</v>
      </c>
      <c r="N871">
        <v>5.61</v>
      </c>
    </row>
    <row r="872" spans="1:14">
      <c r="A872" s="1" t="s">
        <v>884</v>
      </c>
      <c r="B872">
        <f>HYPERLINK("https://www.suredividend.com/sure-analysis-research-database/","DSP Group, Inc.")</f>
        <v>0</v>
      </c>
      <c r="C872" t="s">
        <v>3222</v>
      </c>
      <c r="D872">
        <v>21.98</v>
      </c>
      <c r="E872">
        <v>0</v>
      </c>
      <c r="H872">
        <v>0</v>
      </c>
      <c r="I872">
        <v>0</v>
      </c>
      <c r="J872">
        <v>0</v>
      </c>
      <c r="K872">
        <v>-0</v>
      </c>
    </row>
    <row r="873" spans="1:14">
      <c r="A873" s="1" t="s">
        <v>885</v>
      </c>
      <c r="B873">
        <f>HYPERLINK("https://www.suredividend.com/sure-analysis-research-database/","DSS Inc")</f>
        <v>0</v>
      </c>
      <c r="C873" t="s">
        <v>3220</v>
      </c>
      <c r="D873">
        <v>0.4999</v>
      </c>
      <c r="E873">
        <v>0</v>
      </c>
      <c r="H873">
        <v>0</v>
      </c>
      <c r="I873">
        <v>41.858008</v>
      </c>
      <c r="J873">
        <v>0</v>
      </c>
      <c r="K873" t="s">
        <v>3219</v>
      </c>
      <c r="L873">
        <v>1.235886434698117</v>
      </c>
      <c r="M873">
        <v>3.19</v>
      </c>
      <c r="N873">
        <v>0.33</v>
      </c>
    </row>
    <row r="874" spans="1:14">
      <c r="A874" s="1" t="s">
        <v>886</v>
      </c>
      <c r="B874">
        <f>HYPERLINK("https://www.suredividend.com/sure-analysis-DTE/","DTE Energy Co.")</f>
        <v>0</v>
      </c>
      <c r="C874" t="s">
        <v>3227</v>
      </c>
      <c r="D874">
        <v>137.17</v>
      </c>
      <c r="E874">
        <v>0.02580739228694321</v>
      </c>
      <c r="F874">
        <v>-0.184331797235023</v>
      </c>
      <c r="G874">
        <v>0.01413988746585337</v>
      </c>
      <c r="H874">
        <v>3.479999791826797</v>
      </c>
      <c r="I874">
        <v>26575.572308</v>
      </c>
      <c r="J874">
        <v>29.36527326839778</v>
      </c>
      <c r="K874">
        <v>0.7467810712074671</v>
      </c>
      <c r="L874">
        <v>0.287360440028827</v>
      </c>
      <c r="M874">
        <v>138.51</v>
      </c>
      <c r="N874">
        <v>106.68</v>
      </c>
    </row>
    <row r="875" spans="1:14">
      <c r="A875" s="1" t="s">
        <v>887</v>
      </c>
      <c r="B875">
        <f>HYPERLINK("https://www.suredividend.com/sure-analysis-DUK/","Duke Energy Corp.")</f>
        <v>0</v>
      </c>
      <c r="C875" t="s">
        <v>3227</v>
      </c>
      <c r="D875">
        <v>114.85</v>
      </c>
      <c r="E875">
        <v>0.03430561602089682</v>
      </c>
      <c r="F875">
        <v>0.02072538860103634</v>
      </c>
      <c r="G875">
        <v>0.02871251451222623</v>
      </c>
      <c r="H875">
        <v>3.863596393773609</v>
      </c>
      <c r="I875">
        <v>88422.95378500001</v>
      </c>
      <c r="J875">
        <v>23.25695786032352</v>
      </c>
      <c r="K875">
        <v>0.7821045331525524</v>
      </c>
      <c r="L875">
        <v>0.189801369720725</v>
      </c>
      <c r="M875">
        <v>115.96</v>
      </c>
      <c r="N875">
        <v>94.37</v>
      </c>
    </row>
    <row r="876" spans="1:14">
      <c r="A876" s="1" t="s">
        <v>888</v>
      </c>
      <c r="B876">
        <f>HYPERLINK("https://www.suredividend.com/sure-analysis-research-database/","DaVita Inc")</f>
        <v>0</v>
      </c>
      <c r="C876" t="s">
        <v>3217</v>
      </c>
      <c r="D876">
        <v>121.45</v>
      </c>
      <c r="E876">
        <v>0</v>
      </c>
      <c r="H876">
        <v>0</v>
      </c>
      <c r="I876">
        <v>11695.635</v>
      </c>
      <c r="J876">
        <v>11.95322704277173</v>
      </c>
      <c r="K876">
        <v>0</v>
      </c>
      <c r="L876">
        <v>0.64459061703818</v>
      </c>
      <c r="M876">
        <v>136.48</v>
      </c>
      <c r="N876">
        <v>94.38</v>
      </c>
    </row>
    <row r="877" spans="1:14">
      <c r="A877" s="1" t="s">
        <v>889</v>
      </c>
      <c r="B877">
        <f>HYPERLINK("https://www.suredividend.com/sure-analysis-research-database/","Dynavax Technologies Corp.")</f>
        <v>0</v>
      </c>
      <c r="C877" t="s">
        <v>3217</v>
      </c>
      <c r="D877">
        <v>10.51</v>
      </c>
      <c r="E877">
        <v>0</v>
      </c>
      <c r="H877">
        <v>0</v>
      </c>
      <c r="I877">
        <v>1312.927666</v>
      </c>
      <c r="J877">
        <v>18.19870905508428</v>
      </c>
      <c r="K877">
        <v>0</v>
      </c>
      <c r="L877">
        <v>1.688008408147785</v>
      </c>
      <c r="M877">
        <v>21.39</v>
      </c>
      <c r="N877">
        <v>7.09</v>
      </c>
    </row>
    <row r="878" spans="1:14">
      <c r="A878" s="1" t="s">
        <v>890</v>
      </c>
      <c r="B878">
        <f>HYPERLINK("https://www.suredividend.com/sure-analysis-research-database/","Dover Motorsports Inc")</f>
        <v>0</v>
      </c>
      <c r="C878" t="s">
        <v>3223</v>
      </c>
      <c r="D878">
        <v>3.61</v>
      </c>
      <c r="E878">
        <v>0.021966504375715</v>
      </c>
      <c r="H878">
        <v>0.07929908079633401</v>
      </c>
      <c r="I878">
        <v>64.668154</v>
      </c>
      <c r="J878">
        <v>5.216856547273314</v>
      </c>
      <c r="K878">
        <v>0.2296527100965364</v>
      </c>
      <c r="M878">
        <v>3.62</v>
      </c>
      <c r="N878">
        <v>1.9</v>
      </c>
    </row>
    <row r="879" spans="1:14">
      <c r="A879" s="1" t="s">
        <v>891</v>
      </c>
      <c r="B879">
        <f>HYPERLINK("https://www.suredividend.com/sure-analysis-research-database/","Devon Energy Corp.")</f>
        <v>0</v>
      </c>
      <c r="C879" t="s">
        <v>3226</v>
      </c>
      <c r="D879">
        <v>62.56</v>
      </c>
      <c r="E879">
        <v>0.03256129593505101</v>
      </c>
      <c r="F879">
        <v>8.090909090909092</v>
      </c>
      <c r="G879">
        <v>0.6572270086699934</v>
      </c>
      <c r="H879">
        <v>2.037034673696822</v>
      </c>
      <c r="I879">
        <v>41552.352</v>
      </c>
      <c r="J879">
        <v>14.93077685950413</v>
      </c>
      <c r="K879">
        <v>0.4873288693054599</v>
      </c>
      <c r="L879">
        <v>1.128544497136601</v>
      </c>
      <c r="M879">
        <v>64.29000000000001</v>
      </c>
      <c r="N879">
        <v>19.03</v>
      </c>
    </row>
    <row r="880" spans="1:14">
      <c r="A880" s="1" t="s">
        <v>892</v>
      </c>
      <c r="B880">
        <f>HYPERLINK("https://www.suredividend.com/sure-analysis-research-database/","Dawson Geophysical Company")</f>
        <v>0</v>
      </c>
      <c r="C880" t="s">
        <v>3226</v>
      </c>
      <c r="D880">
        <v>2.15</v>
      </c>
      <c r="E880">
        <v>0</v>
      </c>
      <c r="H880">
        <v>0</v>
      </c>
      <c r="I880">
        <v>50.938615</v>
      </c>
      <c r="J880">
        <v>0</v>
      </c>
      <c r="K880" t="s">
        <v>3219</v>
      </c>
      <c r="L880">
        <v>0.020382143336218</v>
      </c>
      <c r="M880">
        <v>3</v>
      </c>
      <c r="N880">
        <v>1.83</v>
      </c>
    </row>
    <row r="881" spans="1:14">
      <c r="A881" s="1" t="s">
        <v>893</v>
      </c>
      <c r="B881">
        <f>HYPERLINK("https://www.suredividend.com/sure-analysis-DX/","Dynex Capital, Inc.")</f>
        <v>0</v>
      </c>
      <c r="C881" t="s">
        <v>3224</v>
      </c>
      <c r="D881">
        <v>15.91</v>
      </c>
      <c r="E881">
        <v>0.09805153991200503</v>
      </c>
      <c r="F881">
        <v>0</v>
      </c>
      <c r="G881">
        <v>0</v>
      </c>
      <c r="H881">
        <v>1.495860481389017</v>
      </c>
      <c r="I881">
        <v>583.3529579999999</v>
      </c>
      <c r="J881">
        <v>6.414348865248227</v>
      </c>
      <c r="K881">
        <v>0.5380793098521643</v>
      </c>
      <c r="L881">
        <v>0.5455782428224151</v>
      </c>
      <c r="M881">
        <v>19.02</v>
      </c>
      <c r="N881">
        <v>14.51</v>
      </c>
    </row>
    <row r="882" spans="1:14">
      <c r="A882" s="1" t="s">
        <v>894</v>
      </c>
      <c r="B882">
        <f>HYPERLINK("https://www.suredividend.com/sure-analysis-research-database/","DXC Technology Co")</f>
        <v>0</v>
      </c>
      <c r="C882" t="s">
        <v>3222</v>
      </c>
      <c r="D882">
        <v>31.25</v>
      </c>
      <c r="E882">
        <v>0</v>
      </c>
      <c r="H882">
        <v>0</v>
      </c>
      <c r="I882">
        <v>7639.933469</v>
      </c>
      <c r="J882" t="s">
        <v>3219</v>
      </c>
      <c r="K882">
        <v>-0</v>
      </c>
      <c r="L882">
        <v>1.133504819383876</v>
      </c>
      <c r="M882">
        <v>44.18</v>
      </c>
      <c r="N882">
        <v>28.57</v>
      </c>
    </row>
    <row r="883" spans="1:14">
      <c r="A883" s="1" t="s">
        <v>895</v>
      </c>
      <c r="B883">
        <f>HYPERLINK("https://www.suredividend.com/sure-analysis-research-database/","Dexcom Inc")</f>
        <v>0</v>
      </c>
      <c r="C883" t="s">
        <v>3217</v>
      </c>
      <c r="D883">
        <v>492.11</v>
      </c>
      <c r="E883">
        <v>0</v>
      </c>
      <c r="H883">
        <v>0</v>
      </c>
      <c r="I883">
        <v>48288.752889</v>
      </c>
      <c r="J883">
        <v>312.1444918463478</v>
      </c>
      <c r="K883">
        <v>0</v>
      </c>
      <c r="L883">
        <v>1.463968171888034</v>
      </c>
      <c r="M883">
        <v>659.45</v>
      </c>
      <c r="N883">
        <v>318.45</v>
      </c>
    </row>
    <row r="884" spans="1:14">
      <c r="A884" s="1" t="s">
        <v>896</v>
      </c>
      <c r="B884">
        <f>HYPERLINK("https://www.suredividend.com/sure-analysis-research-database/","Destination XL Group Inc")</f>
        <v>0</v>
      </c>
      <c r="C884" t="s">
        <v>3223</v>
      </c>
      <c r="D884">
        <v>5.29</v>
      </c>
      <c r="E884">
        <v>0</v>
      </c>
      <c r="H884">
        <v>0</v>
      </c>
      <c r="I884">
        <v>340.153094</v>
      </c>
      <c r="J884">
        <v>5.997797578685663</v>
      </c>
      <c r="K884">
        <v>0</v>
      </c>
      <c r="M884">
        <v>8.99</v>
      </c>
      <c r="N884">
        <v>3.71</v>
      </c>
    </row>
    <row r="885" spans="1:14">
      <c r="A885" s="1" t="s">
        <v>897</v>
      </c>
      <c r="B885">
        <f>HYPERLINK("https://www.suredividend.com/sure-analysis-research-database/","DXP Enterprises, Inc.")</f>
        <v>0</v>
      </c>
      <c r="C885" t="s">
        <v>3220</v>
      </c>
      <c r="D885">
        <v>25.13</v>
      </c>
      <c r="E885">
        <v>0</v>
      </c>
      <c r="H885">
        <v>0</v>
      </c>
      <c r="I885">
        <v>467.615421</v>
      </c>
      <c r="J885">
        <v>28.50270762403999</v>
      </c>
      <c r="K885">
        <v>0</v>
      </c>
      <c r="L885">
        <v>0.853914437998718</v>
      </c>
      <c r="M885">
        <v>36.26</v>
      </c>
      <c r="N885">
        <v>22.87</v>
      </c>
    </row>
    <row r="886" spans="1:14">
      <c r="A886" s="1" t="s">
        <v>898</v>
      </c>
      <c r="B886">
        <f>HYPERLINK("https://www.suredividend.com/sure-analysis-research-database/","Dixie Group Inc.")</f>
        <v>0</v>
      </c>
      <c r="C886" t="s">
        <v>3223</v>
      </c>
      <c r="D886">
        <v>3</v>
      </c>
      <c r="E886">
        <v>0</v>
      </c>
      <c r="H886">
        <v>0</v>
      </c>
      <c r="I886">
        <v>44.377401</v>
      </c>
      <c r="J886">
        <v>31.33997245762712</v>
      </c>
      <c r="K886">
        <v>0</v>
      </c>
      <c r="L886">
        <v>1.651020519812622</v>
      </c>
      <c r="M886">
        <v>6.98</v>
      </c>
      <c r="N886">
        <v>2.37</v>
      </c>
    </row>
    <row r="887" spans="1:14">
      <c r="A887" s="1" t="s">
        <v>899</v>
      </c>
      <c r="B887">
        <f>HYPERLINK("https://www.suredividend.com/sure-analysis-research-database/","Dycom Industries, Inc.")</f>
        <v>0</v>
      </c>
      <c r="C887" t="s">
        <v>3220</v>
      </c>
      <c r="D887">
        <v>94.7</v>
      </c>
      <c r="E887">
        <v>0</v>
      </c>
      <c r="H887">
        <v>0</v>
      </c>
      <c r="I887">
        <v>2804.396272</v>
      </c>
      <c r="J887">
        <v>57.73451377074155</v>
      </c>
      <c r="K887">
        <v>0</v>
      </c>
      <c r="L887">
        <v>1.44347822553543</v>
      </c>
      <c r="M887">
        <v>105.28</v>
      </c>
      <c r="N887">
        <v>62.88</v>
      </c>
    </row>
    <row r="888" spans="1:14">
      <c r="A888" s="1" t="s">
        <v>900</v>
      </c>
      <c r="B888">
        <f>HYPERLINK("https://www.suredividend.com/sure-analysis-research-database/","Dyadic International Inc., DE")</f>
        <v>0</v>
      </c>
      <c r="C888" t="s">
        <v>3217</v>
      </c>
      <c r="D888">
        <v>2.57</v>
      </c>
      <c r="E888">
        <v>0</v>
      </c>
      <c r="H888">
        <v>0</v>
      </c>
      <c r="I888">
        <v>72.63888300000001</v>
      </c>
      <c r="J888">
        <v>0</v>
      </c>
      <c r="K888" t="s">
        <v>3219</v>
      </c>
      <c r="L888">
        <v>1.326772379852653</v>
      </c>
      <c r="M888">
        <v>6.89</v>
      </c>
      <c r="N888">
        <v>2.28</v>
      </c>
    </row>
    <row r="889" spans="1:14">
      <c r="A889" s="1" t="s">
        <v>901</v>
      </c>
      <c r="B889">
        <f>HYPERLINK("https://www.suredividend.com/sure-analysis-research-database/","DZS Inc")</f>
        <v>0</v>
      </c>
      <c r="C889" t="s">
        <v>3222</v>
      </c>
      <c r="D889">
        <v>12.54</v>
      </c>
      <c r="E889">
        <v>0</v>
      </c>
      <c r="H889">
        <v>0</v>
      </c>
      <c r="I889">
        <v>345.52706</v>
      </c>
      <c r="J889" t="s">
        <v>3219</v>
      </c>
      <c r="K889">
        <v>-0</v>
      </c>
      <c r="L889">
        <v>1.106751847492043</v>
      </c>
      <c r="M889">
        <v>23.48</v>
      </c>
      <c r="N889">
        <v>10.77</v>
      </c>
    </row>
    <row r="890" spans="1:14">
      <c r="A890" s="1" t="s">
        <v>902</v>
      </c>
      <c r="B890">
        <f>HYPERLINK("https://www.suredividend.com/sure-analysis-research-database/","Electronic Arts, Inc.")</f>
        <v>0</v>
      </c>
      <c r="C890" t="s">
        <v>3228</v>
      </c>
      <c r="D890">
        <v>122.6</v>
      </c>
      <c r="E890">
        <v>0.005535523402994001</v>
      </c>
      <c r="H890">
        <v>0.6786551692071231</v>
      </c>
      <c r="I890">
        <v>34477.850057</v>
      </c>
      <c r="J890">
        <v>53.87164071375</v>
      </c>
      <c r="K890">
        <v>0.3057005266698752</v>
      </c>
      <c r="L890">
        <v>0.461912448290376</v>
      </c>
      <c r="M890">
        <v>148.35</v>
      </c>
      <c r="N890">
        <v>117.58</v>
      </c>
    </row>
    <row r="891" spans="1:14">
      <c r="A891" s="1" t="s">
        <v>903</v>
      </c>
      <c r="B891">
        <f>HYPERLINK("https://www.suredividend.com/sure-analysis-EAF/","GrafTech International Ltd.")</f>
        <v>0</v>
      </c>
      <c r="C891" t="s">
        <v>3220</v>
      </c>
      <c r="D891">
        <v>9.75</v>
      </c>
      <c r="E891">
        <v>0.004102564102564103</v>
      </c>
      <c r="H891">
        <v>0.039943459971528</v>
      </c>
      <c r="I891">
        <v>2566.743153</v>
      </c>
      <c r="J891">
        <v>6.609695756186749</v>
      </c>
      <c r="K891">
        <v>0.02735853422707398</v>
      </c>
      <c r="L891">
        <v>1.535357697120791</v>
      </c>
      <c r="M891">
        <v>14.12</v>
      </c>
      <c r="N891">
        <v>9.109999999999999</v>
      </c>
    </row>
    <row r="892" spans="1:14">
      <c r="A892" s="1" t="s">
        <v>904</v>
      </c>
      <c r="B892">
        <f>HYPERLINK("https://www.suredividend.com/sure-analysis-EARN/","Ellington Residential Mortgage REIT")</f>
        <v>0</v>
      </c>
      <c r="C892" t="s">
        <v>3224</v>
      </c>
      <c r="D892">
        <v>9.369999999999999</v>
      </c>
      <c r="E892">
        <v>0.128068303094984</v>
      </c>
      <c r="F892">
        <v>0</v>
      </c>
      <c r="G892">
        <v>-0.2302323507791613</v>
      </c>
      <c r="H892">
        <v>1.145593593616952</v>
      </c>
      <c r="I892">
        <v>122.840007</v>
      </c>
      <c r="J892">
        <v>0</v>
      </c>
      <c r="K892" t="s">
        <v>3219</v>
      </c>
      <c r="L892">
        <v>0.5911464458636231</v>
      </c>
      <c r="M892">
        <v>12.5</v>
      </c>
      <c r="N892">
        <v>8.73</v>
      </c>
    </row>
    <row r="893" spans="1:14">
      <c r="A893" s="1" t="s">
        <v>905</v>
      </c>
      <c r="B893">
        <f>HYPERLINK("https://www.suredividend.com/sure-analysis-research-database/","Brinker International, Inc.")</f>
        <v>0</v>
      </c>
      <c r="C893" t="s">
        <v>3223</v>
      </c>
      <c r="D893">
        <v>36.02</v>
      </c>
      <c r="E893">
        <v>0</v>
      </c>
      <c r="H893">
        <v>0</v>
      </c>
      <c r="I893">
        <v>1606.461887</v>
      </c>
      <c r="J893">
        <v>10.73120833186373</v>
      </c>
      <c r="K893">
        <v>0</v>
      </c>
      <c r="L893">
        <v>1.594162986675234</v>
      </c>
      <c r="M893">
        <v>71.78</v>
      </c>
      <c r="N893">
        <v>30.2</v>
      </c>
    </row>
    <row r="894" spans="1:14">
      <c r="A894" s="1" t="s">
        <v>906</v>
      </c>
      <c r="B894">
        <f>HYPERLINK("https://www.suredividend.com/sure-analysis-research-database/","Eventbrite Inc")</f>
        <v>0</v>
      </c>
      <c r="C894" t="s">
        <v>3222</v>
      </c>
      <c r="D894">
        <v>13.37</v>
      </c>
      <c r="E894">
        <v>0</v>
      </c>
      <c r="H894">
        <v>0</v>
      </c>
      <c r="I894">
        <v>1159.765903</v>
      </c>
      <c r="J894" t="s">
        <v>3219</v>
      </c>
      <c r="K894">
        <v>-0</v>
      </c>
      <c r="L894">
        <v>1.870578717626117</v>
      </c>
      <c r="M894">
        <v>24</v>
      </c>
      <c r="N894">
        <v>12.6</v>
      </c>
    </row>
    <row r="895" spans="1:14">
      <c r="A895" s="1" t="s">
        <v>907</v>
      </c>
      <c r="B895">
        <f>HYPERLINK("https://www.suredividend.com/sure-analysis-EBAY/","EBay Inc.")</f>
        <v>0</v>
      </c>
      <c r="C895" t="s">
        <v>3223</v>
      </c>
      <c r="D895">
        <v>54.15</v>
      </c>
      <c r="E895">
        <v>0.01625115420129271</v>
      </c>
      <c r="H895">
        <v>0.7564417351146641</v>
      </c>
      <c r="I895">
        <v>31814.690747</v>
      </c>
      <c r="J895">
        <v>2.337940237158289</v>
      </c>
      <c r="K895">
        <v>0.03686363231552944</v>
      </c>
      <c r="L895">
        <v>0.871153294458424</v>
      </c>
      <c r="M895">
        <v>80.65000000000001</v>
      </c>
      <c r="N895">
        <v>49.33</v>
      </c>
    </row>
    <row r="896" spans="1:14">
      <c r="A896" s="1" t="s">
        <v>908</v>
      </c>
      <c r="B896">
        <f>HYPERLINK("https://www.suredividend.com/sure-analysis-research-database/","Ennis Inc.")</f>
        <v>0</v>
      </c>
      <c r="C896" t="s">
        <v>3220</v>
      </c>
      <c r="D896">
        <v>18.24</v>
      </c>
      <c r="E896">
        <v>0.053759018512659</v>
      </c>
      <c r="F896">
        <v>0.1111111111111112</v>
      </c>
      <c r="G896">
        <v>0.04563955259127317</v>
      </c>
      <c r="H896">
        <v>0.980564497670907</v>
      </c>
      <c r="I896">
        <v>474.581197</v>
      </c>
      <c r="J896">
        <v>17.2876729360338</v>
      </c>
      <c r="K896">
        <v>0.9338709501627686</v>
      </c>
      <c r="L896">
        <v>0.514859037608932</v>
      </c>
      <c r="M896">
        <v>21.02</v>
      </c>
      <c r="N896">
        <v>16.97</v>
      </c>
    </row>
    <row r="897" spans="1:14">
      <c r="A897" s="1" t="s">
        <v>909</v>
      </c>
      <c r="B897">
        <f>HYPERLINK("https://www.suredividend.com/sure-analysis-research-database/","Ebix Inc.")</f>
        <v>0</v>
      </c>
      <c r="C897" t="s">
        <v>3222</v>
      </c>
      <c r="D897">
        <v>32.11</v>
      </c>
      <c r="E897">
        <v>0.009306593090693</v>
      </c>
      <c r="F897">
        <v>0</v>
      </c>
      <c r="G897">
        <v>0</v>
      </c>
      <c r="H897">
        <v>0.2988347041421821</v>
      </c>
      <c r="I897">
        <v>992.353481</v>
      </c>
      <c r="J897">
        <v>14.55319823444008</v>
      </c>
      <c r="K897">
        <v>0.134610227091073</v>
      </c>
      <c r="L897">
        <v>2.277750367631439</v>
      </c>
      <c r="M897">
        <v>44.42</v>
      </c>
      <c r="N897">
        <v>24.14</v>
      </c>
    </row>
    <row r="898" spans="1:14">
      <c r="A898" s="1" t="s">
        <v>910</v>
      </c>
      <c r="B898">
        <f>HYPERLINK("https://www.suredividend.com/sure-analysis-research-database/","Eagle Bancorp Montana Inc")</f>
        <v>0</v>
      </c>
      <c r="C898" t="s">
        <v>3221</v>
      </c>
      <c r="D898">
        <v>21.55</v>
      </c>
      <c r="E898">
        <v>0.021755418439867</v>
      </c>
      <c r="F898">
        <v>0.2820512820512819</v>
      </c>
      <c r="G898">
        <v>0.09336207394327811</v>
      </c>
      <c r="H898">
        <v>0.468829267379144</v>
      </c>
      <c r="I898">
        <v>144.273177</v>
      </c>
      <c r="J898">
        <v>0</v>
      </c>
      <c r="K898" t="s">
        <v>3219</v>
      </c>
      <c r="L898">
        <v>0.257113774216144</v>
      </c>
      <c r="M898">
        <v>25.14</v>
      </c>
      <c r="N898">
        <v>21.34</v>
      </c>
    </row>
    <row r="899" spans="1:14">
      <c r="A899" s="1" t="s">
        <v>911</v>
      </c>
      <c r="B899">
        <f>HYPERLINK("https://www.suredividend.com/sure-analysis-research-database/","Emergent Biosolutions Inc")</f>
        <v>0</v>
      </c>
      <c r="C899" t="s">
        <v>3217</v>
      </c>
      <c r="D899">
        <v>41.4</v>
      </c>
      <c r="E899">
        <v>0</v>
      </c>
      <c r="H899">
        <v>0</v>
      </c>
      <c r="I899">
        <v>2227.26469</v>
      </c>
      <c r="J899">
        <v>9.646014246860112</v>
      </c>
      <c r="K899">
        <v>0</v>
      </c>
      <c r="L899">
        <v>0.7705586621230041</v>
      </c>
      <c r="M899">
        <v>75.23999999999999</v>
      </c>
      <c r="N899">
        <v>29.88</v>
      </c>
    </row>
    <row r="900" spans="1:14">
      <c r="A900" s="1" t="s">
        <v>912</v>
      </c>
      <c r="B900">
        <f>HYPERLINK("https://www.suredividend.com/sure-analysis-research-database/","Meridian Bancorp Inc")</f>
        <v>0</v>
      </c>
      <c r="C900" t="s">
        <v>3221</v>
      </c>
      <c r="D900">
        <v>24.15</v>
      </c>
      <c r="E900">
        <v>0</v>
      </c>
      <c r="H900">
        <v>0.380000002682209</v>
      </c>
      <c r="I900">
        <v>0</v>
      </c>
      <c r="J900">
        <v>0</v>
      </c>
      <c r="K900">
        <v>0.2533333351214727</v>
      </c>
    </row>
    <row r="901" spans="1:14">
      <c r="A901" s="1" t="s">
        <v>913</v>
      </c>
      <c r="B901">
        <f>HYPERLINK("https://www.suredividend.com/sure-analysis-EBTC/","Enterprise Bancorp, Inc.")</f>
        <v>0</v>
      </c>
      <c r="C901" t="s">
        <v>3221</v>
      </c>
      <c r="D901">
        <v>37.78</v>
      </c>
      <c r="E901">
        <v>0.02170460561143462</v>
      </c>
      <c r="H901">
        <v>0.7545081268825431</v>
      </c>
      <c r="I901">
        <v>455.386973</v>
      </c>
      <c r="J901">
        <v>0</v>
      </c>
      <c r="K901" t="s">
        <v>3219</v>
      </c>
      <c r="L901">
        <v>0.565187418340047</v>
      </c>
      <c r="M901">
        <v>46.24</v>
      </c>
      <c r="N901">
        <v>31.7</v>
      </c>
    </row>
    <row r="902" spans="1:14">
      <c r="A902" s="1" t="s">
        <v>914</v>
      </c>
      <c r="B902">
        <f>HYPERLINK("https://www.suredividend.com/sure-analysis-research-database/","Echo Global Logistics Inc")</f>
        <v>0</v>
      </c>
      <c r="C902" t="s">
        <v>3220</v>
      </c>
      <c r="D902">
        <v>48.24</v>
      </c>
      <c r="E902">
        <v>0</v>
      </c>
      <c r="H902">
        <v>0</v>
      </c>
      <c r="I902">
        <v>0</v>
      </c>
      <c r="J902">
        <v>0</v>
      </c>
      <c r="K902">
        <v>0</v>
      </c>
    </row>
    <row r="903" spans="1:14">
      <c r="A903" s="1" t="s">
        <v>915</v>
      </c>
      <c r="B903">
        <f>HYPERLINK("https://www.suredividend.com/sure-analysis-ECL/","Ecolab, Inc.")</f>
        <v>0</v>
      </c>
      <c r="C903" t="s">
        <v>3218</v>
      </c>
      <c r="D903">
        <v>176.6</v>
      </c>
      <c r="E903">
        <v>0.0115515288788222</v>
      </c>
      <c r="F903">
        <v>0.0625</v>
      </c>
      <c r="G903">
        <v>0.06628595902634737</v>
      </c>
      <c r="H903">
        <v>1.972162150428028</v>
      </c>
      <c r="I903">
        <v>50559.880311</v>
      </c>
      <c r="J903">
        <v>44.74721684290645</v>
      </c>
      <c r="K903">
        <v>0.5043892967846619</v>
      </c>
      <c r="L903">
        <v>1.068560055808431</v>
      </c>
      <c r="M903">
        <v>237.64</v>
      </c>
      <c r="N903">
        <v>154.35</v>
      </c>
    </row>
    <row r="904" spans="1:14">
      <c r="A904" s="1" t="s">
        <v>916</v>
      </c>
      <c r="B904">
        <f>HYPERLINK("https://www.suredividend.com/sure-analysis-research-database/","US Ecology Inc.")</f>
        <v>0</v>
      </c>
      <c r="C904" t="s">
        <v>3220</v>
      </c>
      <c r="D904">
        <v>47.94</v>
      </c>
      <c r="E904">
        <v>0</v>
      </c>
      <c r="H904">
        <v>0</v>
      </c>
      <c r="I904">
        <v>1510.700813</v>
      </c>
      <c r="J904">
        <v>283.0617973693086</v>
      </c>
      <c r="K904">
        <v>0</v>
      </c>
      <c r="L904">
        <v>1.146444831618857</v>
      </c>
      <c r="M904">
        <v>48.03</v>
      </c>
      <c r="N904">
        <v>26.26</v>
      </c>
    </row>
    <row r="905" spans="1:14">
      <c r="A905" s="1" t="s">
        <v>917</v>
      </c>
      <c r="B905">
        <f>HYPERLINK("https://www.suredividend.com/sure-analysis-research-database/","ChannelAdvisor Corp")</f>
        <v>0</v>
      </c>
      <c r="C905" t="s">
        <v>3222</v>
      </c>
      <c r="D905">
        <v>15.01</v>
      </c>
      <c r="E905">
        <v>0</v>
      </c>
      <c r="H905">
        <v>0</v>
      </c>
      <c r="I905">
        <v>457.077976</v>
      </c>
      <c r="J905">
        <v>9.680778897384306</v>
      </c>
      <c r="K905">
        <v>0</v>
      </c>
      <c r="L905">
        <v>1.435057894407734</v>
      </c>
      <c r="M905">
        <v>29.42</v>
      </c>
      <c r="N905">
        <v>15</v>
      </c>
    </row>
    <row r="906" spans="1:14">
      <c r="A906" s="1" t="s">
        <v>918</v>
      </c>
      <c r="B906">
        <f>HYPERLINK("https://www.suredividend.com/sure-analysis-research-database/","Encore Capital Group, Inc.")</f>
        <v>0</v>
      </c>
      <c r="C906" t="s">
        <v>3221</v>
      </c>
      <c r="D906">
        <v>59.4</v>
      </c>
      <c r="E906">
        <v>0</v>
      </c>
      <c r="H906">
        <v>0</v>
      </c>
      <c r="I906">
        <v>1457.150726</v>
      </c>
      <c r="J906">
        <v>4.154006550507153</v>
      </c>
      <c r="K906">
        <v>0</v>
      </c>
      <c r="L906">
        <v>0.429817177949849</v>
      </c>
      <c r="M906">
        <v>72.67</v>
      </c>
      <c r="N906">
        <v>37.77</v>
      </c>
    </row>
    <row r="907" spans="1:14">
      <c r="A907" s="1" t="s">
        <v>919</v>
      </c>
      <c r="B907">
        <f>HYPERLINK("https://www.suredividend.com/sure-analysis-ED/","Consolidated Edison, Inc.")</f>
        <v>0</v>
      </c>
      <c r="C907" t="s">
        <v>3227</v>
      </c>
      <c r="D907">
        <v>98.03</v>
      </c>
      <c r="E907">
        <v>0.03223503009282873</v>
      </c>
      <c r="F907">
        <v>0.01935483870967736</v>
      </c>
      <c r="G907">
        <v>0.02743794311987546</v>
      </c>
      <c r="H907">
        <v>3.070242316111501</v>
      </c>
      <c r="I907">
        <v>34721.505676</v>
      </c>
      <c r="J907">
        <v>25.79606662374442</v>
      </c>
      <c r="K907">
        <v>0.7974655366523379</v>
      </c>
      <c r="L907">
        <v>0.155366331057276</v>
      </c>
      <c r="M907">
        <v>98.65000000000001</v>
      </c>
      <c r="N907">
        <v>69.11</v>
      </c>
    </row>
    <row r="908" spans="1:14">
      <c r="A908" s="1" t="s">
        <v>920</v>
      </c>
      <c r="B908">
        <f>HYPERLINK("https://www.suredividend.com/sure-analysis-research-database/","Editas Medicine Inc")</f>
        <v>0</v>
      </c>
      <c r="C908" t="s">
        <v>3217</v>
      </c>
      <c r="D908">
        <v>16.67</v>
      </c>
      <c r="E908">
        <v>0</v>
      </c>
      <c r="H908">
        <v>0</v>
      </c>
      <c r="I908">
        <v>1142.211247</v>
      </c>
      <c r="J908" t="s">
        <v>3219</v>
      </c>
      <c r="K908">
        <v>-0</v>
      </c>
      <c r="L908">
        <v>1.98219847010976</v>
      </c>
      <c r="M908">
        <v>73.03</v>
      </c>
      <c r="N908">
        <v>13.25</v>
      </c>
    </row>
    <row r="909" spans="1:14">
      <c r="A909" s="1" t="s">
        <v>921</v>
      </c>
      <c r="B909">
        <f>HYPERLINK("https://www.suredividend.com/sure-analysis-research-database/","Educational Development Corp.")</f>
        <v>0</v>
      </c>
      <c r="C909" t="s">
        <v>3228</v>
      </c>
      <c r="D909">
        <v>7.4</v>
      </c>
      <c r="E909">
        <v>0.05310393416648201</v>
      </c>
      <c r="H909">
        <v>0.392969112831968</v>
      </c>
      <c r="I909">
        <v>64.433628</v>
      </c>
      <c r="J909">
        <v>0</v>
      </c>
      <c r="K909" t="s">
        <v>3219</v>
      </c>
      <c r="L909">
        <v>0.286839501740442</v>
      </c>
      <c r="M909">
        <v>17.85</v>
      </c>
      <c r="N909">
        <v>6.96</v>
      </c>
    </row>
    <row r="910" spans="1:14">
      <c r="A910" s="1" t="s">
        <v>922</v>
      </c>
      <c r="B910">
        <f>HYPERLINK("https://www.suredividend.com/sure-analysis-research-database/","Excelerate Energy Inc")</f>
        <v>0</v>
      </c>
      <c r="C910" t="s">
        <v>3227</v>
      </c>
      <c r="D910">
        <v>28</v>
      </c>
      <c r="E910">
        <v>0</v>
      </c>
      <c r="H910">
        <v>0</v>
      </c>
      <c r="I910">
        <v>0</v>
      </c>
      <c r="J910">
        <v>0</v>
      </c>
      <c r="K910" t="s">
        <v>3219</v>
      </c>
      <c r="M910">
        <v>28.5</v>
      </c>
      <c r="N910">
        <v>26.55</v>
      </c>
    </row>
    <row r="911" spans="1:14">
      <c r="A911" s="1" t="s">
        <v>923</v>
      </c>
      <c r="B911">
        <f>HYPERLINK("https://www.suredividend.com/sure-analysis-research-database/","Euronet Worldwide Inc")</f>
        <v>0</v>
      </c>
      <c r="C911" t="s">
        <v>3222</v>
      </c>
      <c r="D911">
        <v>132.92</v>
      </c>
      <c r="E911">
        <v>0</v>
      </c>
      <c r="H911">
        <v>0</v>
      </c>
      <c r="I911">
        <v>6802.984368</v>
      </c>
      <c r="J911">
        <v>96.18652520932598</v>
      </c>
      <c r="K911">
        <v>0</v>
      </c>
      <c r="L911">
        <v>1.17077555640142</v>
      </c>
      <c r="M911">
        <v>159.32</v>
      </c>
      <c r="N911">
        <v>96.3</v>
      </c>
    </row>
    <row r="912" spans="1:14">
      <c r="A912" s="1" t="s">
        <v>924</v>
      </c>
      <c r="B912">
        <f>HYPERLINK("https://www.suredividend.com/sure-analysis-research-database/","Emerald Holding Inc")</f>
        <v>0</v>
      </c>
      <c r="C912" t="s">
        <v>3228</v>
      </c>
      <c r="D912">
        <v>3.01</v>
      </c>
      <c r="E912">
        <v>0</v>
      </c>
      <c r="H912">
        <v>0</v>
      </c>
      <c r="I912">
        <v>211.092757</v>
      </c>
      <c r="J912" t="s">
        <v>3219</v>
      </c>
      <c r="K912">
        <v>-0</v>
      </c>
      <c r="L912">
        <v>1.91146014586677</v>
      </c>
      <c r="M912">
        <v>5.99</v>
      </c>
      <c r="N912">
        <v>2.69</v>
      </c>
    </row>
    <row r="913" spans="1:14">
      <c r="A913" s="1" t="s">
        <v>925</v>
      </c>
      <c r="B913">
        <f>HYPERLINK("https://www.suredividend.com/sure-analysis-EFC/","Ellington Financial Inc")</f>
        <v>0</v>
      </c>
      <c r="C913" t="s">
        <v>3221</v>
      </c>
      <c r="D913">
        <v>17.11</v>
      </c>
      <c r="E913">
        <v>0.1052016364699006</v>
      </c>
      <c r="F913">
        <v>0</v>
      </c>
      <c r="G913">
        <v>0.1075663432482901</v>
      </c>
      <c r="H913">
        <v>1.709952249118811</v>
      </c>
      <c r="I913">
        <v>983.43597</v>
      </c>
      <c r="J913">
        <v>0</v>
      </c>
      <c r="K913" t="s">
        <v>3219</v>
      </c>
      <c r="L913">
        <v>0.549932531454525</v>
      </c>
      <c r="M913">
        <v>18.03</v>
      </c>
      <c r="N913">
        <v>15.15</v>
      </c>
    </row>
    <row r="914" spans="1:14">
      <c r="A914" s="1" t="s">
        <v>926</v>
      </c>
      <c r="B914">
        <f>HYPERLINK("https://www.suredividend.com/sure-analysis-research-database/","Energy Focus Inc")</f>
        <v>0</v>
      </c>
      <c r="C914" t="s">
        <v>3223</v>
      </c>
      <c r="D914">
        <v>1.18</v>
      </c>
      <c r="E914">
        <v>0</v>
      </c>
      <c r="H914">
        <v>0</v>
      </c>
      <c r="I914">
        <v>7.615457</v>
      </c>
      <c r="J914">
        <v>0</v>
      </c>
      <c r="K914" t="s">
        <v>3219</v>
      </c>
      <c r="L914">
        <v>0.9939284802112701</v>
      </c>
      <c r="M914">
        <v>8.17</v>
      </c>
      <c r="N914">
        <v>1.14</v>
      </c>
    </row>
    <row r="915" spans="1:14">
      <c r="A915" s="1" t="s">
        <v>927</v>
      </c>
      <c r="B915">
        <f>HYPERLINK("https://www.suredividend.com/sure-analysis-research-database/","Enterprise Financial Services Corp.")</f>
        <v>0</v>
      </c>
      <c r="C915" t="s">
        <v>3221</v>
      </c>
      <c r="D915">
        <v>45.58</v>
      </c>
      <c r="E915">
        <v>0.017007724351005</v>
      </c>
      <c r="F915">
        <v>0.1666666666666667</v>
      </c>
      <c r="G915">
        <v>0.1380604263098537</v>
      </c>
      <c r="H915">
        <v>0.775212075918831</v>
      </c>
      <c r="I915">
        <v>1720.079352</v>
      </c>
      <c r="J915">
        <v>12.92758146781406</v>
      </c>
      <c r="K915">
        <v>0.2008321440204225</v>
      </c>
      <c r="L915">
        <v>0.7811753802819781</v>
      </c>
      <c r="M915">
        <v>51.28</v>
      </c>
      <c r="N915">
        <v>41.69</v>
      </c>
    </row>
    <row r="916" spans="1:14">
      <c r="A916" s="1" t="s">
        <v>928</v>
      </c>
      <c r="B916">
        <f>HYPERLINK("https://www.suredividend.com/sure-analysis-research-database/","Equifax, Inc.")</f>
        <v>0</v>
      </c>
      <c r="C916" t="s">
        <v>3220</v>
      </c>
      <c r="D916">
        <v>216.38</v>
      </c>
      <c r="E916">
        <v>0.007192079935980001</v>
      </c>
      <c r="F916">
        <v>0</v>
      </c>
      <c r="G916">
        <v>0</v>
      </c>
      <c r="H916">
        <v>1.556222256547551</v>
      </c>
      <c r="I916">
        <v>26595.089234</v>
      </c>
      <c r="J916">
        <v>35.73648109905939</v>
      </c>
      <c r="K916">
        <v>0.2585086804896264</v>
      </c>
      <c r="L916">
        <v>1.108006366385292</v>
      </c>
      <c r="M916">
        <v>299.56</v>
      </c>
      <c r="N916">
        <v>187.32</v>
      </c>
    </row>
    <row r="917" spans="1:14">
      <c r="A917" s="1" t="s">
        <v>929</v>
      </c>
      <c r="B917">
        <f>HYPERLINK("https://www.suredividend.com/sure-analysis-research-database/","eGain Corp")</f>
        <v>0</v>
      </c>
      <c r="C917" t="s">
        <v>3222</v>
      </c>
      <c r="D917">
        <v>11.05</v>
      </c>
      <c r="E917">
        <v>0</v>
      </c>
      <c r="H917">
        <v>0</v>
      </c>
      <c r="I917">
        <v>348.004877</v>
      </c>
      <c r="J917">
        <v>114.7016732696111</v>
      </c>
      <c r="K917">
        <v>0</v>
      </c>
      <c r="L917">
        <v>0.7743248568762611</v>
      </c>
      <c r="M917">
        <v>13.7</v>
      </c>
      <c r="N917">
        <v>8.5</v>
      </c>
    </row>
    <row r="918" spans="1:14">
      <c r="A918" s="1" t="s">
        <v>930</v>
      </c>
      <c r="B918">
        <f>HYPERLINK("https://www.suredividend.com/sure-analysis-research-database/","Eagle Bancorp Inc (MD)")</f>
        <v>0</v>
      </c>
      <c r="C918" t="s">
        <v>3221</v>
      </c>
      <c r="D918">
        <v>54.14</v>
      </c>
      <c r="E918">
        <v>0.032951518211573</v>
      </c>
      <c r="H918">
        <v>1.78399519597457</v>
      </c>
      <c r="I918">
        <v>1729.825949</v>
      </c>
      <c r="J918">
        <v>9.790119185017913</v>
      </c>
      <c r="K918">
        <v>0.3231875355026395</v>
      </c>
      <c r="L918">
        <v>0.7760835397782301</v>
      </c>
      <c r="M918">
        <v>63.37</v>
      </c>
      <c r="N918">
        <v>49.88</v>
      </c>
    </row>
    <row r="919" spans="1:14">
      <c r="A919" s="1" t="s">
        <v>931</v>
      </c>
      <c r="B919">
        <f>HYPERLINK("https://www.suredividend.com/sure-analysis-research-database/","8X8 Inc.")</f>
        <v>0</v>
      </c>
      <c r="C919" t="s">
        <v>3222</v>
      </c>
      <c r="D919">
        <v>10.99</v>
      </c>
      <c r="E919">
        <v>0</v>
      </c>
      <c r="H919">
        <v>0</v>
      </c>
      <c r="I919">
        <v>1300.458613</v>
      </c>
      <c r="J919" t="s">
        <v>3219</v>
      </c>
      <c r="K919">
        <v>-0</v>
      </c>
      <c r="L919">
        <v>1.524363260197861</v>
      </c>
      <c r="M919">
        <v>35.25</v>
      </c>
      <c r="N919">
        <v>10.01</v>
      </c>
    </row>
    <row r="920" spans="1:14">
      <c r="A920" s="1" t="s">
        <v>932</v>
      </c>
      <c r="B920">
        <f>HYPERLINK("https://www.suredividend.com/sure-analysis-research-database/","Eagle Bulk Shipping Inc")</f>
        <v>0</v>
      </c>
      <c r="C920" t="s">
        <v>3220</v>
      </c>
      <c r="D920">
        <v>68.06</v>
      </c>
      <c r="E920">
        <v>0.05859190136542301</v>
      </c>
      <c r="H920">
        <v>3.987764806930696</v>
      </c>
      <c r="I920">
        <v>927.87988</v>
      </c>
      <c r="J920">
        <v>5.018336931211176</v>
      </c>
      <c r="K920">
        <v>0.3382328080517978</v>
      </c>
      <c r="L920">
        <v>0.803216113618607</v>
      </c>
      <c r="M920">
        <v>70.98</v>
      </c>
      <c r="N920">
        <v>33.36</v>
      </c>
    </row>
    <row r="921" spans="1:14">
      <c r="A921" s="1" t="s">
        <v>933</v>
      </c>
      <c r="B921">
        <f>HYPERLINK("https://www.suredividend.com/sure-analysis-research-database/","NIC Inc")</f>
        <v>0</v>
      </c>
      <c r="C921" t="s">
        <v>3222</v>
      </c>
      <c r="D921">
        <v>34</v>
      </c>
      <c r="E921">
        <v>0</v>
      </c>
      <c r="H921">
        <v>0.360000014305114</v>
      </c>
      <c r="I921">
        <v>0</v>
      </c>
      <c r="J921">
        <v>0</v>
      </c>
      <c r="K921">
        <v>0.3564356577278356</v>
      </c>
    </row>
    <row r="922" spans="1:14">
      <c r="A922" s="1" t="s">
        <v>934</v>
      </c>
      <c r="B922">
        <f>HYPERLINK("https://www.suredividend.com/sure-analysis-EGP/","Eastgroup Properties, Inc.")</f>
        <v>0</v>
      </c>
      <c r="C922" t="s">
        <v>3224</v>
      </c>
      <c r="D922">
        <v>199.15</v>
      </c>
      <c r="E922">
        <v>0.02209389907105197</v>
      </c>
      <c r="F922">
        <v>0.3924050632911393</v>
      </c>
      <c r="G922">
        <v>0.1215023788961798</v>
      </c>
      <c r="H922">
        <v>3.862873796695296</v>
      </c>
      <c r="I922">
        <v>8214.826972000001</v>
      </c>
      <c r="J922">
        <v>52.13876230031036</v>
      </c>
      <c r="K922">
        <v>0.9904804606911015</v>
      </c>
      <c r="L922">
        <v>0.7635587663163961</v>
      </c>
      <c r="M922">
        <v>228.62</v>
      </c>
      <c r="N922">
        <v>145.7</v>
      </c>
    </row>
    <row r="923" spans="1:14">
      <c r="A923" s="1" t="s">
        <v>935</v>
      </c>
      <c r="B923">
        <f>HYPERLINK("https://www.suredividend.com/sure-analysis-research-database/","Eagle Pharmaceuticals Inc")</f>
        <v>0</v>
      </c>
      <c r="C923" t="s">
        <v>3217</v>
      </c>
      <c r="D923">
        <v>50.44</v>
      </c>
      <c r="E923">
        <v>0</v>
      </c>
      <c r="H923">
        <v>0</v>
      </c>
      <c r="I923">
        <v>640.441774</v>
      </c>
      <c r="J923">
        <v>0</v>
      </c>
      <c r="K923" t="s">
        <v>3219</v>
      </c>
      <c r="L923">
        <v>0.305718489463884</v>
      </c>
      <c r="M923">
        <v>58.25</v>
      </c>
      <c r="N923">
        <v>36.48</v>
      </c>
    </row>
    <row r="924" spans="1:14">
      <c r="A924" s="1" t="s">
        <v>936</v>
      </c>
      <c r="B924">
        <f>HYPERLINK("https://www.suredividend.com/sure-analysis-research-database/","VAALCO Energy, Inc.")</f>
        <v>0</v>
      </c>
      <c r="C924" t="s">
        <v>3226</v>
      </c>
      <c r="D924">
        <v>7.4</v>
      </c>
      <c r="E924">
        <v>0.004391891730798</v>
      </c>
      <c r="H924">
        <v>0.032499998807907</v>
      </c>
      <c r="I924">
        <v>434.150807</v>
      </c>
      <c r="J924">
        <v>5.393177729192547</v>
      </c>
      <c r="K924">
        <v>0.0237226268670854</v>
      </c>
      <c r="L924">
        <v>0.930993015073704</v>
      </c>
      <c r="M924">
        <v>7.73</v>
      </c>
      <c r="N924">
        <v>2.05</v>
      </c>
    </row>
    <row r="925" spans="1:14">
      <c r="A925" s="1" t="s">
        <v>937</v>
      </c>
      <c r="B925">
        <f>HYPERLINK("https://www.suredividend.com/sure-analysis-research-database/","Encompass Health Corp")</f>
        <v>0</v>
      </c>
      <c r="C925" t="s">
        <v>3217</v>
      </c>
      <c r="D925">
        <v>74.28</v>
      </c>
      <c r="E925">
        <v>0.01498803211362</v>
      </c>
      <c r="H925">
        <v>1.113311025399714</v>
      </c>
      <c r="I925">
        <v>7386.27061</v>
      </c>
      <c r="J925">
        <v>17.98021083300877</v>
      </c>
      <c r="K925">
        <v>0.2715392744877352</v>
      </c>
      <c r="L925">
        <v>0.6102363643310771</v>
      </c>
      <c r="M925">
        <v>88.31</v>
      </c>
      <c r="N925">
        <v>55.85</v>
      </c>
    </row>
    <row r="926" spans="1:14">
      <c r="A926" s="1" t="s">
        <v>938</v>
      </c>
      <c r="B926">
        <f>HYPERLINK("https://www.suredividend.com/sure-analysis-research-database/","eHealth Inc")</f>
        <v>0</v>
      </c>
      <c r="C926" t="s">
        <v>3221</v>
      </c>
      <c r="D926">
        <v>9.4</v>
      </c>
      <c r="E926">
        <v>0</v>
      </c>
      <c r="H926">
        <v>0</v>
      </c>
      <c r="I926">
        <v>251.675196</v>
      </c>
      <c r="J926" t="s">
        <v>3219</v>
      </c>
      <c r="K926">
        <v>-0</v>
      </c>
      <c r="L926">
        <v>1.692464495421935</v>
      </c>
      <c r="M926">
        <v>78</v>
      </c>
      <c r="N926">
        <v>9.279999999999999</v>
      </c>
    </row>
    <row r="927" spans="1:14">
      <c r="A927" s="1" t="s">
        <v>939</v>
      </c>
      <c r="B927">
        <f>HYPERLINK("https://www.suredividend.com/sure-analysis-research-database/","Eidos Therapeutics Inc")</f>
        <v>0</v>
      </c>
      <c r="C927" t="s">
        <v>3217</v>
      </c>
      <c r="D927">
        <v>122.21</v>
      </c>
      <c r="E927">
        <v>0</v>
      </c>
      <c r="H927">
        <v>0</v>
      </c>
      <c r="I927">
        <v>0</v>
      </c>
      <c r="J927">
        <v>0</v>
      </c>
      <c r="K927" t="s">
        <v>3219</v>
      </c>
    </row>
    <row r="928" spans="1:14">
      <c r="A928" s="1" t="s">
        <v>940</v>
      </c>
      <c r="B928">
        <f>HYPERLINK("https://www.suredividend.com/sure-analysis-research-database/","Employers Holdings Inc")</f>
        <v>0</v>
      </c>
      <c r="C928" t="s">
        <v>3221</v>
      </c>
      <c r="D928">
        <v>41.29</v>
      </c>
      <c r="E928">
        <v>0.023994791464081</v>
      </c>
      <c r="F928">
        <v>0</v>
      </c>
      <c r="G928">
        <v>0.1075663432482901</v>
      </c>
      <c r="H928">
        <v>0.9907449395519071</v>
      </c>
      <c r="I928">
        <v>1145.319733</v>
      </c>
      <c r="J928">
        <v>9.600333054568315</v>
      </c>
      <c r="K928">
        <v>0.237588714520841</v>
      </c>
      <c r="L928">
        <v>0.525975757758335</v>
      </c>
      <c r="M928">
        <v>43.02</v>
      </c>
      <c r="N928">
        <v>35.78</v>
      </c>
    </row>
    <row r="929" spans="1:14">
      <c r="A929" s="1" t="s">
        <v>941</v>
      </c>
      <c r="B929">
        <f>HYPERLINK("https://www.suredividend.com/sure-analysis-research-database/","Endurance International Group Holdings Inc")</f>
        <v>0</v>
      </c>
      <c r="C929" t="s">
        <v>3222</v>
      </c>
      <c r="D929">
        <v>9.49</v>
      </c>
      <c r="E929">
        <v>0</v>
      </c>
      <c r="H929">
        <v>0</v>
      </c>
      <c r="I929">
        <v>0</v>
      </c>
      <c r="J929">
        <v>0</v>
      </c>
      <c r="K929" t="s">
        <v>3219</v>
      </c>
    </row>
    <row r="930" spans="1:14">
      <c r="A930" s="1" t="s">
        <v>942</v>
      </c>
      <c r="B930">
        <f>HYPERLINK("https://www.suredividend.com/sure-analysis-research-database/","Eiger BioPharmaceuticals Inc")</f>
        <v>0</v>
      </c>
      <c r="C930" t="s">
        <v>3217</v>
      </c>
      <c r="D930">
        <v>7.05</v>
      </c>
      <c r="E930">
        <v>0</v>
      </c>
      <c r="H930">
        <v>0</v>
      </c>
      <c r="I930">
        <v>244.211182</v>
      </c>
      <c r="J930">
        <v>0</v>
      </c>
      <c r="K930" t="s">
        <v>3219</v>
      </c>
      <c r="L930">
        <v>1.206631726019224</v>
      </c>
      <c r="M930">
        <v>10.02</v>
      </c>
      <c r="N930">
        <v>3.53</v>
      </c>
    </row>
    <row r="931" spans="1:14">
      <c r="A931" s="1" t="s">
        <v>943</v>
      </c>
      <c r="B931">
        <f>HYPERLINK("https://www.suredividend.com/sure-analysis-EIX/","Edison International")</f>
        <v>0</v>
      </c>
      <c r="C931" t="s">
        <v>3227</v>
      </c>
      <c r="D931">
        <v>71.84</v>
      </c>
      <c r="E931">
        <v>0.03897550111358574</v>
      </c>
      <c r="F931">
        <v>0.05660377358490587</v>
      </c>
      <c r="G931">
        <v>0.05230021589107769</v>
      </c>
      <c r="H931">
        <v>2.683726307141913</v>
      </c>
      <c r="I931">
        <v>27356.398002</v>
      </c>
      <c r="J931">
        <v>36.04268511494072</v>
      </c>
      <c r="K931">
        <v>1.341863153570956</v>
      </c>
      <c r="L931">
        <v>0.375642059369988</v>
      </c>
      <c r="M931">
        <v>72.64</v>
      </c>
      <c r="N931">
        <v>52.35</v>
      </c>
    </row>
    <row r="932" spans="1:14">
      <c r="A932" s="1" t="s">
        <v>944</v>
      </c>
      <c r="B932">
        <f>HYPERLINK("https://www.suredividend.com/sure-analysis-research-database/","Ekso Bionics Holdings Inc")</f>
        <v>0</v>
      </c>
      <c r="C932" t="s">
        <v>3217</v>
      </c>
      <c r="D932">
        <v>2.7</v>
      </c>
      <c r="E932">
        <v>0</v>
      </c>
      <c r="H932">
        <v>0</v>
      </c>
      <c r="I932">
        <v>34.270881</v>
      </c>
      <c r="J932">
        <v>0</v>
      </c>
      <c r="K932" t="s">
        <v>3219</v>
      </c>
      <c r="L932">
        <v>0.6772156375761681</v>
      </c>
      <c r="M932">
        <v>6.13</v>
      </c>
      <c r="N932">
        <v>2.2</v>
      </c>
    </row>
    <row r="933" spans="1:14">
      <c r="A933" s="1" t="s">
        <v>945</v>
      </c>
      <c r="B933">
        <f>HYPERLINK("https://www.suredividend.com/sure-analysis-research-database/","Estee Lauder Cos., Inc.")</f>
        <v>0</v>
      </c>
      <c r="C933" t="s">
        <v>3225</v>
      </c>
      <c r="D933">
        <v>263.87</v>
      </c>
      <c r="E933">
        <v>0.008541641131100002</v>
      </c>
      <c r="H933">
        <v>2.253882845263393</v>
      </c>
      <c r="I933">
        <v>95417.241201</v>
      </c>
      <c r="J933">
        <v>29.32306121725876</v>
      </c>
      <c r="K933">
        <v>0.2546760277133778</v>
      </c>
      <c r="L933">
        <v>1.371116771889225</v>
      </c>
      <c r="M933">
        <v>373.43</v>
      </c>
      <c r="N933">
        <v>248.42</v>
      </c>
    </row>
    <row r="934" spans="1:14">
      <c r="A934" s="1" t="s">
        <v>946</v>
      </c>
      <c r="B934">
        <f>HYPERLINK("https://www.suredividend.com/sure-analysis-research-database/","Elanco Animal Health Inc")</f>
        <v>0</v>
      </c>
      <c r="C934" t="s">
        <v>3217</v>
      </c>
      <c r="D934">
        <v>26.25</v>
      </c>
      <c r="E934">
        <v>0</v>
      </c>
      <c r="H934">
        <v>0</v>
      </c>
      <c r="I934">
        <v>12421.15224</v>
      </c>
      <c r="J934" t="s">
        <v>3219</v>
      </c>
      <c r="K934">
        <v>-0</v>
      </c>
      <c r="L934">
        <v>0.9329033060095091</v>
      </c>
      <c r="M934">
        <v>37.49</v>
      </c>
      <c r="N934">
        <v>24.15</v>
      </c>
    </row>
    <row r="935" spans="1:14">
      <c r="A935" s="1" t="s">
        <v>947</v>
      </c>
      <c r="B935">
        <f>HYPERLINK("https://www.suredividend.com/sure-analysis-research-database/","e.l.f. Beauty Inc")</f>
        <v>0</v>
      </c>
      <c r="C935" t="s">
        <v>3225</v>
      </c>
      <c r="D935">
        <v>25.6</v>
      </c>
      <c r="E935">
        <v>0</v>
      </c>
      <c r="H935">
        <v>0</v>
      </c>
      <c r="I935">
        <v>1334.289485</v>
      </c>
      <c r="J935">
        <v>66.08665105497771</v>
      </c>
      <c r="K935">
        <v>0</v>
      </c>
      <c r="L935">
        <v>1.392599676266152</v>
      </c>
      <c r="M935">
        <v>33.63</v>
      </c>
      <c r="N935">
        <v>22.22</v>
      </c>
    </row>
    <row r="936" spans="1:14">
      <c r="A936" s="1" t="s">
        <v>948</v>
      </c>
      <c r="B936">
        <f>HYPERLINK("https://www.suredividend.com/sure-analysis-research-database/","Electromed Inc.")</f>
        <v>0</v>
      </c>
      <c r="C936" t="s">
        <v>3217</v>
      </c>
      <c r="D936">
        <v>12.75</v>
      </c>
      <c r="E936">
        <v>0</v>
      </c>
      <c r="H936">
        <v>0</v>
      </c>
      <c r="I936">
        <v>108.800072</v>
      </c>
      <c r="J936">
        <v>0</v>
      </c>
      <c r="K936" t="s">
        <v>3219</v>
      </c>
      <c r="L936">
        <v>0.475937597616271</v>
      </c>
      <c r="M936">
        <v>13.85</v>
      </c>
      <c r="N936">
        <v>8.98</v>
      </c>
    </row>
    <row r="937" spans="1:14">
      <c r="A937" s="1" t="s">
        <v>949</v>
      </c>
      <c r="B937">
        <f>HYPERLINK("https://www.suredividend.com/sure-analysis-research-database/","Eloxx Pharmaceuticals Inc")</f>
        <v>0</v>
      </c>
      <c r="C937" t="s">
        <v>3217</v>
      </c>
      <c r="D937">
        <v>0.4524</v>
      </c>
      <c r="E937">
        <v>0</v>
      </c>
      <c r="H937">
        <v>0</v>
      </c>
      <c r="I937">
        <v>39.201857</v>
      </c>
      <c r="J937">
        <v>0</v>
      </c>
      <c r="K937" t="s">
        <v>3219</v>
      </c>
      <c r="L937">
        <v>0.911074003489147</v>
      </c>
      <c r="M937">
        <v>2.59</v>
      </c>
      <c r="N937">
        <v>0.3741</v>
      </c>
    </row>
    <row r="938" spans="1:14">
      <c r="A938" s="1" t="s">
        <v>950</v>
      </c>
      <c r="B938">
        <f>HYPERLINK("https://www.suredividend.com/sure-analysis-ELS/","Equity Lifestyle Properties Inc.")</f>
        <v>0</v>
      </c>
      <c r="C938" t="s">
        <v>3224</v>
      </c>
      <c r="D938">
        <v>78.73999999999999</v>
      </c>
      <c r="E938">
        <v>0.02082804165608331</v>
      </c>
      <c r="F938">
        <v>0.1310344827586207</v>
      </c>
      <c r="G938">
        <v>-0.03403398461361251</v>
      </c>
      <c r="H938">
        <v>1.486851471913266</v>
      </c>
      <c r="I938">
        <v>14646.777163</v>
      </c>
      <c r="J938">
        <v>55.80532482065975</v>
      </c>
      <c r="K938">
        <v>1.093273141112696</v>
      </c>
      <c r="L938">
        <v>0.7334749620574561</v>
      </c>
      <c r="M938">
        <v>88.2</v>
      </c>
      <c r="N938">
        <v>65.79000000000001</v>
      </c>
    </row>
    <row r="939" spans="1:14">
      <c r="A939" s="1" t="s">
        <v>951</v>
      </c>
      <c r="B939">
        <f>HYPERLINK("https://www.suredividend.com/sure-analysis-research-database/","Electro-Sensors, Inc.")</f>
        <v>0</v>
      </c>
      <c r="C939" t="s">
        <v>3222</v>
      </c>
      <c r="D939">
        <v>5.035</v>
      </c>
      <c r="E939">
        <v>0</v>
      </c>
      <c r="H939">
        <v>0</v>
      </c>
      <c r="I939">
        <v>17.096448</v>
      </c>
      <c r="J939">
        <v>0</v>
      </c>
      <c r="K939" t="s">
        <v>3219</v>
      </c>
      <c r="L939">
        <v>0.284367932096468</v>
      </c>
      <c r="M939">
        <v>6.76</v>
      </c>
      <c r="N939">
        <v>4.05</v>
      </c>
    </row>
    <row r="940" spans="1:14">
      <c r="A940" s="1" t="s">
        <v>952</v>
      </c>
      <c r="B940">
        <f>HYPERLINK("https://www.suredividend.com/sure-analysis-research-database/","Elevate Credit Inc")</f>
        <v>0</v>
      </c>
      <c r="C940" t="s">
        <v>3221</v>
      </c>
      <c r="D940">
        <v>2.98</v>
      </c>
      <c r="E940">
        <v>0</v>
      </c>
      <c r="H940">
        <v>0</v>
      </c>
      <c r="I940">
        <v>93.07499</v>
      </c>
      <c r="J940">
        <v>0</v>
      </c>
      <c r="K940" t="s">
        <v>3219</v>
      </c>
      <c r="L940">
        <v>1.219099660580374</v>
      </c>
      <c r="M940">
        <v>4.26</v>
      </c>
      <c r="N940">
        <v>2.54</v>
      </c>
    </row>
    <row r="941" spans="1:14">
      <c r="A941" s="1" t="s">
        <v>953</v>
      </c>
      <c r="B941">
        <f>HYPERLINK("https://www.suredividend.com/sure-analysis-research-database/","Callaway Golf Co.")</f>
        <v>0</v>
      </c>
      <c r="C941" t="s">
        <v>3223</v>
      </c>
      <c r="D941">
        <v>22.3</v>
      </c>
      <c r="E941">
        <v>0</v>
      </c>
      <c r="H941">
        <v>0</v>
      </c>
      <c r="I941">
        <v>4118.405032</v>
      </c>
      <c r="J941">
        <v>12.79055440575425</v>
      </c>
      <c r="K941">
        <v>0</v>
      </c>
      <c r="L941">
        <v>1.807899576738554</v>
      </c>
      <c r="M941">
        <v>37.75</v>
      </c>
      <c r="N941">
        <v>20.45</v>
      </c>
    </row>
    <row r="942" spans="1:14">
      <c r="A942" s="1" t="s">
        <v>954</v>
      </c>
      <c r="B942">
        <f>HYPERLINK("https://www.suredividend.com/sure-analysis-research-database/","EMagin Corp")</f>
        <v>0</v>
      </c>
      <c r="C942" t="s">
        <v>3222</v>
      </c>
      <c r="D942">
        <v>1.07</v>
      </c>
      <c r="E942">
        <v>0</v>
      </c>
      <c r="H942">
        <v>0</v>
      </c>
      <c r="I942">
        <v>78.088043</v>
      </c>
      <c r="J942" t="s">
        <v>3219</v>
      </c>
      <c r="K942">
        <v>-0</v>
      </c>
      <c r="L942">
        <v>1.659396066074578</v>
      </c>
      <c r="M942">
        <v>4.36</v>
      </c>
      <c r="N942">
        <v>1.02</v>
      </c>
    </row>
    <row r="943" spans="1:14">
      <c r="A943" s="1" t="s">
        <v>955</v>
      </c>
      <c r="B943">
        <f>HYPERLINK("https://www.suredividend.com/sure-analysis-research-database/","Emclaire Financial Corp.")</f>
        <v>0</v>
      </c>
      <c r="C943" t="s">
        <v>3221</v>
      </c>
      <c r="D943">
        <v>36.9</v>
      </c>
      <c r="E943">
        <v>0.03227190168884</v>
      </c>
      <c r="F943">
        <v>0.03333333333333321</v>
      </c>
      <c r="G943">
        <v>0.0280153179958833</v>
      </c>
      <c r="H943">
        <v>1.190833172318202</v>
      </c>
      <c r="I943">
        <v>100.929323</v>
      </c>
      <c r="J943">
        <v>0</v>
      </c>
      <c r="K943" t="s">
        <v>3219</v>
      </c>
      <c r="M943">
        <v>38.5</v>
      </c>
      <c r="N943">
        <v>25.23</v>
      </c>
    </row>
    <row r="944" spans="1:14">
      <c r="A944" s="1" t="s">
        <v>956</v>
      </c>
      <c r="B944">
        <f>HYPERLINK("https://www.suredividend.com/sure-analysis-research-database/","Emcor Group, Inc.")</f>
        <v>0</v>
      </c>
      <c r="C944" t="s">
        <v>3220</v>
      </c>
      <c r="D944">
        <v>116.85</v>
      </c>
      <c r="E944">
        <v>0.004442870333788001</v>
      </c>
      <c r="F944">
        <v>0</v>
      </c>
      <c r="G944">
        <v>0.1019722877214801</v>
      </c>
      <c r="H944">
        <v>0.519149398503153</v>
      </c>
      <c r="I944">
        <v>6154.039511</v>
      </c>
      <c r="J944">
        <v>16.04570025617158</v>
      </c>
      <c r="K944">
        <v>0.07353390913642394</v>
      </c>
      <c r="L944">
        <v>1.059765925653093</v>
      </c>
      <c r="M944">
        <v>135.69</v>
      </c>
      <c r="N944">
        <v>107.67</v>
      </c>
    </row>
    <row r="945" spans="1:14">
      <c r="A945" s="1" t="s">
        <v>957</v>
      </c>
      <c r="B945">
        <f>HYPERLINK("https://www.suredividend.com/sure-analysis-research-database/","Emcore Corp.")</f>
        <v>0</v>
      </c>
      <c r="C945" t="s">
        <v>3222</v>
      </c>
      <c r="D945">
        <v>3.68</v>
      </c>
      <c r="E945">
        <v>0</v>
      </c>
      <c r="H945">
        <v>0</v>
      </c>
      <c r="I945">
        <v>137.181539</v>
      </c>
      <c r="J945">
        <v>5.382200979284369</v>
      </c>
      <c r="K945">
        <v>0</v>
      </c>
      <c r="L945">
        <v>1.759492468870537</v>
      </c>
      <c r="M945">
        <v>10.87</v>
      </c>
      <c r="N945">
        <v>3.43</v>
      </c>
    </row>
    <row r="946" spans="1:14">
      <c r="A946" s="1" t="s">
        <v>958</v>
      </c>
      <c r="B946">
        <f>HYPERLINK("https://www.suredividend.com/sure-analysis-research-database/","Eastern Co.")</f>
        <v>0</v>
      </c>
      <c r="C946" t="s">
        <v>3220</v>
      </c>
      <c r="D946">
        <v>23.319</v>
      </c>
      <c r="E946">
        <v>0.01874722740996</v>
      </c>
      <c r="F946">
        <v>0</v>
      </c>
      <c r="G946">
        <v>0</v>
      </c>
      <c r="H946">
        <v>0.4371665959728661</v>
      </c>
      <c r="I946">
        <v>145.566339</v>
      </c>
      <c r="J946">
        <v>0</v>
      </c>
      <c r="K946" t="s">
        <v>3219</v>
      </c>
      <c r="M946">
        <v>33.54</v>
      </c>
      <c r="N946">
        <v>23.01</v>
      </c>
    </row>
    <row r="947" spans="1:14">
      <c r="A947" s="1" t="s">
        <v>959</v>
      </c>
      <c r="B947">
        <f>HYPERLINK("https://www.suredividend.com/sure-analysis-research-database/","Emmis Communications Corp.")</f>
        <v>0</v>
      </c>
      <c r="C947" t="s">
        <v>3228</v>
      </c>
      <c r="D947">
        <v>1.95</v>
      </c>
      <c r="E947">
        <v>0</v>
      </c>
      <c r="H947">
        <v>0</v>
      </c>
      <c r="I947">
        <v>23.705694</v>
      </c>
      <c r="J947">
        <v>0</v>
      </c>
      <c r="K947" t="s">
        <v>3219</v>
      </c>
      <c r="M947">
        <v>2.88</v>
      </c>
      <c r="N947">
        <v>0.8</v>
      </c>
    </row>
    <row r="948" spans="1:14">
      <c r="A948" s="1" t="s">
        <v>960</v>
      </c>
      <c r="B948">
        <f>HYPERLINK("https://www.suredividend.com/sure-analysis-EMN/","Eastman Chemical Co")</f>
        <v>0</v>
      </c>
      <c r="C948" t="s">
        <v>3218</v>
      </c>
      <c r="D948">
        <v>107.91</v>
      </c>
      <c r="E948">
        <v>0.02817162450189973</v>
      </c>
      <c r="F948">
        <v>0.1014492753623188</v>
      </c>
      <c r="G948">
        <v>0.0830504402680925</v>
      </c>
      <c r="H948">
        <v>2.871241677420308</v>
      </c>
      <c r="I948">
        <v>13914.953278</v>
      </c>
      <c r="J948">
        <v>16.23681829449242</v>
      </c>
      <c r="K948">
        <v>0.4593986683872493</v>
      </c>
      <c r="L948">
        <v>1.003583140065296</v>
      </c>
      <c r="M948">
        <v>128.54</v>
      </c>
      <c r="N948">
        <v>96.89</v>
      </c>
    </row>
    <row r="949" spans="1:14">
      <c r="A949" s="1" t="s">
        <v>961</v>
      </c>
      <c r="B949">
        <f>HYPERLINK("https://www.suredividend.com/sure-analysis-EMR/","Emerson Electric Co.")</f>
        <v>0</v>
      </c>
      <c r="C949" t="s">
        <v>3220</v>
      </c>
      <c r="D949">
        <v>92.86</v>
      </c>
      <c r="E949">
        <v>0.02218393280206763</v>
      </c>
      <c r="F949">
        <v>0.01980198019801982</v>
      </c>
      <c r="G949">
        <v>0.01417569496143978</v>
      </c>
      <c r="H949">
        <v>2.024293314302264</v>
      </c>
      <c r="I949">
        <v>55242.414</v>
      </c>
      <c r="J949">
        <v>20.05897385620915</v>
      </c>
      <c r="K949">
        <v>0.4419854398039877</v>
      </c>
      <c r="L949">
        <v>0.92010729210516</v>
      </c>
      <c r="M949">
        <v>104.88</v>
      </c>
      <c r="N949">
        <v>86.27</v>
      </c>
    </row>
    <row r="950" spans="1:14">
      <c r="A950" s="1" t="s">
        <v>962</v>
      </c>
      <c r="B950">
        <f>HYPERLINK("https://www.suredividend.com/sure-analysis-research-database/","Endo International plc")</f>
        <v>0</v>
      </c>
      <c r="C950" t="s">
        <v>3217</v>
      </c>
      <c r="D950">
        <v>2.65</v>
      </c>
      <c r="E950">
        <v>0</v>
      </c>
      <c r="H950">
        <v>0</v>
      </c>
      <c r="I950">
        <v>619.228145</v>
      </c>
      <c r="J950" t="s">
        <v>3219</v>
      </c>
      <c r="K950">
        <v>-0</v>
      </c>
      <c r="L950">
        <v>1.749471663174994</v>
      </c>
      <c r="M950">
        <v>7.07</v>
      </c>
      <c r="N950">
        <v>1.94</v>
      </c>
    </row>
    <row r="951" spans="1:14">
      <c r="A951" s="1" t="s">
        <v>963</v>
      </c>
      <c r="B951">
        <f>HYPERLINK("https://www.suredividend.com/sure-analysis-research-database/","Englobal Corporation")</f>
        <v>0</v>
      </c>
      <c r="C951" t="s">
        <v>3220</v>
      </c>
      <c r="D951">
        <v>1.18</v>
      </c>
      <c r="E951">
        <v>0</v>
      </c>
      <c r="H951">
        <v>0</v>
      </c>
      <c r="I951">
        <v>41.572197</v>
      </c>
      <c r="J951" t="s">
        <v>3219</v>
      </c>
      <c r="K951">
        <v>-0</v>
      </c>
      <c r="L951">
        <v>1.407147737308322</v>
      </c>
      <c r="M951">
        <v>3.93</v>
      </c>
      <c r="N951">
        <v>0.7501</v>
      </c>
    </row>
    <row r="952" spans="1:14">
      <c r="A952" s="1" t="s">
        <v>964</v>
      </c>
      <c r="B952">
        <f>HYPERLINK("https://www.suredividend.com/sure-analysis-research-database/","Enochian Biosciences Inc")</f>
        <v>0</v>
      </c>
      <c r="C952" t="s">
        <v>3217</v>
      </c>
      <c r="D952">
        <v>7.53</v>
      </c>
      <c r="E952">
        <v>0</v>
      </c>
      <c r="H952">
        <v>0</v>
      </c>
      <c r="I952">
        <v>396.328501</v>
      </c>
      <c r="J952">
        <v>0</v>
      </c>
      <c r="K952" t="s">
        <v>3219</v>
      </c>
      <c r="L952">
        <v>1.387503983975176</v>
      </c>
      <c r="M952">
        <v>13.78</v>
      </c>
      <c r="N952">
        <v>3</v>
      </c>
    </row>
    <row r="953" spans="1:14">
      <c r="A953" s="1" t="s">
        <v>965</v>
      </c>
      <c r="B953">
        <f>HYPERLINK("https://www.suredividend.com/sure-analysis-research-database/","Enphase Energy Inc")</f>
        <v>0</v>
      </c>
      <c r="C953" t="s">
        <v>3222</v>
      </c>
      <c r="D953">
        <v>190.51</v>
      </c>
      <c r="E953">
        <v>0</v>
      </c>
      <c r="H953">
        <v>0</v>
      </c>
      <c r="I953">
        <v>25710.799619</v>
      </c>
      <c r="J953">
        <v>176.7684866786984</v>
      </c>
      <c r="K953">
        <v>0</v>
      </c>
      <c r="L953">
        <v>1.845107307276101</v>
      </c>
      <c r="M953">
        <v>282.46</v>
      </c>
      <c r="N953">
        <v>108.88</v>
      </c>
    </row>
    <row r="954" spans="1:14">
      <c r="A954" s="1" t="s">
        <v>966</v>
      </c>
      <c r="B954">
        <f>HYPERLINK("https://www.suredividend.com/sure-analysis-research-database/","Energizer Holdings Inc")</f>
        <v>0</v>
      </c>
      <c r="C954" t="s">
        <v>3220</v>
      </c>
      <c r="D954">
        <v>30.35</v>
      </c>
      <c r="E954">
        <v>0.039059370385464</v>
      </c>
      <c r="F954">
        <v>0</v>
      </c>
      <c r="G954">
        <v>0.01755457717558762</v>
      </c>
      <c r="H954">
        <v>1.185451891198854</v>
      </c>
      <c r="I954">
        <v>2162.441354</v>
      </c>
      <c r="J954">
        <v>15.71541682013081</v>
      </c>
      <c r="K954">
        <v>0.5782692152189532</v>
      </c>
      <c r="L954">
        <v>0.559018410131182</v>
      </c>
      <c r="M954">
        <v>49.84</v>
      </c>
      <c r="N954">
        <v>29.01</v>
      </c>
    </row>
    <row r="955" spans="1:14">
      <c r="A955" s="1" t="s">
        <v>967</v>
      </c>
      <c r="B955">
        <f>HYPERLINK("https://www.suredividend.com/sure-analysis-research-database/","Enersys")</f>
        <v>0</v>
      </c>
      <c r="C955" t="s">
        <v>3220</v>
      </c>
      <c r="D955">
        <v>69.58</v>
      </c>
      <c r="E955">
        <v>0.010024746513513</v>
      </c>
      <c r="F955">
        <v>0</v>
      </c>
      <c r="G955">
        <v>0</v>
      </c>
      <c r="H955">
        <v>0.697521862410287</v>
      </c>
      <c r="I955">
        <v>2870.189055</v>
      </c>
      <c r="J955">
        <v>19.1787047219271</v>
      </c>
      <c r="K955">
        <v>0.2015959139914124</v>
      </c>
      <c r="L955">
        <v>1.208119482676128</v>
      </c>
      <c r="M955">
        <v>99.54000000000001</v>
      </c>
      <c r="N955">
        <v>67.54000000000001</v>
      </c>
    </row>
    <row r="956" spans="1:14">
      <c r="A956" s="1" t="s">
        <v>968</v>
      </c>
      <c r="B956">
        <f>HYPERLINK("https://www.suredividend.com/sure-analysis-research-database/","Ensign Group Inc")</f>
        <v>0</v>
      </c>
      <c r="C956" t="s">
        <v>3217</v>
      </c>
      <c r="D956">
        <v>85.34999999999999</v>
      </c>
      <c r="E956">
        <v>0.002516656966394</v>
      </c>
      <c r="F956">
        <v>0.04761904761904745</v>
      </c>
      <c r="G956">
        <v>0.05291848906511043</v>
      </c>
      <c r="H956">
        <v>0.214796672081809</v>
      </c>
      <c r="I956">
        <v>4701.627142</v>
      </c>
      <c r="J956">
        <v>24.15401404506504</v>
      </c>
      <c r="K956">
        <v>0.06280604446836521</v>
      </c>
      <c r="L956">
        <v>0.7558265768268061</v>
      </c>
      <c r="M956">
        <v>94.25</v>
      </c>
      <c r="N956">
        <v>68.2</v>
      </c>
    </row>
    <row r="957" spans="1:14">
      <c r="A957" s="1" t="s">
        <v>969</v>
      </c>
      <c r="B957">
        <f>HYPERLINK("https://www.suredividend.com/sure-analysis-research-database/","Enservco Corp")</f>
        <v>0</v>
      </c>
      <c r="C957" t="s">
        <v>3226</v>
      </c>
      <c r="D957">
        <v>2.63</v>
      </c>
      <c r="E957">
        <v>0</v>
      </c>
      <c r="H957">
        <v>0</v>
      </c>
      <c r="I957">
        <v>30.068069</v>
      </c>
      <c r="J957">
        <v>0</v>
      </c>
      <c r="K957" t="s">
        <v>3219</v>
      </c>
      <c r="L957">
        <v>-0.9718673300594241</v>
      </c>
      <c r="M957">
        <v>8.76</v>
      </c>
      <c r="N957">
        <v>0.5502</v>
      </c>
    </row>
    <row r="958" spans="1:14">
      <c r="A958" s="1" t="s">
        <v>970</v>
      </c>
      <c r="B958">
        <f>HYPERLINK("https://www.suredividend.com/sure-analysis-research-database/","Enanta Pharmaceuticals Inc")</f>
        <v>0</v>
      </c>
      <c r="C958" t="s">
        <v>3217</v>
      </c>
      <c r="D958">
        <v>74.25</v>
      </c>
      <c r="E958">
        <v>0</v>
      </c>
      <c r="H958">
        <v>0</v>
      </c>
      <c r="I958">
        <v>1524.358811</v>
      </c>
      <c r="J958" t="s">
        <v>3219</v>
      </c>
      <c r="K958">
        <v>-0</v>
      </c>
      <c r="L958">
        <v>0.663687958846345</v>
      </c>
      <c r="M958">
        <v>102</v>
      </c>
      <c r="N958">
        <v>40.37</v>
      </c>
    </row>
    <row r="959" spans="1:14">
      <c r="A959" s="1" t="s">
        <v>971</v>
      </c>
      <c r="B959">
        <f>HYPERLINK("https://www.suredividend.com/sure-analysis-research-database/","Entegris Inc")</f>
        <v>0</v>
      </c>
      <c r="C959" t="s">
        <v>3222</v>
      </c>
      <c r="D959">
        <v>110.11</v>
      </c>
      <c r="E959">
        <v>0.003084660358688</v>
      </c>
      <c r="H959">
        <v>0.339651952095168</v>
      </c>
      <c r="I959">
        <v>14957.791098</v>
      </c>
      <c r="J959">
        <v>36.56035328541819</v>
      </c>
      <c r="K959">
        <v>0.113217317365056</v>
      </c>
      <c r="L959">
        <v>1.816513396278578</v>
      </c>
      <c r="M959">
        <v>157.87</v>
      </c>
      <c r="N959">
        <v>100.95</v>
      </c>
    </row>
    <row r="960" spans="1:14">
      <c r="A960" s="1" t="s">
        <v>972</v>
      </c>
      <c r="B960">
        <f>HYPERLINK("https://www.suredividend.com/sure-analysis-research-database/","Envestnet Inc.")</f>
        <v>0</v>
      </c>
      <c r="C960" t="s">
        <v>3222</v>
      </c>
      <c r="D960">
        <v>82.98999999999999</v>
      </c>
      <c r="E960">
        <v>0</v>
      </c>
      <c r="H960">
        <v>0</v>
      </c>
      <c r="I960">
        <v>4579.574928</v>
      </c>
      <c r="J960">
        <v>344.4325306483153</v>
      </c>
      <c r="K960">
        <v>0</v>
      </c>
      <c r="L960">
        <v>0.9074230543130091</v>
      </c>
      <c r="M960">
        <v>85.98999999999999</v>
      </c>
      <c r="N960">
        <v>64.7</v>
      </c>
    </row>
    <row r="961" spans="1:14">
      <c r="A961" s="1" t="s">
        <v>973</v>
      </c>
      <c r="B961">
        <f>HYPERLINK("https://www.suredividend.com/sure-analysis-research-database/","Enova International Inc.")</f>
        <v>0</v>
      </c>
      <c r="C961" t="s">
        <v>3221</v>
      </c>
      <c r="D961">
        <v>37.55</v>
      </c>
      <c r="E961">
        <v>0</v>
      </c>
      <c r="H961">
        <v>0</v>
      </c>
      <c r="I961">
        <v>1256.495772</v>
      </c>
      <c r="J961">
        <v>0</v>
      </c>
      <c r="K961" t="s">
        <v>3219</v>
      </c>
      <c r="L961">
        <v>1.316241025981542</v>
      </c>
      <c r="M961">
        <v>47.88</v>
      </c>
      <c r="N961">
        <v>30.04</v>
      </c>
    </row>
    <row r="962" spans="1:14">
      <c r="A962" s="1" t="s">
        <v>974</v>
      </c>
      <c r="B962">
        <f>HYPERLINK("https://www.suredividend.com/sure-analysis-research-database/","Enzo Biochem, Inc.")</f>
        <v>0</v>
      </c>
      <c r="C962" t="s">
        <v>3217</v>
      </c>
      <c r="D962">
        <v>2.88</v>
      </c>
      <c r="E962">
        <v>0</v>
      </c>
      <c r="H962">
        <v>0</v>
      </c>
      <c r="I962">
        <v>140.282364</v>
      </c>
      <c r="J962">
        <v>467.6078784</v>
      </c>
      <c r="K962">
        <v>0</v>
      </c>
      <c r="L962">
        <v>0.612196618389794</v>
      </c>
      <c r="M962">
        <v>4.15</v>
      </c>
      <c r="N962">
        <v>2.75</v>
      </c>
    </row>
    <row r="963" spans="1:14">
      <c r="A963" s="1" t="s">
        <v>975</v>
      </c>
      <c r="B963">
        <f>HYPERLINK("https://www.suredividend.com/sure-analysis-EOG/","EOG Resources, Inc.")</f>
        <v>0</v>
      </c>
      <c r="C963" t="s">
        <v>3226</v>
      </c>
      <c r="D963">
        <v>122.94</v>
      </c>
      <c r="E963">
        <v>0.02635431918008785</v>
      </c>
      <c r="F963">
        <v>0.8181818181818181</v>
      </c>
      <c r="G963">
        <v>0.3230550262457832</v>
      </c>
      <c r="H963">
        <v>2.276031794019658</v>
      </c>
      <c r="I963">
        <v>71967.77959799999</v>
      </c>
      <c r="J963">
        <v>15.43048447635077</v>
      </c>
      <c r="K963">
        <v>0.2848600493140999</v>
      </c>
      <c r="L963">
        <v>0.6242572769450571</v>
      </c>
      <c r="M963">
        <v>127.17</v>
      </c>
      <c r="N963">
        <v>59.78</v>
      </c>
    </row>
    <row r="964" spans="1:14">
      <c r="A964" s="1" t="s">
        <v>976</v>
      </c>
      <c r="B964">
        <f>HYPERLINK("https://www.suredividend.com/sure-analysis-research-database/","Evolus Inc")</f>
        <v>0</v>
      </c>
      <c r="C964" t="s">
        <v>3217</v>
      </c>
      <c r="D964">
        <v>11.28</v>
      </c>
      <c r="E964">
        <v>0</v>
      </c>
      <c r="H964">
        <v>0</v>
      </c>
      <c r="I964">
        <v>628.233419</v>
      </c>
      <c r="J964" t="s">
        <v>3219</v>
      </c>
      <c r="K964">
        <v>-0</v>
      </c>
      <c r="L964">
        <v>1.277995012319526</v>
      </c>
      <c r="M964">
        <v>14.3</v>
      </c>
      <c r="N964">
        <v>5.06</v>
      </c>
    </row>
    <row r="965" spans="1:14">
      <c r="A965" s="1" t="s">
        <v>977</v>
      </c>
      <c r="B965">
        <f>HYPERLINK("https://www.suredividend.com/sure-analysis-research-database/","EPAM Systems Inc")</f>
        <v>0</v>
      </c>
      <c r="C965" t="s">
        <v>3222</v>
      </c>
      <c r="D965">
        <v>290.06</v>
      </c>
      <c r="E965">
        <v>0</v>
      </c>
      <c r="H965">
        <v>0</v>
      </c>
      <c r="I965">
        <v>16498.189022</v>
      </c>
      <c r="J965">
        <v>34.25333855634359</v>
      </c>
      <c r="K965">
        <v>0</v>
      </c>
      <c r="L965">
        <v>2.05251155139805</v>
      </c>
      <c r="M965">
        <v>725.4</v>
      </c>
      <c r="N965">
        <v>168.59</v>
      </c>
    </row>
    <row r="966" spans="1:14">
      <c r="A966" s="1" t="s">
        <v>978</v>
      </c>
      <c r="B966">
        <f>HYPERLINK("https://www.suredividend.com/sure-analysis-research-database/","Bottomline Technologies (Delaware) Inc")</f>
        <v>0</v>
      </c>
      <c r="C966" t="s">
        <v>3222</v>
      </c>
      <c r="D966">
        <v>56.81</v>
      </c>
      <c r="E966">
        <v>0</v>
      </c>
      <c r="H966">
        <v>0</v>
      </c>
      <c r="I966">
        <v>2555.174786</v>
      </c>
      <c r="J966" t="s">
        <v>3219</v>
      </c>
      <c r="K966">
        <v>-0</v>
      </c>
      <c r="L966">
        <v>0.5368024927417361</v>
      </c>
      <c r="M966">
        <v>56.85</v>
      </c>
      <c r="N966">
        <v>36.05</v>
      </c>
    </row>
    <row r="967" spans="1:14">
      <c r="A967" s="1" t="s">
        <v>979</v>
      </c>
      <c r="B967">
        <f>HYPERLINK("https://www.suredividend.com/sure-analysis-research-database/","Edgewell Personal Care Co")</f>
        <v>0</v>
      </c>
      <c r="C967" t="s">
        <v>3225</v>
      </c>
      <c r="D967">
        <v>36.55</v>
      </c>
      <c r="E967">
        <v>0.016319665348443</v>
      </c>
      <c r="H967">
        <v>0.596483768485599</v>
      </c>
      <c r="I967">
        <v>1976.453494</v>
      </c>
      <c r="J967">
        <v>17.88645696153846</v>
      </c>
      <c r="K967">
        <v>0.2982418842427995</v>
      </c>
      <c r="L967">
        <v>0.655887091774351</v>
      </c>
      <c r="M967">
        <v>51.64</v>
      </c>
      <c r="N967">
        <v>33.54</v>
      </c>
    </row>
    <row r="968" spans="1:14">
      <c r="A968" s="1" t="s">
        <v>980</v>
      </c>
      <c r="B968">
        <f>HYPERLINK("https://www.suredividend.com/sure-analysis-research-database/","Evolution Petroleum Corporation")</f>
        <v>0</v>
      </c>
      <c r="C968" t="s">
        <v>3226</v>
      </c>
      <c r="D968">
        <v>6.99</v>
      </c>
      <c r="E968">
        <v>0.04214835600367901</v>
      </c>
      <c r="F968">
        <v>2.333333333333333</v>
      </c>
      <c r="G968">
        <v>0.07394092378577932</v>
      </c>
      <c r="H968">
        <v>0.294617008465722</v>
      </c>
      <c r="I968">
        <v>235.483866</v>
      </c>
      <c r="J968">
        <v>15.23398915847889</v>
      </c>
      <c r="K968">
        <v>0.6393598273995703</v>
      </c>
      <c r="L968">
        <v>0.7739455116595431</v>
      </c>
      <c r="M968">
        <v>8.06</v>
      </c>
      <c r="N968">
        <v>2.9</v>
      </c>
    </row>
    <row r="969" spans="1:14">
      <c r="A969" s="1" t="s">
        <v>981</v>
      </c>
      <c r="B969">
        <f>HYPERLINK("https://www.suredividend.com/sure-analysis-EPR/","EPR Properties")</f>
        <v>0</v>
      </c>
      <c r="C969" t="s">
        <v>3224</v>
      </c>
      <c r="D969">
        <v>53.44</v>
      </c>
      <c r="E969">
        <v>0.06287425149700598</v>
      </c>
      <c r="F969">
        <v>0.1000000000000001</v>
      </c>
      <c r="G969">
        <v>-0.06014623565001131</v>
      </c>
      <c r="H969">
        <v>2.228897251041548</v>
      </c>
      <c r="I969">
        <v>4006.307769</v>
      </c>
      <c r="J969">
        <v>53.79616189923729</v>
      </c>
      <c r="K969">
        <v>2.237399368642389</v>
      </c>
      <c r="L969">
        <v>1.065277625265739</v>
      </c>
      <c r="M969">
        <v>56.01</v>
      </c>
      <c r="N969">
        <v>40.73</v>
      </c>
    </row>
    <row r="970" spans="1:14">
      <c r="A970" s="1" t="s">
        <v>982</v>
      </c>
      <c r="B970">
        <f>HYPERLINK("https://www.suredividend.com/sure-analysis-EPRT/","Essential Properties Realty Trust Inc")</f>
        <v>0</v>
      </c>
      <c r="C970" t="s">
        <v>3224</v>
      </c>
      <c r="D970">
        <v>25.63</v>
      </c>
      <c r="E970">
        <v>0.04057744830277019</v>
      </c>
      <c r="H970">
        <v>1.251066142392901</v>
      </c>
      <c r="I970">
        <v>3361.417892</v>
      </c>
      <c r="J970">
        <v>0</v>
      </c>
      <c r="K970" t="s">
        <v>3219</v>
      </c>
      <c r="L970">
        <v>0.9084583210870441</v>
      </c>
      <c r="M970">
        <v>32.01</v>
      </c>
      <c r="N970">
        <v>22.85</v>
      </c>
    </row>
    <row r="971" spans="1:14">
      <c r="A971" s="1" t="s">
        <v>983</v>
      </c>
      <c r="B971">
        <f>HYPERLINK("https://www.suredividend.com/sure-analysis-research-database/","Epizyme Inc")</f>
        <v>0</v>
      </c>
      <c r="C971" t="s">
        <v>3217</v>
      </c>
      <c r="D971">
        <v>0.7642</v>
      </c>
      <c r="E971">
        <v>0</v>
      </c>
      <c r="H971">
        <v>0</v>
      </c>
      <c r="I971">
        <v>125.697172</v>
      </c>
      <c r="J971">
        <v>0</v>
      </c>
      <c r="K971" t="s">
        <v>3219</v>
      </c>
      <c r="L971">
        <v>1.786995122244872</v>
      </c>
      <c r="M971">
        <v>9.859999999999999</v>
      </c>
      <c r="N971">
        <v>0.7352000000000001</v>
      </c>
    </row>
    <row r="972" spans="1:14">
      <c r="A972" s="1" t="s">
        <v>984</v>
      </c>
      <c r="B972">
        <f>HYPERLINK("https://www.suredividend.com/sure-analysis-research-database/","Equity Bancshares Inc")</f>
        <v>0</v>
      </c>
      <c r="C972" t="s">
        <v>3221</v>
      </c>
      <c r="D972">
        <v>30.83</v>
      </c>
      <c r="E972">
        <v>0.007765973331818001</v>
      </c>
      <c r="H972">
        <v>0.239424957819971</v>
      </c>
      <c r="I972">
        <v>512.784846</v>
      </c>
      <c r="J972">
        <v>0</v>
      </c>
      <c r="K972" t="s">
        <v>3219</v>
      </c>
      <c r="L972">
        <v>0.5789249497649891</v>
      </c>
      <c r="M972">
        <v>35.83</v>
      </c>
      <c r="N972">
        <v>27.5</v>
      </c>
    </row>
    <row r="973" spans="1:14">
      <c r="A973" s="1" t="s">
        <v>985</v>
      </c>
      <c r="B973">
        <f>HYPERLINK("https://www.suredividend.com/sure-analysis-research-database/","Equity Commonwealth")</f>
        <v>0</v>
      </c>
      <c r="C973" t="s">
        <v>3224</v>
      </c>
      <c r="D973">
        <v>27.33</v>
      </c>
      <c r="E973">
        <v>0</v>
      </c>
      <c r="H973">
        <v>0</v>
      </c>
      <c r="I973">
        <v>357.900698</v>
      </c>
      <c r="J973" t="s">
        <v>3219</v>
      </c>
      <c r="K973">
        <v>-0</v>
      </c>
      <c r="L973">
        <v>0.236540851746799</v>
      </c>
      <c r="M973">
        <v>29.07</v>
      </c>
      <c r="N973">
        <v>25</v>
      </c>
    </row>
    <row r="974" spans="1:14">
      <c r="A974" s="1" t="s">
        <v>986</v>
      </c>
      <c r="B974">
        <f>HYPERLINK("https://www.suredividend.com/sure-analysis-research-database/","Equitable Holdings Inc")</f>
        <v>0</v>
      </c>
      <c r="C974" t="s">
        <v>3221</v>
      </c>
      <c r="D974">
        <v>30.68</v>
      </c>
      <c r="E974">
        <v>0.023336919655581</v>
      </c>
      <c r="H974">
        <v>0.715976695033254</v>
      </c>
      <c r="I974">
        <v>11794.56462</v>
      </c>
      <c r="J974" t="s">
        <v>3219</v>
      </c>
      <c r="K974" t="s">
        <v>3219</v>
      </c>
      <c r="L974">
        <v>1.342500334443751</v>
      </c>
      <c r="M974">
        <v>36.92</v>
      </c>
      <c r="N974">
        <v>27.38</v>
      </c>
    </row>
    <row r="975" spans="1:14">
      <c r="A975" s="1" t="s">
        <v>987</v>
      </c>
      <c r="B975">
        <f>HYPERLINK("https://www.suredividend.com/sure-analysis-EQIX/","Equinix Inc")</f>
        <v>0</v>
      </c>
      <c r="C975" t="s">
        <v>3224</v>
      </c>
      <c r="D975">
        <v>735.24</v>
      </c>
      <c r="E975">
        <v>0.01686524128175834</v>
      </c>
      <c r="F975">
        <v>0.08013937282229966</v>
      </c>
      <c r="G975">
        <v>0.09160706958928855</v>
      </c>
      <c r="H975">
        <v>11.64248126842388</v>
      </c>
      <c r="I975">
        <v>66917.003958</v>
      </c>
      <c r="J975">
        <v>133.7829028466326</v>
      </c>
      <c r="K975">
        <v>2.105331151613722</v>
      </c>
      <c r="L975">
        <v>0.62825718582867</v>
      </c>
      <c r="M975">
        <v>878.28</v>
      </c>
      <c r="N975">
        <v>659.41</v>
      </c>
    </row>
    <row r="976" spans="1:14">
      <c r="A976" s="1" t="s">
        <v>988</v>
      </c>
      <c r="B976">
        <f>HYPERLINK("https://www.suredividend.com/sure-analysis-EQR/","Equity Residential Properties Trust")</f>
        <v>0</v>
      </c>
      <c r="C976" t="s">
        <v>3224</v>
      </c>
      <c r="D976">
        <v>90.43000000000001</v>
      </c>
      <c r="E976">
        <v>0.02764569280106159</v>
      </c>
      <c r="F976">
        <v>0.03734439834024883</v>
      </c>
      <c r="G976">
        <v>0.04405738785929403</v>
      </c>
      <c r="H976">
        <v>2.407372686432336</v>
      </c>
      <c r="I976">
        <v>33994.196194</v>
      </c>
      <c r="J976">
        <v>25.56415909191132</v>
      </c>
      <c r="K976">
        <v>0.7018579260735673</v>
      </c>
      <c r="L976">
        <v>0.708689602730715</v>
      </c>
      <c r="M976">
        <v>93.03</v>
      </c>
      <c r="N976">
        <v>69.34</v>
      </c>
    </row>
    <row r="977" spans="1:14">
      <c r="A977" s="1" t="s">
        <v>989</v>
      </c>
      <c r="B977">
        <f>HYPERLINK("https://www.suredividend.com/sure-analysis-research-database/","EQT Corp")</f>
        <v>0</v>
      </c>
      <c r="C977" t="s">
        <v>3226</v>
      </c>
      <c r="D977">
        <v>42.36</v>
      </c>
      <c r="E977">
        <v>0.00295089707271</v>
      </c>
      <c r="H977">
        <v>0.125</v>
      </c>
      <c r="I977">
        <v>15928.34487</v>
      </c>
      <c r="J977" t="s">
        <v>3219</v>
      </c>
      <c r="K977" t="s">
        <v>3219</v>
      </c>
      <c r="L977">
        <v>0.8135499078513631</v>
      </c>
      <c r="M977">
        <v>42.58</v>
      </c>
      <c r="N977">
        <v>15.62</v>
      </c>
    </row>
    <row r="978" spans="1:14">
      <c r="A978" s="1" t="s">
        <v>990</v>
      </c>
      <c r="B978">
        <f>HYPERLINK("https://www.suredividend.com/sure-analysis-ERIE/","Erie Indemnity Co.")</f>
        <v>0</v>
      </c>
      <c r="C978" t="s">
        <v>3221</v>
      </c>
      <c r="D978">
        <v>186.75</v>
      </c>
      <c r="E978">
        <v>0.02377510040160643</v>
      </c>
      <c r="F978">
        <v>0.07246376811594213</v>
      </c>
      <c r="G978">
        <v>0.07242696798053694</v>
      </c>
      <c r="H978">
        <v>4.252912739663389</v>
      </c>
      <c r="I978">
        <v>8625.808449</v>
      </c>
      <c r="J978">
        <v>28.95927096286846</v>
      </c>
      <c r="K978">
        <v>0.747436333859998</v>
      </c>
      <c r="L978">
        <v>0.691369154596372</v>
      </c>
      <c r="M978">
        <v>232.18</v>
      </c>
      <c r="N978">
        <v>163.19</v>
      </c>
    </row>
    <row r="979" spans="1:14">
      <c r="A979" s="1" t="s">
        <v>991</v>
      </c>
      <c r="B979">
        <f>HYPERLINK("https://www.suredividend.com/sure-analysis-research-database/","Energy Recovery Inc")</f>
        <v>0</v>
      </c>
      <c r="C979" t="s">
        <v>3220</v>
      </c>
      <c r="D979">
        <v>20.32</v>
      </c>
      <c r="E979">
        <v>0</v>
      </c>
      <c r="H979">
        <v>0</v>
      </c>
      <c r="I979">
        <v>1154.388324</v>
      </c>
      <c r="J979">
        <v>80.90183780783518</v>
      </c>
      <c r="K979">
        <v>0</v>
      </c>
      <c r="L979">
        <v>1.388130824084062</v>
      </c>
      <c r="M979">
        <v>24.99</v>
      </c>
      <c r="N979">
        <v>16.4</v>
      </c>
    </row>
    <row r="980" spans="1:14">
      <c r="A980" s="1" t="s">
        <v>992</v>
      </c>
      <c r="B980">
        <f>HYPERLINK("https://www.suredividend.com/sure-analysis-ES/","Eversource Energy")</f>
        <v>0</v>
      </c>
      <c r="C980" t="s">
        <v>3227</v>
      </c>
      <c r="D980">
        <v>92.59999999999999</v>
      </c>
      <c r="E980">
        <v>0.0275377969762419</v>
      </c>
      <c r="F980">
        <v>0.05809128630705396</v>
      </c>
      <c r="G980">
        <v>0.06061390336787298</v>
      </c>
      <c r="H980">
        <v>2.418636125543656</v>
      </c>
      <c r="I980">
        <v>31895.135203</v>
      </c>
      <c r="J980">
        <v>26.13226516332699</v>
      </c>
      <c r="K980">
        <v>0.6832305439388859</v>
      </c>
      <c r="L980">
        <v>0.20203770146563</v>
      </c>
      <c r="M980">
        <v>93.33</v>
      </c>
      <c r="N980">
        <v>76.77</v>
      </c>
    </row>
    <row r="981" spans="1:14">
      <c r="A981" s="1" t="s">
        <v>993</v>
      </c>
      <c r="B981">
        <f>HYPERLINK("https://www.suredividend.com/sure-analysis-research-database/","Elmira Savings Bank Elmira NY")</f>
        <v>0</v>
      </c>
      <c r="C981" t="s">
        <v>3221</v>
      </c>
      <c r="D981">
        <v>22.96</v>
      </c>
      <c r="E981">
        <v>0.025851836339097</v>
      </c>
      <c r="F981">
        <v>0</v>
      </c>
      <c r="G981">
        <v>-0.08193657741547267</v>
      </c>
      <c r="H981">
        <v>0.593558162345683</v>
      </c>
      <c r="I981">
        <v>45.096425</v>
      </c>
      <c r="J981">
        <v>0</v>
      </c>
      <c r="K981" t="s">
        <v>3219</v>
      </c>
      <c r="M981">
        <v>23.07</v>
      </c>
      <c r="N981">
        <v>12.63</v>
      </c>
    </row>
    <row r="982" spans="1:14">
      <c r="A982" s="1" t="s">
        <v>994</v>
      </c>
      <c r="B982">
        <f>HYPERLINK("https://www.suredividend.com/sure-analysis-research-database/","Escalade, Inc.")</f>
        <v>0</v>
      </c>
      <c r="C982" t="s">
        <v>3223</v>
      </c>
      <c r="D982">
        <v>13.36</v>
      </c>
      <c r="E982">
        <v>0.04206983144497</v>
      </c>
      <c r="F982">
        <v>0.0714285714285714</v>
      </c>
      <c r="G982">
        <v>0.05457794330579446</v>
      </c>
      <c r="H982">
        <v>0.56205294810481</v>
      </c>
      <c r="I982">
        <v>180.270916</v>
      </c>
      <c r="J982">
        <v>7.386638619954927</v>
      </c>
      <c r="K982">
        <v>0.319348265968642</v>
      </c>
      <c r="L982">
        <v>1.052344643783268</v>
      </c>
      <c r="M982">
        <v>25.06</v>
      </c>
      <c r="N982">
        <v>12.5</v>
      </c>
    </row>
    <row r="983" spans="1:14">
      <c r="A983" s="1" t="s">
        <v>995</v>
      </c>
      <c r="B983">
        <f>HYPERLINK("https://www.suredividend.com/sure-analysis-research-database/","Esco Technologies, Inc.")</f>
        <v>0</v>
      </c>
      <c r="C983" t="s">
        <v>3222</v>
      </c>
      <c r="D983">
        <v>64.56</v>
      </c>
      <c r="E983">
        <v>0.004948907852279001</v>
      </c>
      <c r="F983">
        <v>0</v>
      </c>
      <c r="G983">
        <v>0</v>
      </c>
      <c r="H983">
        <v>0.319501490943184</v>
      </c>
      <c r="I983">
        <v>1678.089745</v>
      </c>
      <c r="J983">
        <v>27.35986149541853</v>
      </c>
      <c r="K983">
        <v>0.1365390986936684</v>
      </c>
      <c r="L983">
        <v>0.8432051249622561</v>
      </c>
      <c r="M983">
        <v>113.55</v>
      </c>
      <c r="N983">
        <v>64.01000000000001</v>
      </c>
    </row>
    <row r="984" spans="1:14">
      <c r="A984" s="1" t="s">
        <v>996</v>
      </c>
      <c r="B984">
        <f>HYPERLINK("https://www.suredividend.com/sure-analysis-research-database/","Enstar Group Limited")</f>
        <v>0</v>
      </c>
      <c r="C984" t="s">
        <v>3221</v>
      </c>
      <c r="D984">
        <v>252.14</v>
      </c>
      <c r="E984">
        <v>0</v>
      </c>
      <c r="H984">
        <v>0</v>
      </c>
      <c r="I984">
        <v>4165.989706</v>
      </c>
      <c r="J984">
        <v>9.533157221144164</v>
      </c>
      <c r="K984">
        <v>0</v>
      </c>
      <c r="L984">
        <v>0.4877222665237431</v>
      </c>
      <c r="M984">
        <v>286.89</v>
      </c>
      <c r="N984">
        <v>220</v>
      </c>
    </row>
    <row r="985" spans="1:14">
      <c r="A985" s="1" t="s">
        <v>997</v>
      </c>
      <c r="B985">
        <f>HYPERLINK("https://www.suredividend.com/sure-analysis-research-database/","Element Solutions Inc")</f>
        <v>0</v>
      </c>
      <c r="C985" t="s">
        <v>3218</v>
      </c>
      <c r="D985">
        <v>20.43</v>
      </c>
      <c r="E985">
        <v>0.013646494816075</v>
      </c>
      <c r="H985">
        <v>0.278797889092422</v>
      </c>
      <c r="I985">
        <v>5069.979978</v>
      </c>
      <c r="J985">
        <v>24.93841602616822</v>
      </c>
      <c r="K985">
        <v>0.3399559676776271</v>
      </c>
      <c r="L985">
        <v>1.483191289807536</v>
      </c>
      <c r="M985">
        <v>26.74</v>
      </c>
      <c r="N985">
        <v>18.84</v>
      </c>
    </row>
    <row r="986" spans="1:14">
      <c r="A986" s="1" t="s">
        <v>998</v>
      </c>
      <c r="B986">
        <f>HYPERLINK("https://www.suredividend.com/sure-analysis-research-database/","Essent Group Ltd")</f>
        <v>0</v>
      </c>
      <c r="C986" t="s">
        <v>3221</v>
      </c>
      <c r="D986">
        <v>41.69</v>
      </c>
      <c r="E986">
        <v>0.017631449376237</v>
      </c>
      <c r="H986">
        <v>0.735055124495347</v>
      </c>
      <c r="I986">
        <v>4537.661251</v>
      </c>
      <c r="J986">
        <v>6.655579930007055</v>
      </c>
      <c r="K986">
        <v>0.120303621030335</v>
      </c>
      <c r="L986">
        <v>0.9608158710632621</v>
      </c>
      <c r="M986">
        <v>53.31</v>
      </c>
      <c r="N986">
        <v>39.06</v>
      </c>
    </row>
    <row r="987" spans="1:14">
      <c r="A987" s="1" t="s">
        <v>999</v>
      </c>
      <c r="B987">
        <f>HYPERLINK("https://www.suredividend.com/sure-analysis-research-database/","Espey Manufacturing &amp; Electronics Corp.")</f>
        <v>0</v>
      </c>
      <c r="C987" t="s">
        <v>3220</v>
      </c>
      <c r="D987">
        <v>13.4</v>
      </c>
      <c r="E987">
        <v>0</v>
      </c>
      <c r="H987">
        <v>0</v>
      </c>
      <c r="I987">
        <v>36.215282</v>
      </c>
      <c r="J987">
        <v>0</v>
      </c>
      <c r="K987" t="s">
        <v>3219</v>
      </c>
      <c r="M987">
        <v>16.57</v>
      </c>
      <c r="N987">
        <v>12.76</v>
      </c>
    </row>
    <row r="988" spans="1:14">
      <c r="A988" s="1" t="s">
        <v>1000</v>
      </c>
      <c r="B988">
        <f>HYPERLINK("https://www.suredividend.com/sure-analysis-research-database/","Esperion Therapeutics Inc.")</f>
        <v>0</v>
      </c>
      <c r="C988" t="s">
        <v>3217</v>
      </c>
      <c r="D988">
        <v>5.89</v>
      </c>
      <c r="E988">
        <v>0</v>
      </c>
      <c r="H988">
        <v>0</v>
      </c>
      <c r="I988">
        <v>370.960004</v>
      </c>
      <c r="J988">
        <v>0</v>
      </c>
      <c r="K988" t="s">
        <v>3219</v>
      </c>
      <c r="L988">
        <v>1.026316521411696</v>
      </c>
      <c r="M988">
        <v>28.78</v>
      </c>
      <c r="N988">
        <v>3.28</v>
      </c>
    </row>
    <row r="989" spans="1:14">
      <c r="A989" s="1" t="s">
        <v>1001</v>
      </c>
      <c r="B989">
        <f>HYPERLINK("https://www.suredividend.com/sure-analysis-research-database/","Esquire Financial Holdings Inc")</f>
        <v>0</v>
      </c>
      <c r="C989" t="s">
        <v>3221</v>
      </c>
      <c r="D989">
        <v>34.18</v>
      </c>
      <c r="E989">
        <v>0</v>
      </c>
      <c r="H989">
        <v>0</v>
      </c>
      <c r="I989">
        <v>276.048618</v>
      </c>
      <c r="J989">
        <v>0</v>
      </c>
      <c r="K989" t="s">
        <v>3219</v>
      </c>
      <c r="L989">
        <v>0.268832351756991</v>
      </c>
      <c r="M989">
        <v>37.51</v>
      </c>
      <c r="N989">
        <v>22.6</v>
      </c>
    </row>
    <row r="990" spans="1:14">
      <c r="A990" s="1" t="s">
        <v>1002</v>
      </c>
      <c r="B990">
        <f>HYPERLINK("https://www.suredividend.com/sure-analysis-ESRT/","Empire State Realty Trust Inc")</f>
        <v>0</v>
      </c>
      <c r="C990" t="s">
        <v>3224</v>
      </c>
      <c r="D990">
        <v>8.9</v>
      </c>
      <c r="E990">
        <v>0.01573033707865169</v>
      </c>
      <c r="H990">
        <v>0.139205567126173</v>
      </c>
      <c r="I990">
        <v>1504.011712</v>
      </c>
      <c r="J990" t="s">
        <v>3219</v>
      </c>
      <c r="K990" t="s">
        <v>3219</v>
      </c>
      <c r="L990">
        <v>0.9375256377730131</v>
      </c>
      <c r="M990">
        <v>12.93</v>
      </c>
      <c r="N990">
        <v>8.33</v>
      </c>
    </row>
    <row r="991" spans="1:14">
      <c r="A991" s="1" t="s">
        <v>1003</v>
      </c>
      <c r="B991">
        <f>HYPERLINK("https://www.suredividend.com/sure-analysis-ESS/","Essex Property Trust, Inc.")</f>
        <v>0</v>
      </c>
      <c r="C991" t="s">
        <v>3224</v>
      </c>
      <c r="D991">
        <v>345.51</v>
      </c>
      <c r="E991">
        <v>0.02546959567016874</v>
      </c>
      <c r="F991">
        <v>0.05263157894736858</v>
      </c>
      <c r="G991">
        <v>0.04683184708394994</v>
      </c>
      <c r="H991">
        <v>8.393215615053178</v>
      </c>
      <c r="I991">
        <v>22488.496489</v>
      </c>
      <c r="J991">
        <v>46.03072841243752</v>
      </c>
      <c r="K991">
        <v>1.117605274973792</v>
      </c>
      <c r="L991">
        <v>0.732266767476465</v>
      </c>
      <c r="M991">
        <v>357.27</v>
      </c>
      <c r="N991">
        <v>272.24</v>
      </c>
    </row>
    <row r="992" spans="1:14">
      <c r="A992" s="1" t="s">
        <v>1004</v>
      </c>
      <c r="B992">
        <f>HYPERLINK("https://www.suredividend.com/sure-analysis-research-database/","ESSA Bancorp Inc")</f>
        <v>0</v>
      </c>
      <c r="C992" t="s">
        <v>3221</v>
      </c>
      <c r="D992">
        <v>17</v>
      </c>
      <c r="E992">
        <v>0.027948796792049</v>
      </c>
      <c r="F992">
        <v>0</v>
      </c>
      <c r="G992">
        <v>0.05922384104881218</v>
      </c>
      <c r="H992">
        <v>0.475129545464845</v>
      </c>
      <c r="I992">
        <v>178.319647</v>
      </c>
      <c r="J992">
        <v>10.55020985682168</v>
      </c>
      <c r="K992">
        <v>0.2778535353595585</v>
      </c>
      <c r="M992">
        <v>18.75</v>
      </c>
      <c r="N992">
        <v>14.58</v>
      </c>
    </row>
    <row r="993" spans="1:14">
      <c r="A993" s="1" t="s">
        <v>1005</v>
      </c>
      <c r="B993">
        <f>HYPERLINK("https://www.suredividend.com/sure-analysis-research-database/","Elastic N.V")</f>
        <v>0</v>
      </c>
      <c r="C993" t="s">
        <v>3222</v>
      </c>
      <c r="D993">
        <v>90</v>
      </c>
      <c r="E993">
        <v>0</v>
      </c>
      <c r="H993">
        <v>0</v>
      </c>
      <c r="I993">
        <v>8412.20919</v>
      </c>
      <c r="J993" t="s">
        <v>3219</v>
      </c>
      <c r="K993">
        <v>-0</v>
      </c>
      <c r="L993">
        <v>1.951087655033598</v>
      </c>
      <c r="M993">
        <v>189.84</v>
      </c>
      <c r="N993">
        <v>66.39</v>
      </c>
    </row>
    <row r="994" spans="1:14">
      <c r="A994" s="1" t="s">
        <v>1006</v>
      </c>
      <c r="B994">
        <f>HYPERLINK("https://www.suredividend.com/sure-analysis-research-database/","Earthstone Energy Inc")</f>
        <v>0</v>
      </c>
      <c r="C994" t="s">
        <v>3226</v>
      </c>
      <c r="D994">
        <v>13.76</v>
      </c>
      <c r="E994">
        <v>0</v>
      </c>
      <c r="H994">
        <v>0</v>
      </c>
      <c r="I994">
        <v>1008.625269</v>
      </c>
      <c r="J994">
        <v>0</v>
      </c>
      <c r="K994" t="s">
        <v>3219</v>
      </c>
      <c r="L994">
        <v>1.177825392774747</v>
      </c>
      <c r="M994">
        <v>15.27</v>
      </c>
      <c r="N994">
        <v>6.44</v>
      </c>
    </row>
    <row r="995" spans="1:14">
      <c r="A995" s="1" t="s">
        <v>1007</v>
      </c>
      <c r="B995">
        <f>HYPERLINK("https://www.suredividend.com/sure-analysis-research-database/","Community Bankers Trust Corp")</f>
        <v>0</v>
      </c>
      <c r="C995" t="s">
        <v>3221</v>
      </c>
      <c r="D995">
        <v>11.3</v>
      </c>
      <c r="E995">
        <v>0</v>
      </c>
      <c r="H995">
        <v>0.259999997913837</v>
      </c>
      <c r="I995">
        <v>0</v>
      </c>
      <c r="J995">
        <v>0</v>
      </c>
      <c r="K995" t="s">
        <v>3219</v>
      </c>
    </row>
    <row r="996" spans="1:14">
      <c r="A996" s="1" t="s">
        <v>1008</v>
      </c>
      <c r="B996">
        <f>HYPERLINK("https://www.suredividend.com/sure-analysis-ETN/","Eaton Corporation plc")</f>
        <v>0</v>
      </c>
      <c r="C996" t="s">
        <v>3220</v>
      </c>
      <c r="D996">
        <v>139.91</v>
      </c>
      <c r="E996">
        <v>0.02315774426416983</v>
      </c>
      <c r="F996">
        <v>0.06578947368421062</v>
      </c>
      <c r="G996">
        <v>0.06185875879493441</v>
      </c>
      <c r="H996">
        <v>3.067610591125033</v>
      </c>
      <c r="I996">
        <v>55903.825548</v>
      </c>
      <c r="J996">
        <v>26.07454549834888</v>
      </c>
      <c r="K996">
        <v>0.5744589121956991</v>
      </c>
      <c r="L996">
        <v>1.076226993468352</v>
      </c>
      <c r="M996">
        <v>174.77</v>
      </c>
      <c r="N996">
        <v>134.88</v>
      </c>
    </row>
    <row r="997" spans="1:14">
      <c r="A997" s="1" t="s">
        <v>1009</v>
      </c>
      <c r="B997">
        <f>HYPERLINK("https://www.suredividend.com/sure-analysis-ETR/","Entergy Corp.")</f>
        <v>0</v>
      </c>
      <c r="C997" t="s">
        <v>3227</v>
      </c>
      <c r="D997">
        <v>124.2</v>
      </c>
      <c r="E997">
        <v>0.03252818035426731</v>
      </c>
      <c r="F997">
        <v>0.06315789473684208</v>
      </c>
      <c r="G997">
        <v>0.0302922291651091</v>
      </c>
      <c r="H997">
        <v>3.867045133904388</v>
      </c>
      <c r="I997">
        <v>24961.877212</v>
      </c>
      <c r="J997">
        <v>22.31743920528712</v>
      </c>
      <c r="K997">
        <v>0.6980225873473624</v>
      </c>
      <c r="L997">
        <v>0.307831534459006</v>
      </c>
      <c r="M997">
        <v>124.76</v>
      </c>
      <c r="N997">
        <v>96.56</v>
      </c>
    </row>
    <row r="998" spans="1:14">
      <c r="A998" s="1" t="s">
        <v>1010</v>
      </c>
      <c r="B998">
        <f>HYPERLINK("https://www.suredividend.com/sure-analysis-research-database/","Equitrans Midstream Corporation")</f>
        <v>0</v>
      </c>
      <c r="C998" t="s">
        <v>3226</v>
      </c>
      <c r="D998">
        <v>8.210000000000001</v>
      </c>
      <c r="E998">
        <v>0.07121170591728801</v>
      </c>
      <c r="H998">
        <v>0.584648105580941</v>
      </c>
      <c r="I998">
        <v>3565.793382</v>
      </c>
      <c r="J998" t="s">
        <v>3219</v>
      </c>
      <c r="K998" t="s">
        <v>3219</v>
      </c>
      <c r="L998">
        <v>1.035065182650028</v>
      </c>
      <c r="M998">
        <v>11.14</v>
      </c>
      <c r="N998">
        <v>5.87</v>
      </c>
    </row>
    <row r="999" spans="1:14">
      <c r="A999" s="1" t="s">
        <v>1011</v>
      </c>
      <c r="B999">
        <f>HYPERLINK("https://www.suredividend.com/sure-analysis-research-database/","Etsy Inc")</f>
        <v>0</v>
      </c>
      <c r="C999" t="s">
        <v>3223</v>
      </c>
      <c r="D999">
        <v>115.79</v>
      </c>
      <c r="E999">
        <v>0</v>
      </c>
      <c r="H999">
        <v>0</v>
      </c>
      <c r="I999">
        <v>14709.144817</v>
      </c>
      <c r="J999">
        <v>29.80534180333815</v>
      </c>
      <c r="K999">
        <v>0</v>
      </c>
      <c r="L999">
        <v>1.973727098250365</v>
      </c>
      <c r="M999">
        <v>307.75</v>
      </c>
      <c r="N999">
        <v>109.38</v>
      </c>
    </row>
    <row r="1000" spans="1:14">
      <c r="A1000" s="1" t="s">
        <v>1012</v>
      </c>
      <c r="B1000">
        <f>HYPERLINK("https://www.suredividend.com/sure-analysis-research-database/","Eaton Vance Corp.")</f>
        <v>0</v>
      </c>
      <c r="C1000" t="s">
        <v>3221</v>
      </c>
      <c r="D1000">
        <v>73.06999999999999</v>
      </c>
      <c r="E1000">
        <v>0.019393712155093</v>
      </c>
      <c r="H1000">
        <v>1.417098547172647</v>
      </c>
      <c r="I1000">
        <v>8344.346219999999</v>
      </c>
      <c r="J1000">
        <v>60.24102789302319</v>
      </c>
      <c r="K1000">
        <v>1.180915455977206</v>
      </c>
      <c r="L1000">
        <v>1.459801302580515</v>
      </c>
      <c r="M1000">
        <v>75.61</v>
      </c>
      <c r="N1000">
        <v>21.43</v>
      </c>
    </row>
    <row r="1001" spans="1:14">
      <c r="A1001" s="1" t="s">
        <v>1013</v>
      </c>
      <c r="B1001">
        <f>HYPERLINK("https://www.suredividend.com/sure-analysis-research-database/","Everbridge Inc")</f>
        <v>0</v>
      </c>
      <c r="C1001" t="s">
        <v>3222</v>
      </c>
      <c r="D1001">
        <v>49.8</v>
      </c>
      <c r="E1001">
        <v>0</v>
      </c>
      <c r="H1001">
        <v>0</v>
      </c>
      <c r="I1001">
        <v>1967.039842</v>
      </c>
      <c r="J1001" t="s">
        <v>3219</v>
      </c>
      <c r="K1001">
        <v>-0</v>
      </c>
      <c r="L1001">
        <v>1.071761481382188</v>
      </c>
      <c r="M1001">
        <v>167.4</v>
      </c>
      <c r="N1001">
        <v>27.81</v>
      </c>
    </row>
    <row r="1002" spans="1:14">
      <c r="A1002" s="1" t="s">
        <v>1014</v>
      </c>
      <c r="B1002">
        <f>HYPERLINK("https://www.suredividend.com/sure-analysis-research-database/","Evans Bancorp Inc")</f>
        <v>0</v>
      </c>
      <c r="C1002" t="s">
        <v>3221</v>
      </c>
      <c r="D1002">
        <v>38.76</v>
      </c>
      <c r="E1002">
        <v>0.031231396150374</v>
      </c>
      <c r="H1002">
        <v>1.210528914788503</v>
      </c>
      <c r="I1002">
        <v>213.098216</v>
      </c>
      <c r="J1002">
        <v>0</v>
      </c>
      <c r="K1002" t="s">
        <v>3219</v>
      </c>
      <c r="L1002">
        <v>0.320092390113897</v>
      </c>
      <c r="M1002">
        <v>43.77</v>
      </c>
      <c r="N1002">
        <v>32.99</v>
      </c>
    </row>
    <row r="1003" spans="1:14">
      <c r="A1003" s="1" t="s">
        <v>1015</v>
      </c>
      <c r="B1003">
        <f>HYPERLINK("https://www.suredividend.com/sure-analysis-research-database/","Entravision Communications Corp.")</f>
        <v>0</v>
      </c>
      <c r="C1003" t="s">
        <v>3228</v>
      </c>
      <c r="D1003">
        <v>5.53</v>
      </c>
      <c r="E1003">
        <v>0.017976860348997</v>
      </c>
      <c r="F1003">
        <v>0</v>
      </c>
      <c r="G1003">
        <v>-0.04334117327338505</v>
      </c>
      <c r="H1003">
        <v>0.09941203772995801</v>
      </c>
      <c r="I1003">
        <v>349.472763</v>
      </c>
      <c r="J1003">
        <v>11.93065556943876</v>
      </c>
      <c r="K1003">
        <v>0.2983554553720228</v>
      </c>
      <c r="L1003">
        <v>1.435515994356795</v>
      </c>
      <c r="M1003">
        <v>9.27</v>
      </c>
      <c r="N1003">
        <v>3.53</v>
      </c>
    </row>
    <row r="1004" spans="1:14">
      <c r="A1004" s="1" t="s">
        <v>1016</v>
      </c>
      <c r="B1004">
        <f>HYPERLINK("https://www.suredividend.com/sure-analysis-research-database/","EverQuote Inc")</f>
        <v>0</v>
      </c>
      <c r="C1004" t="s">
        <v>3228</v>
      </c>
      <c r="D1004">
        <v>15.08</v>
      </c>
      <c r="E1004">
        <v>0</v>
      </c>
      <c r="H1004">
        <v>0</v>
      </c>
      <c r="I1004">
        <v>349.494095</v>
      </c>
      <c r="J1004">
        <v>0</v>
      </c>
      <c r="K1004" t="s">
        <v>3219</v>
      </c>
      <c r="L1004">
        <v>1.077847353366851</v>
      </c>
      <c r="M1004">
        <v>36.38</v>
      </c>
      <c r="N1004">
        <v>11.73</v>
      </c>
    </row>
    <row r="1005" spans="1:14">
      <c r="A1005" s="1" t="s">
        <v>1017</v>
      </c>
      <c r="B1005">
        <f>HYPERLINK("https://www.suredividend.com/sure-analysis-research-database/","Evofem Biosciences Inc")</f>
        <v>0</v>
      </c>
      <c r="C1005" t="s">
        <v>3217</v>
      </c>
      <c r="D1005">
        <v>0.226</v>
      </c>
      <c r="E1005">
        <v>0</v>
      </c>
      <c r="H1005">
        <v>0</v>
      </c>
      <c r="I1005">
        <v>41.181669</v>
      </c>
      <c r="J1005">
        <v>0</v>
      </c>
      <c r="K1005" t="s">
        <v>3219</v>
      </c>
      <c r="L1005">
        <v>1.263271196666367</v>
      </c>
      <c r="M1005">
        <v>1.62</v>
      </c>
      <c r="N1005">
        <v>0.225</v>
      </c>
    </row>
    <row r="1006" spans="1:14">
      <c r="A1006" s="1" t="s">
        <v>1018</v>
      </c>
      <c r="B1006">
        <f>HYPERLINK("https://www.suredividend.com/sure-analysis-research-database/","Evolent Health Inc")</f>
        <v>0</v>
      </c>
      <c r="C1006" t="s">
        <v>3217</v>
      </c>
      <c r="D1006">
        <v>30.33</v>
      </c>
      <c r="E1006">
        <v>0</v>
      </c>
      <c r="H1006">
        <v>0</v>
      </c>
      <c r="I1006">
        <v>2754.792191</v>
      </c>
      <c r="J1006" t="s">
        <v>3219</v>
      </c>
      <c r="K1006">
        <v>-0</v>
      </c>
      <c r="L1006">
        <v>1.144980112141622</v>
      </c>
      <c r="M1006">
        <v>34.6</v>
      </c>
      <c r="N1006">
        <v>17.62</v>
      </c>
    </row>
    <row r="1007" spans="1:14">
      <c r="A1007" s="1" t="s">
        <v>1019</v>
      </c>
      <c r="B1007">
        <f>HYPERLINK("https://www.suredividend.com/sure-analysis-research-database/","EVI Industries Inc")</f>
        <v>0</v>
      </c>
      <c r="C1007" t="s">
        <v>3220</v>
      </c>
      <c r="D1007">
        <v>21.41</v>
      </c>
      <c r="E1007">
        <v>0</v>
      </c>
      <c r="H1007">
        <v>0</v>
      </c>
      <c r="I1007">
        <v>263.20103</v>
      </c>
      <c r="J1007">
        <v>0</v>
      </c>
      <c r="K1007" t="s">
        <v>3219</v>
      </c>
      <c r="L1007">
        <v>0.6378216944456241</v>
      </c>
      <c r="M1007">
        <v>38.42</v>
      </c>
      <c r="N1007">
        <v>16.7</v>
      </c>
    </row>
    <row r="1008" spans="1:14">
      <c r="A1008" s="1" t="s">
        <v>1020</v>
      </c>
      <c r="B1008">
        <f>HYPERLINK("https://www.suredividend.com/sure-analysis-research-database/","Evoke Pharma Inc")</f>
        <v>0</v>
      </c>
      <c r="C1008" t="s">
        <v>3217</v>
      </c>
      <c r="D1008">
        <v>0.383</v>
      </c>
      <c r="E1008">
        <v>0</v>
      </c>
      <c r="H1008">
        <v>0</v>
      </c>
      <c r="I1008">
        <v>12.607556</v>
      </c>
      <c r="J1008">
        <v>0</v>
      </c>
      <c r="K1008" t="s">
        <v>3219</v>
      </c>
      <c r="L1008">
        <v>-0.019860548728105</v>
      </c>
      <c r="M1008">
        <v>1.81</v>
      </c>
      <c r="N1008">
        <v>0.3602</v>
      </c>
    </row>
    <row r="1009" spans="1:14">
      <c r="A1009" s="1" t="s">
        <v>1021</v>
      </c>
      <c r="B1009">
        <f>HYPERLINK("https://www.suredividend.com/sure-analysis-research-database/","Evolving Systems, Inc.")</f>
        <v>0</v>
      </c>
      <c r="C1009" t="s">
        <v>3222</v>
      </c>
      <c r="D1009">
        <v>1.45</v>
      </c>
      <c r="E1009">
        <v>0</v>
      </c>
      <c r="H1009">
        <v>0</v>
      </c>
      <c r="I1009">
        <v>17.883117</v>
      </c>
      <c r="J1009">
        <v>25.58385808297568</v>
      </c>
      <c r="K1009">
        <v>0</v>
      </c>
      <c r="L1009">
        <v>0.8579692759716681</v>
      </c>
      <c r="M1009">
        <v>3.16</v>
      </c>
      <c r="N1009">
        <v>1.36</v>
      </c>
    </row>
    <row r="1010" spans="1:14">
      <c r="A1010" s="1" t="s">
        <v>1022</v>
      </c>
      <c r="B1010">
        <f>HYPERLINK("https://www.suredividend.com/sure-analysis-research-database/","EVO Payments Inc")</f>
        <v>0</v>
      </c>
      <c r="C1010" t="s">
        <v>3222</v>
      </c>
      <c r="D1010">
        <v>23.15</v>
      </c>
      <c r="E1010">
        <v>0</v>
      </c>
      <c r="H1010">
        <v>0</v>
      </c>
      <c r="I1010">
        <v>1098.539196</v>
      </c>
      <c r="J1010" t="s">
        <v>3219</v>
      </c>
      <c r="K1010">
        <v>-0</v>
      </c>
      <c r="L1010">
        <v>1.119680967242547</v>
      </c>
      <c r="M1010">
        <v>30.46</v>
      </c>
      <c r="N1010">
        <v>20.07</v>
      </c>
    </row>
    <row r="1011" spans="1:14">
      <c r="A1011" s="1" t="s">
        <v>1023</v>
      </c>
      <c r="B1011">
        <f>HYPERLINK("https://www.suredividend.com/sure-analysis-research-database/","Evercore Inc")</f>
        <v>0</v>
      </c>
      <c r="C1011" t="s">
        <v>3221</v>
      </c>
      <c r="D1011">
        <v>106.12</v>
      </c>
      <c r="E1011">
        <v>0.025435854879072</v>
      </c>
      <c r="H1011">
        <v>2.699252919767146</v>
      </c>
      <c r="I1011">
        <v>4075.425052</v>
      </c>
      <c r="J1011">
        <v>5.506467974749905</v>
      </c>
      <c r="K1011">
        <v>0.1580358852322685</v>
      </c>
      <c r="L1011">
        <v>1.404007399030403</v>
      </c>
      <c r="M1011">
        <v>162.98</v>
      </c>
      <c r="N1011">
        <v>103.11</v>
      </c>
    </row>
    <row r="1012" spans="1:14">
      <c r="A1012" s="1" t="s">
        <v>1024</v>
      </c>
      <c r="B1012">
        <f>HYPERLINK("https://www.suredividend.com/sure-analysis-EVRG/","Evergy Inc")</f>
        <v>0</v>
      </c>
      <c r="C1012" t="s">
        <v>3227</v>
      </c>
      <c r="D1012">
        <v>70.81</v>
      </c>
      <c r="E1012">
        <v>0.03234006496257591</v>
      </c>
      <c r="H1012">
        <v>2.186612096473586</v>
      </c>
      <c r="I1012">
        <v>16236.924187</v>
      </c>
      <c r="J1012">
        <v>18.4573424883483</v>
      </c>
      <c r="K1012">
        <v>0.5709169964682992</v>
      </c>
      <c r="L1012">
        <v>0.288999130892416</v>
      </c>
      <c r="M1012">
        <v>71.48</v>
      </c>
      <c r="N1012">
        <v>58.58</v>
      </c>
    </row>
    <row r="1013" spans="1:14">
      <c r="A1013" s="1" t="s">
        <v>1025</v>
      </c>
      <c r="B1013">
        <f>HYPERLINK("https://www.suredividend.com/sure-analysis-research-database/","Everi Holdings Inc")</f>
        <v>0</v>
      </c>
      <c r="C1013" t="s">
        <v>3223</v>
      </c>
      <c r="D1013">
        <v>19.32</v>
      </c>
      <c r="E1013">
        <v>0</v>
      </c>
      <c r="H1013">
        <v>0</v>
      </c>
      <c r="I1013">
        <v>1766.025609</v>
      </c>
      <c r="J1013">
        <v>11.54831197488965</v>
      </c>
      <c r="K1013">
        <v>0</v>
      </c>
      <c r="L1013">
        <v>1.871676963575626</v>
      </c>
      <c r="M1013">
        <v>26.61</v>
      </c>
      <c r="N1013">
        <v>13.38</v>
      </c>
    </row>
    <row r="1014" spans="1:14">
      <c r="A1014" s="1" t="s">
        <v>1026</v>
      </c>
      <c r="B1014">
        <f>HYPERLINK("https://www.suredividend.com/sure-analysis-research-database/","Evertec Inc")</f>
        <v>0</v>
      </c>
      <c r="C1014" t="s">
        <v>3222</v>
      </c>
      <c r="D1014">
        <v>40.72</v>
      </c>
      <c r="E1014">
        <v>0.004902945000299</v>
      </c>
      <c r="H1014">
        <v>0.199647920412184</v>
      </c>
      <c r="I1014">
        <v>2923.260215</v>
      </c>
      <c r="J1014">
        <v>18.14224672351517</v>
      </c>
      <c r="K1014">
        <v>0.09033842552587512</v>
      </c>
      <c r="L1014">
        <v>0.896876576475891</v>
      </c>
      <c r="M1014">
        <v>51</v>
      </c>
      <c r="N1014">
        <v>37.39</v>
      </c>
    </row>
    <row r="1015" spans="1:14">
      <c r="A1015" s="1" t="s">
        <v>1027</v>
      </c>
      <c r="B1015">
        <f>HYPERLINK("https://www.suredividend.com/sure-analysis-research-database/","Edwards Lifesciences Corp")</f>
        <v>0</v>
      </c>
      <c r="C1015" t="s">
        <v>3217</v>
      </c>
      <c r="D1015">
        <v>120.02</v>
      </c>
      <c r="E1015">
        <v>0</v>
      </c>
      <c r="H1015">
        <v>0</v>
      </c>
      <c r="I1015">
        <v>74570.422773</v>
      </c>
      <c r="J1015">
        <v>49.61108560490985</v>
      </c>
      <c r="K1015">
        <v>0</v>
      </c>
      <c r="L1015">
        <v>1.19247054555952</v>
      </c>
      <c r="M1015">
        <v>131.73</v>
      </c>
      <c r="N1015">
        <v>87.31999999999999</v>
      </c>
    </row>
    <row r="1016" spans="1:14">
      <c r="A1016" s="1" t="s">
        <v>1028</v>
      </c>
      <c r="B1016">
        <f>HYPERLINK("https://www.suredividend.com/sure-analysis-research-database/","East West Bancorp, Inc.")</f>
        <v>0</v>
      </c>
      <c r="C1016" t="s">
        <v>3221</v>
      </c>
      <c r="D1016">
        <v>74.95999999999999</v>
      </c>
      <c r="E1016">
        <v>0.018425688098212</v>
      </c>
      <c r="F1016">
        <v>0.2121212121212122</v>
      </c>
      <c r="G1016">
        <v>0.1486983549970351</v>
      </c>
      <c r="H1016">
        <v>1.381189579841975</v>
      </c>
      <c r="I1016">
        <v>10663.548739</v>
      </c>
      <c r="J1016">
        <v>12.2150983116471</v>
      </c>
      <c r="K1016">
        <v>0.2264245212855697</v>
      </c>
      <c r="L1016">
        <v>1.45686761320905</v>
      </c>
      <c r="M1016">
        <v>93.51000000000001</v>
      </c>
      <c r="N1016">
        <v>64.98999999999999</v>
      </c>
    </row>
    <row r="1017" spans="1:14">
      <c r="A1017" s="1" t="s">
        <v>1029</v>
      </c>
      <c r="B1017">
        <f>HYPERLINK("https://www.suredividend.com/sure-analysis-research-database/","Exact Sciences Corp.")</f>
        <v>0</v>
      </c>
      <c r="C1017" t="s">
        <v>3217</v>
      </c>
      <c r="D1017">
        <v>69.61</v>
      </c>
      <c r="E1017">
        <v>0</v>
      </c>
      <c r="H1017">
        <v>0</v>
      </c>
      <c r="I1017">
        <v>12120.256387</v>
      </c>
      <c r="J1017" t="s">
        <v>3219</v>
      </c>
      <c r="K1017">
        <v>-0</v>
      </c>
      <c r="L1017">
        <v>1.381383348540706</v>
      </c>
      <c r="M1017">
        <v>140.18</v>
      </c>
      <c r="N1017">
        <v>56.77</v>
      </c>
    </row>
    <row r="1018" spans="1:14">
      <c r="A1018" s="1" t="s">
        <v>1030</v>
      </c>
      <c r="B1018">
        <f>HYPERLINK("https://www.suredividend.com/sure-analysis-EXC/","Exelon Corp.")</f>
        <v>0</v>
      </c>
      <c r="C1018" t="s">
        <v>3227</v>
      </c>
      <c r="D1018">
        <v>49.03</v>
      </c>
      <c r="E1018">
        <v>0.02753416275749541</v>
      </c>
      <c r="F1018">
        <v>-0.1176470588235293</v>
      </c>
      <c r="G1018">
        <v>0.006033620447911447</v>
      </c>
      <c r="H1018">
        <v>1.142958818319526</v>
      </c>
      <c r="I1018">
        <v>48056.115541</v>
      </c>
      <c r="J1018">
        <v>28.16888367001172</v>
      </c>
      <c r="K1018">
        <v>0.9217409825157469</v>
      </c>
      <c r="L1018">
        <v>0.4263509260951671</v>
      </c>
      <c r="M1018">
        <v>50.29</v>
      </c>
      <c r="N1018">
        <v>29.65</v>
      </c>
    </row>
    <row r="1019" spans="1:14">
      <c r="A1019" s="1" t="s">
        <v>1031</v>
      </c>
      <c r="B1019">
        <f>HYPERLINK("https://www.suredividend.com/sure-analysis-research-database/","Exelixis Inc")</f>
        <v>0</v>
      </c>
      <c r="C1019" t="s">
        <v>3217</v>
      </c>
      <c r="D1019">
        <v>23.09</v>
      </c>
      <c r="E1019">
        <v>0</v>
      </c>
      <c r="H1019">
        <v>0</v>
      </c>
      <c r="I1019">
        <v>7376.058338</v>
      </c>
      <c r="J1019">
        <v>31.92228239770106</v>
      </c>
      <c r="K1019">
        <v>0</v>
      </c>
      <c r="L1019">
        <v>0.679202423716841</v>
      </c>
      <c r="M1019">
        <v>25.77</v>
      </c>
      <c r="N1019">
        <v>15.5</v>
      </c>
    </row>
    <row r="1020" spans="1:14">
      <c r="A1020" s="1" t="s">
        <v>1032</v>
      </c>
      <c r="B1020">
        <f>HYPERLINK("https://www.suredividend.com/sure-analysis-research-database/","Exlservice Hldgs Inc")</f>
        <v>0</v>
      </c>
      <c r="C1020" t="s">
        <v>3222</v>
      </c>
      <c r="D1020">
        <v>145.71</v>
      </c>
      <c r="E1020">
        <v>0</v>
      </c>
      <c r="H1020">
        <v>0</v>
      </c>
      <c r="I1020">
        <v>4838.368888</v>
      </c>
      <c r="J1020">
        <v>42.16149539021245</v>
      </c>
      <c r="K1020">
        <v>0</v>
      </c>
      <c r="L1020">
        <v>0.9196392213349611</v>
      </c>
      <c r="M1020">
        <v>149.69</v>
      </c>
      <c r="N1020">
        <v>91.59</v>
      </c>
    </row>
    <row r="1021" spans="1:14">
      <c r="A1021" s="1" t="s">
        <v>1033</v>
      </c>
      <c r="B1021">
        <f>HYPERLINK("https://www.suredividend.com/sure-analysis-research-database/","Eagle Materials Inc.")</f>
        <v>0</v>
      </c>
      <c r="C1021" t="s">
        <v>3218</v>
      </c>
      <c r="D1021">
        <v>123.79</v>
      </c>
      <c r="E1021">
        <v>0.008057021456415001</v>
      </c>
      <c r="H1021">
        <v>0.997378686089706</v>
      </c>
      <c r="I1021">
        <v>4890.368019</v>
      </c>
      <c r="J1021">
        <v>13.36377901208388</v>
      </c>
      <c r="K1021">
        <v>0.1135966612858435</v>
      </c>
      <c r="L1021">
        <v>1.30529263842729</v>
      </c>
      <c r="M1021">
        <v>168.84</v>
      </c>
      <c r="N1021">
        <v>119.41</v>
      </c>
    </row>
    <row r="1022" spans="1:14">
      <c r="A1022" s="1" t="s">
        <v>1034</v>
      </c>
      <c r="B1022">
        <f>HYPERLINK("https://www.suredividend.com/sure-analysis-EXPD/","Expeditors International Of Washington, Inc.")</f>
        <v>0</v>
      </c>
      <c r="C1022" t="s">
        <v>3220</v>
      </c>
      <c r="D1022">
        <v>96.69</v>
      </c>
      <c r="E1022">
        <v>0.01261764401696142</v>
      </c>
      <c r="H1022">
        <v>1.157346151756239</v>
      </c>
      <c r="I1022">
        <v>16185.718808</v>
      </c>
      <c r="J1022">
        <v>11.43469465610544</v>
      </c>
      <c r="K1022">
        <v>0.1399451211313469</v>
      </c>
      <c r="L1022">
        <v>0.865783874380174</v>
      </c>
      <c r="M1022">
        <v>137.8</v>
      </c>
      <c r="N1022">
        <v>94.95</v>
      </c>
    </row>
    <row r="1023" spans="1:14">
      <c r="A1023" s="1" t="s">
        <v>1035</v>
      </c>
      <c r="B1023">
        <f>HYPERLINK("https://www.suredividend.com/sure-analysis-research-database/","Expedia Group Inc")</f>
        <v>0</v>
      </c>
      <c r="C1023" t="s">
        <v>3223</v>
      </c>
      <c r="D1023">
        <v>191.55</v>
      </c>
      <c r="E1023">
        <v>0</v>
      </c>
      <c r="H1023">
        <v>0</v>
      </c>
      <c r="I1023">
        <v>28776.729853</v>
      </c>
      <c r="J1023" t="s">
        <v>3219</v>
      </c>
      <c r="K1023">
        <v>-0</v>
      </c>
      <c r="L1023">
        <v>1.426441946935619</v>
      </c>
      <c r="M1023">
        <v>217.72</v>
      </c>
      <c r="N1023">
        <v>136.77</v>
      </c>
    </row>
    <row r="1024" spans="1:14">
      <c r="A1024" s="1" t="s">
        <v>1036</v>
      </c>
      <c r="B1024">
        <f>HYPERLINK("https://www.suredividend.com/sure-analysis-research-database/","eXp World Holdings Inc")</f>
        <v>0</v>
      </c>
      <c r="C1024" t="s">
        <v>3224</v>
      </c>
      <c r="D1024">
        <v>16.34</v>
      </c>
      <c r="E1024">
        <v>0.004891963689103</v>
      </c>
      <c r="H1024">
        <v>0.07993468667995701</v>
      </c>
      <c r="I1024">
        <v>2430.813433</v>
      </c>
      <c r="J1024">
        <v>29.92875441122876</v>
      </c>
      <c r="K1024">
        <v>0.1552431281413032</v>
      </c>
      <c r="L1024">
        <v>2.304979966912617</v>
      </c>
      <c r="M1024">
        <v>55.29</v>
      </c>
      <c r="N1024">
        <v>16.12</v>
      </c>
    </row>
    <row r="1025" spans="1:14">
      <c r="A1025" s="1" t="s">
        <v>1037</v>
      </c>
      <c r="B1025">
        <f>HYPERLINK("https://www.suredividend.com/sure-analysis-EXPO/","Exponent Inc.")</f>
        <v>0</v>
      </c>
      <c r="C1025" t="s">
        <v>3220</v>
      </c>
      <c r="D1025">
        <v>107.86</v>
      </c>
      <c r="E1025">
        <v>0.008900426478768774</v>
      </c>
      <c r="F1025">
        <v>0.2</v>
      </c>
      <c r="G1025">
        <v>0.02706608708935176</v>
      </c>
      <c r="H1025">
        <v>0.8374588363619191</v>
      </c>
      <c r="I1025">
        <v>5621.249125</v>
      </c>
      <c r="J1025">
        <v>55.54484225074603</v>
      </c>
      <c r="K1025">
        <v>0.4407678086115364</v>
      </c>
      <c r="L1025">
        <v>0.8852254265181441</v>
      </c>
      <c r="M1025">
        <v>127.07</v>
      </c>
      <c r="N1025">
        <v>83.28</v>
      </c>
    </row>
    <row r="1026" spans="1:14">
      <c r="A1026" s="1" t="s">
        <v>1038</v>
      </c>
      <c r="B1026">
        <f>HYPERLINK("https://www.suredividend.com/sure-analysis-research-database/","Express Inc.")</f>
        <v>0</v>
      </c>
      <c r="C1026" t="s">
        <v>3223</v>
      </c>
      <c r="D1026">
        <v>3.31</v>
      </c>
      <c r="E1026">
        <v>0</v>
      </c>
      <c r="H1026">
        <v>0</v>
      </c>
      <c r="I1026">
        <v>222.023337</v>
      </c>
      <c r="J1026" t="s">
        <v>3219</v>
      </c>
      <c r="K1026">
        <v>-0</v>
      </c>
      <c r="L1026">
        <v>1.84706585415291</v>
      </c>
      <c r="M1026">
        <v>8.67</v>
      </c>
      <c r="N1026">
        <v>2.74</v>
      </c>
    </row>
    <row r="1027" spans="1:14">
      <c r="A1027" s="1" t="s">
        <v>1039</v>
      </c>
      <c r="B1027">
        <f>HYPERLINK("https://www.suredividend.com/sure-analysis-EXR/","Extra Space Storage Inc.")</f>
        <v>0</v>
      </c>
      <c r="C1027" t="s">
        <v>3224</v>
      </c>
      <c r="D1027">
        <v>212.55</v>
      </c>
      <c r="E1027">
        <v>0.02822865208186309</v>
      </c>
      <c r="F1027">
        <v>0.5</v>
      </c>
      <c r="G1027">
        <v>0.1397230490720158</v>
      </c>
      <c r="H1027">
        <v>4.953557468322126</v>
      </c>
      <c r="I1027">
        <v>28535.066204</v>
      </c>
      <c r="J1027">
        <v>34.52660630177164</v>
      </c>
      <c r="K1027">
        <v>0.8395860115800213</v>
      </c>
      <c r="L1027">
        <v>0.6208148114017521</v>
      </c>
      <c r="M1027">
        <v>227.09</v>
      </c>
      <c r="N1027">
        <v>137.96</v>
      </c>
    </row>
    <row r="1028" spans="1:14">
      <c r="A1028" s="1" t="s">
        <v>1040</v>
      </c>
      <c r="B1028">
        <f>HYPERLINK("https://www.suredividend.com/sure-analysis-research-database/","Exterran Corp")</f>
        <v>0</v>
      </c>
      <c r="C1028" t="s">
        <v>3226</v>
      </c>
      <c r="D1028">
        <v>7.49</v>
      </c>
      <c r="E1028">
        <v>0</v>
      </c>
      <c r="H1028">
        <v>0</v>
      </c>
      <c r="I1028">
        <v>249.54463</v>
      </c>
      <c r="J1028" t="s">
        <v>3219</v>
      </c>
      <c r="K1028">
        <v>-0</v>
      </c>
      <c r="L1028">
        <v>1.110843699121894</v>
      </c>
      <c r="M1028">
        <v>7.58</v>
      </c>
      <c r="N1028">
        <v>2.67</v>
      </c>
    </row>
    <row r="1029" spans="1:14">
      <c r="A1029" s="1" t="s">
        <v>1041</v>
      </c>
      <c r="B1029">
        <f>HYPERLINK("https://www.suredividend.com/sure-analysis-research-database/","Extreme Networks Inc.")</f>
        <v>0</v>
      </c>
      <c r="C1029" t="s">
        <v>3222</v>
      </c>
      <c r="D1029">
        <v>11.56</v>
      </c>
      <c r="E1029">
        <v>0</v>
      </c>
      <c r="H1029">
        <v>0</v>
      </c>
      <c r="I1029">
        <v>1493.700754</v>
      </c>
      <c r="J1029">
        <v>37.49719478046944</v>
      </c>
      <c r="K1029">
        <v>0</v>
      </c>
      <c r="L1029">
        <v>1.978667439905261</v>
      </c>
      <c r="M1029">
        <v>16.61</v>
      </c>
      <c r="N1029">
        <v>8.98</v>
      </c>
    </row>
    <row r="1030" spans="1:14">
      <c r="A1030" s="1" t="s">
        <v>1042</v>
      </c>
      <c r="B1030">
        <f>HYPERLINK("https://www.suredividend.com/sure-analysis-research-database/","National Vision Holdings Inc")</f>
        <v>0</v>
      </c>
      <c r="C1030" t="s">
        <v>3223</v>
      </c>
      <c r="D1030">
        <v>42.63</v>
      </c>
      <c r="E1030">
        <v>0</v>
      </c>
      <c r="H1030">
        <v>0</v>
      </c>
      <c r="I1030">
        <v>3470.420653</v>
      </c>
      <c r="J1030">
        <v>27.06107617292037</v>
      </c>
      <c r="K1030">
        <v>0</v>
      </c>
      <c r="L1030">
        <v>1.172697151561736</v>
      </c>
      <c r="M1030">
        <v>65.92</v>
      </c>
      <c r="N1030">
        <v>34.7</v>
      </c>
    </row>
    <row r="1031" spans="1:14">
      <c r="A1031" s="1" t="s">
        <v>1043</v>
      </c>
      <c r="B1031">
        <f>HYPERLINK("https://www.suredividend.com/sure-analysis-research-database/","Eyegate Pharmaceuticals Inc")</f>
        <v>0</v>
      </c>
      <c r="C1031" t="s">
        <v>3217</v>
      </c>
      <c r="D1031">
        <v>1.95</v>
      </c>
      <c r="E1031">
        <v>0</v>
      </c>
      <c r="H1031">
        <v>0</v>
      </c>
      <c r="I1031">
        <v>24.607549</v>
      </c>
      <c r="J1031">
        <v>0</v>
      </c>
      <c r="K1031" t="s">
        <v>3219</v>
      </c>
      <c r="L1031">
        <v>0.761998129625139</v>
      </c>
      <c r="M1031">
        <v>8.18</v>
      </c>
      <c r="N1031">
        <v>1.44</v>
      </c>
    </row>
    <row r="1032" spans="1:14">
      <c r="A1032" s="1" t="s">
        <v>1044</v>
      </c>
      <c r="B1032">
        <f>HYPERLINK("https://www.suredividend.com/sure-analysis-research-database/","Second Sight Medical Products Inc")</f>
        <v>0</v>
      </c>
      <c r="C1032" t="s">
        <v>3217</v>
      </c>
      <c r="D1032">
        <v>1.4</v>
      </c>
      <c r="E1032">
        <v>0</v>
      </c>
      <c r="H1032">
        <v>0</v>
      </c>
      <c r="I1032">
        <v>55.172846</v>
      </c>
      <c r="J1032" t="s">
        <v>3219</v>
      </c>
      <c r="K1032">
        <v>-0</v>
      </c>
      <c r="L1032">
        <v>1.316317963458126</v>
      </c>
      <c r="M1032">
        <v>8.18</v>
      </c>
      <c r="N1032">
        <v>1.14</v>
      </c>
    </row>
    <row r="1033" spans="1:14">
      <c r="A1033" s="1" t="s">
        <v>1045</v>
      </c>
      <c r="B1033">
        <f>HYPERLINK("https://www.suredividend.com/sure-analysis-research-database/","EyePoint Pharmaceuticals Inc")</f>
        <v>0</v>
      </c>
      <c r="C1033" t="s">
        <v>3217</v>
      </c>
      <c r="D1033">
        <v>12.69</v>
      </c>
      <c r="E1033">
        <v>0</v>
      </c>
      <c r="H1033">
        <v>0</v>
      </c>
      <c r="I1033">
        <v>432.021596</v>
      </c>
      <c r="J1033">
        <v>0</v>
      </c>
      <c r="K1033" t="s">
        <v>3219</v>
      </c>
      <c r="L1033">
        <v>0.9882858442978121</v>
      </c>
      <c r="M1033">
        <v>21.5</v>
      </c>
      <c r="N1033">
        <v>7.3</v>
      </c>
    </row>
    <row r="1034" spans="1:14">
      <c r="A1034" s="1" t="s">
        <v>1046</v>
      </c>
      <c r="B1034">
        <f>HYPERLINK("https://www.suredividend.com/sure-analysis-research-database/","EZCorp, Inc.")</f>
        <v>0</v>
      </c>
      <c r="C1034" t="s">
        <v>3221</v>
      </c>
      <c r="D1034">
        <v>7.14</v>
      </c>
      <c r="E1034">
        <v>0</v>
      </c>
      <c r="H1034">
        <v>0</v>
      </c>
      <c r="I1034">
        <v>382.401185</v>
      </c>
      <c r="J1034">
        <v>19.08761033542977</v>
      </c>
      <c r="K1034">
        <v>0</v>
      </c>
      <c r="L1034">
        <v>0.613777953473692</v>
      </c>
      <c r="M1034">
        <v>8.800000000000001</v>
      </c>
      <c r="N1034">
        <v>4.99</v>
      </c>
    </row>
    <row r="1035" spans="1:14">
      <c r="A1035" s="1" t="s">
        <v>1047</v>
      </c>
      <c r="B1035">
        <f>HYPERLINK("https://www.suredividend.com/sure-analysis-F/","Ford Motor Co.")</f>
        <v>0</v>
      </c>
      <c r="C1035" t="s">
        <v>3223</v>
      </c>
      <c r="D1035">
        <v>15.48</v>
      </c>
      <c r="E1035">
        <v>0.02583979328165375</v>
      </c>
      <c r="H1035">
        <v>0.199488244281399</v>
      </c>
      <c r="I1035">
        <v>60888.961968</v>
      </c>
      <c r="J1035">
        <v>3.394601213607626</v>
      </c>
      <c r="K1035">
        <v>0.04482881893964023</v>
      </c>
      <c r="L1035">
        <v>1.403942898838405</v>
      </c>
      <c r="M1035">
        <v>25.74</v>
      </c>
      <c r="N1035">
        <v>11.03</v>
      </c>
    </row>
    <row r="1036" spans="1:14">
      <c r="A1036" s="1" t="s">
        <v>1048</v>
      </c>
      <c r="B1036">
        <f>HYPERLINK("https://www.suredividend.com/sure-analysis-FAF/","First American Financial Corp")</f>
        <v>0</v>
      </c>
      <c r="C1036" t="s">
        <v>3221</v>
      </c>
      <c r="D1036">
        <v>58.2</v>
      </c>
      <c r="E1036">
        <v>0.03505154639175258</v>
      </c>
      <c r="F1036">
        <v>0.1086956521739131</v>
      </c>
      <c r="G1036">
        <v>0.08447177119769855</v>
      </c>
      <c r="H1036">
        <v>1.97209732721863</v>
      </c>
      <c r="I1036">
        <v>6337.37699</v>
      </c>
      <c r="J1036">
        <v>5.106669613053989</v>
      </c>
      <c r="K1036">
        <v>0.1770284853876688</v>
      </c>
      <c r="L1036">
        <v>0.8748137982642701</v>
      </c>
      <c r="M1036">
        <v>80.91</v>
      </c>
      <c r="N1036">
        <v>57.36</v>
      </c>
    </row>
    <row r="1037" spans="1:14">
      <c r="A1037" s="1" t="s">
        <v>1049</v>
      </c>
      <c r="B1037">
        <f>HYPERLINK("https://www.suredividend.com/sure-analysis-research-database/","Diamondback Energy Inc")</f>
        <v>0</v>
      </c>
      <c r="C1037" t="s">
        <v>3226</v>
      </c>
      <c r="D1037">
        <v>138.44</v>
      </c>
      <c r="E1037">
        <v>0.013999801578256</v>
      </c>
      <c r="H1037">
        <v>1.938132530493834</v>
      </c>
      <c r="I1037">
        <v>24561.328308</v>
      </c>
      <c r="J1037">
        <v>11.25633744654446</v>
      </c>
      <c r="K1037">
        <v>0.1575717504466532</v>
      </c>
      <c r="L1037">
        <v>0.9724076411321371</v>
      </c>
      <c r="M1037">
        <v>147.99</v>
      </c>
      <c r="N1037">
        <v>65.36</v>
      </c>
    </row>
    <row r="1038" spans="1:14">
      <c r="A1038" s="1" t="s">
        <v>1050</v>
      </c>
      <c r="B1038">
        <f>HYPERLINK("https://www.suredividend.com/sure-analysis-research-database/","Farmer Bros. Co.")</f>
        <v>0</v>
      </c>
      <c r="C1038" t="s">
        <v>3225</v>
      </c>
      <c r="D1038">
        <v>6.63</v>
      </c>
      <c r="E1038">
        <v>0</v>
      </c>
      <c r="H1038">
        <v>0</v>
      </c>
      <c r="I1038">
        <v>121.334669</v>
      </c>
      <c r="J1038">
        <v>0</v>
      </c>
      <c r="K1038" t="s">
        <v>3219</v>
      </c>
      <c r="L1038">
        <v>1.272461649410626</v>
      </c>
      <c r="M1038">
        <v>13.08</v>
      </c>
      <c r="N1038">
        <v>5.3</v>
      </c>
    </row>
    <row r="1039" spans="1:14">
      <c r="A1039" s="1" t="s">
        <v>1051</v>
      </c>
      <c r="B1039">
        <f>HYPERLINK("https://www.suredividend.com/sure-analysis-research-database/","Faro Technologies Inc.")</f>
        <v>0</v>
      </c>
      <c r="C1039" t="s">
        <v>3222</v>
      </c>
      <c r="D1039">
        <v>44.78</v>
      </c>
      <c r="E1039">
        <v>0</v>
      </c>
      <c r="H1039">
        <v>0</v>
      </c>
      <c r="I1039">
        <v>817.713116</v>
      </c>
      <c r="J1039" t="s">
        <v>3219</v>
      </c>
      <c r="K1039">
        <v>-0</v>
      </c>
      <c r="L1039">
        <v>1.337217953480802</v>
      </c>
      <c r="M1039">
        <v>90.42</v>
      </c>
      <c r="N1039">
        <v>44.62</v>
      </c>
    </row>
    <row r="1040" spans="1:14">
      <c r="A1040" s="1" t="s">
        <v>1052</v>
      </c>
      <c r="B1040">
        <f>HYPERLINK("https://www.suredividend.com/sure-analysis-FAST/","Fastenal Co.")</f>
        <v>0</v>
      </c>
      <c r="C1040" t="s">
        <v>3220</v>
      </c>
      <c r="D1040">
        <v>56.01</v>
      </c>
      <c r="E1040">
        <v>0.02213890376718443</v>
      </c>
      <c r="F1040">
        <v>0.107142857142857</v>
      </c>
      <c r="G1040">
        <v>-0.00632962266777104</v>
      </c>
      <c r="H1040">
        <v>1.141203795109903</v>
      </c>
      <c r="I1040">
        <v>32236.559533</v>
      </c>
      <c r="J1040">
        <v>34.85033462996757</v>
      </c>
      <c r="K1040">
        <v>0.7132523719436893</v>
      </c>
      <c r="L1040">
        <v>0.790145212670305</v>
      </c>
      <c r="M1040">
        <v>64.39</v>
      </c>
      <c r="N1040">
        <v>48.61</v>
      </c>
    </row>
    <row r="1041" spans="1:14">
      <c r="A1041" s="1" t="s">
        <v>1053</v>
      </c>
      <c r="B1041">
        <f>HYPERLINK("https://www.suredividend.com/sure-analysis-research-database/","Fate Therapeutics Inc")</f>
        <v>0</v>
      </c>
      <c r="C1041" t="s">
        <v>3217</v>
      </c>
      <c r="D1041">
        <v>37.77</v>
      </c>
      <c r="E1041">
        <v>0</v>
      </c>
      <c r="H1041">
        <v>0</v>
      </c>
      <c r="I1041">
        <v>3642.073965</v>
      </c>
      <c r="J1041" t="s">
        <v>3219</v>
      </c>
      <c r="K1041">
        <v>-0</v>
      </c>
      <c r="L1041">
        <v>1.934596862955845</v>
      </c>
      <c r="M1041">
        <v>97.43000000000001</v>
      </c>
      <c r="N1041">
        <v>29.4</v>
      </c>
    </row>
    <row r="1042" spans="1:14">
      <c r="A1042" s="1" t="s">
        <v>1054</v>
      </c>
      <c r="B1042">
        <f>HYPERLINK("https://www.suredividend.com/sure-analysis-research-database/","Meta Platforms Inc")</f>
        <v>0</v>
      </c>
      <c r="C1042" t="s">
        <v>3228</v>
      </c>
      <c r="D1042">
        <v>210.18</v>
      </c>
      <c r="E1042">
        <v>0</v>
      </c>
      <c r="H1042">
        <v>0</v>
      </c>
      <c r="I1042">
        <v>599853.7469030001</v>
      </c>
      <c r="J1042">
        <v>15.2363156439685</v>
      </c>
      <c r="K1042">
        <v>0</v>
      </c>
      <c r="L1042">
        <v>1.771389289621246</v>
      </c>
      <c r="M1042">
        <v>384.33</v>
      </c>
      <c r="N1042">
        <v>185.82</v>
      </c>
    </row>
    <row r="1043" spans="1:14">
      <c r="A1043" s="1" t="s">
        <v>1055</v>
      </c>
      <c r="B1043">
        <f>HYPERLINK("https://www.suredividend.com/sure-analysis-research-database/","Flagstar Bancorp, Inc.")</f>
        <v>0</v>
      </c>
      <c r="C1043" t="s">
        <v>3221</v>
      </c>
      <c r="D1043">
        <v>39.66</v>
      </c>
      <c r="E1043">
        <v>0.006039758362444</v>
      </c>
      <c r="H1043">
        <v>0.23953681665455</v>
      </c>
      <c r="I1043">
        <v>2096.570297</v>
      </c>
      <c r="J1043">
        <v>3.933527761125703</v>
      </c>
      <c r="K1043">
        <v>0.02404988119021586</v>
      </c>
      <c r="L1043">
        <v>0.8523731585174571</v>
      </c>
      <c r="M1043">
        <v>56.62</v>
      </c>
      <c r="N1043">
        <v>38.65</v>
      </c>
    </row>
    <row r="1044" spans="1:14">
      <c r="A1044" s="1" t="s">
        <v>1056</v>
      </c>
      <c r="B1044">
        <f>HYPERLINK("https://www.suredividend.com/sure-analysis-research-database/","Fortune Brands Home &amp; Security Inc")</f>
        <v>0</v>
      </c>
      <c r="C1044" t="s">
        <v>3223</v>
      </c>
      <c r="D1044">
        <v>69.64</v>
      </c>
      <c r="E1044">
        <v>0.015156195838985</v>
      </c>
      <c r="F1044">
        <v>0.07692307692307709</v>
      </c>
      <c r="G1044">
        <v>0.09238846414037316</v>
      </c>
      <c r="H1044">
        <v>1.055477478226935</v>
      </c>
      <c r="I1044">
        <v>9216.62767</v>
      </c>
      <c r="J1044">
        <v>11.93245425945106</v>
      </c>
      <c r="K1044">
        <v>0.1905194004019738</v>
      </c>
      <c r="L1044">
        <v>1.287659966947385</v>
      </c>
      <c r="M1044">
        <v>112.78</v>
      </c>
      <c r="N1044">
        <v>69.59</v>
      </c>
    </row>
    <row r="1045" spans="1:14">
      <c r="A1045" s="1" t="s">
        <v>1057</v>
      </c>
      <c r="B1045">
        <f>HYPERLINK("https://www.suredividend.com/sure-analysis-research-database/","Fortress Biotech Inc")</f>
        <v>0</v>
      </c>
      <c r="C1045" t="s">
        <v>3217</v>
      </c>
      <c r="D1045">
        <v>1.08</v>
      </c>
      <c r="E1045">
        <v>0</v>
      </c>
      <c r="H1045">
        <v>0</v>
      </c>
      <c r="I1045">
        <v>112.858477</v>
      </c>
      <c r="J1045">
        <v>0</v>
      </c>
      <c r="K1045" t="s">
        <v>3219</v>
      </c>
      <c r="L1045">
        <v>1.62070329378504</v>
      </c>
      <c r="M1045">
        <v>4.79</v>
      </c>
      <c r="N1045">
        <v>1.08</v>
      </c>
    </row>
    <row r="1046" spans="1:14">
      <c r="A1046" s="1" t="s">
        <v>1058</v>
      </c>
      <c r="B1046">
        <f>HYPERLINK("https://www.suredividend.com/sure-analysis-research-database/","First Business Financial Services Inc")</f>
        <v>0</v>
      </c>
      <c r="C1046" t="s">
        <v>3221</v>
      </c>
      <c r="D1046">
        <v>32.85</v>
      </c>
      <c r="E1046">
        <v>0.022255955013861</v>
      </c>
      <c r="F1046">
        <v>0.09722222222222232</v>
      </c>
      <c r="G1046">
        <v>0.08723831678034211</v>
      </c>
      <c r="H1046">
        <v>0.7311081222053371</v>
      </c>
      <c r="I1046">
        <v>276.779547</v>
      </c>
      <c r="J1046">
        <v>0</v>
      </c>
      <c r="K1046" t="s">
        <v>3219</v>
      </c>
      <c r="L1046">
        <v>0.432937103516056</v>
      </c>
      <c r="M1046">
        <v>34.17</v>
      </c>
      <c r="N1046">
        <v>23.16</v>
      </c>
    </row>
    <row r="1047" spans="1:14">
      <c r="A1047" s="1" t="s">
        <v>1059</v>
      </c>
      <c r="B1047">
        <f>HYPERLINK("https://www.suredividend.com/sure-analysis-research-database/","FB Financial Corp")</f>
        <v>0</v>
      </c>
      <c r="C1047" t="s">
        <v>3221</v>
      </c>
      <c r="D1047">
        <v>41.27</v>
      </c>
      <c r="E1047">
        <v>0.011102858733039</v>
      </c>
      <c r="H1047">
        <v>0.4582149799125551</v>
      </c>
      <c r="I1047">
        <v>1959.807185</v>
      </c>
      <c r="J1047">
        <v>10.29932567101979</v>
      </c>
      <c r="K1047">
        <v>0.1154193904061852</v>
      </c>
      <c r="L1047">
        <v>0.9939961418622031</v>
      </c>
      <c r="M1047">
        <v>47.9</v>
      </c>
      <c r="N1047">
        <v>34.7</v>
      </c>
    </row>
    <row r="1048" spans="1:14">
      <c r="A1048" s="1" t="s">
        <v>1060</v>
      </c>
      <c r="B1048">
        <f>HYPERLINK("https://www.suredividend.com/sure-analysis-research-database/","Foundation Building Materials Inc")</f>
        <v>0</v>
      </c>
      <c r="C1048" t="s">
        <v>3220</v>
      </c>
      <c r="D1048">
        <v>19.24</v>
      </c>
      <c r="E1048">
        <v>0</v>
      </c>
      <c r="H1048">
        <v>0</v>
      </c>
      <c r="I1048">
        <v>831.304989</v>
      </c>
      <c r="J1048">
        <v>18.30423174211732</v>
      </c>
      <c r="K1048">
        <v>0</v>
      </c>
      <c r="L1048">
        <v>1.501794591416622</v>
      </c>
      <c r="M1048">
        <v>19.28</v>
      </c>
      <c r="N1048">
        <v>8.09</v>
      </c>
    </row>
    <row r="1049" spans="1:14">
      <c r="A1049" s="1" t="s">
        <v>1061</v>
      </c>
      <c r="B1049">
        <f>HYPERLINK("https://www.suredividend.com/sure-analysis-research-database/","First Bancshares Inc Miss")</f>
        <v>0</v>
      </c>
      <c r="C1049" t="s">
        <v>3221</v>
      </c>
      <c r="D1049">
        <v>32.66</v>
      </c>
      <c r="E1049">
        <v>0.018872104175819</v>
      </c>
      <c r="F1049">
        <v>0.3076923076923077</v>
      </c>
      <c r="G1049">
        <v>0.3529555568800977</v>
      </c>
      <c r="H1049">
        <v>0.6163629223822651</v>
      </c>
      <c r="I1049">
        <v>669.0672080000001</v>
      </c>
      <c r="J1049">
        <v>10.42696725419608</v>
      </c>
      <c r="K1049">
        <v>0.2034201063967872</v>
      </c>
      <c r="L1049">
        <v>0.7770072813331721</v>
      </c>
      <c r="M1049">
        <v>42.61</v>
      </c>
      <c r="N1049">
        <v>32.38</v>
      </c>
    </row>
    <row r="1050" spans="1:14">
      <c r="A1050" s="1" t="s">
        <v>1062</v>
      </c>
      <c r="B1050">
        <f>HYPERLINK("https://www.suredividend.com/sure-analysis-research-database/","First Bancorp")</f>
        <v>0</v>
      </c>
      <c r="C1050" t="s">
        <v>3221</v>
      </c>
      <c r="D1050">
        <v>38.74</v>
      </c>
      <c r="E1050">
        <v>0.021019962849425</v>
      </c>
      <c r="F1050">
        <v>0.09999999999999987</v>
      </c>
      <c r="G1050">
        <v>0.2242399253642746</v>
      </c>
      <c r="H1050">
        <v>0.8143133607867521</v>
      </c>
      <c r="I1050">
        <v>1380.368145</v>
      </c>
      <c r="J1050">
        <v>14.50560781475605</v>
      </c>
      <c r="K1050">
        <v>0.2568811863680606</v>
      </c>
      <c r="L1050">
        <v>0.8613445277935581</v>
      </c>
      <c r="M1050">
        <v>50.44</v>
      </c>
      <c r="N1050">
        <v>37.07</v>
      </c>
    </row>
    <row r="1051" spans="1:14">
      <c r="A1051" s="1" t="s">
        <v>1063</v>
      </c>
      <c r="B1051">
        <f>HYPERLINK("https://www.suredividend.com/sure-analysis-research-database/","First Bancorp PR")</f>
        <v>0</v>
      </c>
      <c r="C1051" t="s">
        <v>3221</v>
      </c>
      <c r="D1051">
        <v>13.06</v>
      </c>
      <c r="E1051">
        <v>0.025799543284126</v>
      </c>
      <c r="H1051">
        <v>0.3369420352906941</v>
      </c>
      <c r="I1051">
        <v>2591.292443</v>
      </c>
      <c r="J1051">
        <v>9.34344533652078</v>
      </c>
      <c r="K1051">
        <v>0.2572076605272474</v>
      </c>
      <c r="L1051">
        <v>1.226079317135962</v>
      </c>
      <c r="M1051">
        <v>16.5</v>
      </c>
      <c r="N1051">
        <v>10.67</v>
      </c>
    </row>
    <row r="1052" spans="1:14">
      <c r="A1052" s="1" t="s">
        <v>1064</v>
      </c>
      <c r="B1052">
        <f>HYPERLINK("https://www.suredividend.com/sure-analysis-research-database/","Fauquier Bankshares, Inc.")</f>
        <v>0</v>
      </c>
      <c r="C1052" t="s">
        <v>3221</v>
      </c>
      <c r="D1052">
        <v>21.28</v>
      </c>
      <c r="E1052">
        <v>0</v>
      </c>
      <c r="H1052">
        <v>0.5</v>
      </c>
      <c r="I1052">
        <v>0</v>
      </c>
      <c r="J1052">
        <v>0</v>
      </c>
      <c r="K1052" t="s">
        <v>3219</v>
      </c>
    </row>
    <row r="1053" spans="1:14">
      <c r="A1053" s="1" t="s">
        <v>1065</v>
      </c>
      <c r="B1053">
        <f>HYPERLINK("https://www.suredividend.com/sure-analysis-research-database/","Franklin Covey Co.")</f>
        <v>0</v>
      </c>
      <c r="C1053" t="s">
        <v>3220</v>
      </c>
      <c r="D1053">
        <v>44.11</v>
      </c>
      <c r="E1053">
        <v>0</v>
      </c>
      <c r="H1053">
        <v>0</v>
      </c>
      <c r="I1053">
        <v>632.6651869999999</v>
      </c>
      <c r="J1053">
        <v>31.24118249321021</v>
      </c>
      <c r="K1053">
        <v>0</v>
      </c>
      <c r="L1053">
        <v>1.214856608886652</v>
      </c>
      <c r="M1053">
        <v>52.52</v>
      </c>
      <c r="N1053">
        <v>29.07</v>
      </c>
    </row>
    <row r="1054" spans="1:14">
      <c r="A1054" s="1" t="s">
        <v>1066</v>
      </c>
      <c r="B1054">
        <f>HYPERLINK("https://www.suredividend.com/sure-analysis-research-database/","First Capital Inc.")</f>
        <v>0</v>
      </c>
      <c r="C1054" t="s">
        <v>3221</v>
      </c>
      <c r="D1054">
        <v>38.7</v>
      </c>
      <c r="E1054">
        <v>0.0266124153849</v>
      </c>
      <c r="F1054">
        <v>0</v>
      </c>
      <c r="G1054">
        <v>0.04364022715043592</v>
      </c>
      <c r="H1054">
        <v>1.029900475395651</v>
      </c>
      <c r="I1054">
        <v>130.616177</v>
      </c>
      <c r="J1054">
        <v>0</v>
      </c>
      <c r="K1054" t="s">
        <v>3219</v>
      </c>
      <c r="M1054">
        <v>47.56</v>
      </c>
      <c r="N1054">
        <v>38.11</v>
      </c>
    </row>
    <row r="1055" spans="1:14">
      <c r="A1055" s="1" t="s">
        <v>1067</v>
      </c>
      <c r="B1055">
        <f>HYPERLINK("https://www.suredividend.com/sure-analysis-research-database/","First Community Bankshares Inc.")</f>
        <v>0</v>
      </c>
      <c r="C1055" t="s">
        <v>3221</v>
      </c>
      <c r="D1055">
        <v>27.22</v>
      </c>
      <c r="E1055">
        <v>0.038452226371526</v>
      </c>
      <c r="F1055">
        <v>0.08000000000000007</v>
      </c>
      <c r="G1055">
        <v>0.08447177119769855</v>
      </c>
      <c r="H1055">
        <v>1.046669601832956</v>
      </c>
      <c r="I1055">
        <v>457.139757</v>
      </c>
      <c r="J1055">
        <v>8.934094691994996</v>
      </c>
      <c r="K1055">
        <v>0.3560100686506653</v>
      </c>
      <c r="L1055">
        <v>0.7868764330325261</v>
      </c>
      <c r="M1055">
        <v>36.4</v>
      </c>
      <c r="N1055">
        <v>26.82</v>
      </c>
    </row>
    <row r="1056" spans="1:14">
      <c r="A1056" s="1" t="s">
        <v>1068</v>
      </c>
      <c r="B1056">
        <f>HYPERLINK("https://www.suredividend.com/sure-analysis-research-database/","First Choice Bancorp")</f>
        <v>0</v>
      </c>
      <c r="C1056" t="s">
        <v>3221</v>
      </c>
      <c r="D1056">
        <v>29.1</v>
      </c>
      <c r="E1056">
        <v>0</v>
      </c>
      <c r="H1056">
        <v>1</v>
      </c>
      <c r="I1056">
        <v>0</v>
      </c>
      <c r="J1056">
        <v>0</v>
      </c>
      <c r="K1056" t="s">
        <v>3219</v>
      </c>
    </row>
    <row r="1057" spans="1:14">
      <c r="A1057" s="1" t="s">
        <v>1069</v>
      </c>
      <c r="B1057">
        <f>HYPERLINK("https://www.suredividend.com/sure-analysis-research-database/","First Community Corp.")</f>
        <v>0</v>
      </c>
      <c r="C1057" t="s">
        <v>3221</v>
      </c>
      <c r="D1057">
        <v>20.34</v>
      </c>
      <c r="E1057">
        <v>0.023877519461698</v>
      </c>
      <c r="F1057">
        <v>0.08333333333333348</v>
      </c>
      <c r="G1057">
        <v>0.07631692251481081</v>
      </c>
      <c r="H1057">
        <v>0.485668745850953</v>
      </c>
      <c r="I1057">
        <v>153.782523</v>
      </c>
      <c r="J1057">
        <v>0</v>
      </c>
      <c r="K1057" t="s">
        <v>3219</v>
      </c>
      <c r="M1057">
        <v>23.28</v>
      </c>
      <c r="N1057">
        <v>17.56</v>
      </c>
    </row>
    <row r="1058" spans="1:14">
      <c r="A1058" s="1" t="s">
        <v>1070</v>
      </c>
      <c r="B1058">
        <f>HYPERLINK("https://www.suredividend.com/sure-analysis-research-database/","1st Constitution Bancorp")</f>
        <v>0</v>
      </c>
      <c r="C1058" t="s">
        <v>3221</v>
      </c>
      <c r="D1058">
        <v>27.79</v>
      </c>
      <c r="E1058">
        <v>0</v>
      </c>
      <c r="H1058">
        <v>0.390000008046627</v>
      </c>
      <c r="I1058">
        <v>0</v>
      </c>
      <c r="J1058">
        <v>0</v>
      </c>
      <c r="K1058" t="s">
        <v>3219</v>
      </c>
    </row>
    <row r="1059" spans="1:14">
      <c r="A1059" s="1" t="s">
        <v>1071</v>
      </c>
      <c r="B1059">
        <f>HYPERLINK("https://www.suredividend.com/sure-analysis-research-database/","Fuelcell Energy Inc")</f>
        <v>0</v>
      </c>
      <c r="C1059" t="s">
        <v>3220</v>
      </c>
      <c r="D1059">
        <v>5.26</v>
      </c>
      <c r="E1059">
        <v>0</v>
      </c>
      <c r="H1059">
        <v>0</v>
      </c>
      <c r="I1059">
        <v>1928.777644</v>
      </c>
      <c r="J1059" t="s">
        <v>3219</v>
      </c>
      <c r="K1059">
        <v>-0</v>
      </c>
      <c r="L1059">
        <v>1.822847173411784</v>
      </c>
      <c r="M1059">
        <v>12.62</v>
      </c>
      <c r="N1059">
        <v>3.4</v>
      </c>
    </row>
    <row r="1060" spans="1:14">
      <c r="A1060" s="1" t="s">
        <v>1072</v>
      </c>
      <c r="B1060">
        <f>HYPERLINK("https://www.suredividend.com/sure-analysis-research-database/","First Commonwealth Financial Corp.")</f>
        <v>0</v>
      </c>
      <c r="C1060" t="s">
        <v>3221</v>
      </c>
      <c r="D1060">
        <v>14.45</v>
      </c>
      <c r="E1060">
        <v>0.031484647978745</v>
      </c>
      <c r="F1060">
        <v>0.04545454545454541</v>
      </c>
      <c r="G1060">
        <v>0.07528000640556964</v>
      </c>
      <c r="H1060">
        <v>0.4549531632928681</v>
      </c>
      <c r="I1060">
        <v>1362.621114</v>
      </c>
      <c r="J1060">
        <v>9.855711562886508</v>
      </c>
      <c r="K1060">
        <v>0.3159396967311584</v>
      </c>
      <c r="L1060">
        <v>0.853992448948779</v>
      </c>
      <c r="M1060">
        <v>17.51</v>
      </c>
      <c r="N1060">
        <v>12.19</v>
      </c>
    </row>
    <row r="1061" spans="1:14">
      <c r="A1061" s="1" t="s">
        <v>1073</v>
      </c>
      <c r="B1061">
        <f>HYPERLINK("https://www.suredividend.com/sure-analysis-research-database/","FirstCash Holdings Inc")</f>
        <v>0</v>
      </c>
      <c r="C1061" t="s">
        <v>3221</v>
      </c>
      <c r="D1061">
        <v>74.14</v>
      </c>
      <c r="E1061">
        <v>0.004046398865941</v>
      </c>
      <c r="F1061">
        <v>0.1111111111111112</v>
      </c>
      <c r="G1061">
        <v>0.09565425774785385</v>
      </c>
      <c r="H1061">
        <v>0.300000011920928</v>
      </c>
      <c r="I1061">
        <v>3594.898763</v>
      </c>
      <c r="J1061">
        <v>28.78014204789086</v>
      </c>
      <c r="K1061">
        <v>0.09868421444767368</v>
      </c>
      <c r="M1061">
        <v>77.33</v>
      </c>
      <c r="N1061">
        <v>58.3</v>
      </c>
    </row>
    <row r="1062" spans="1:14">
      <c r="A1062" s="1" t="s">
        <v>1074</v>
      </c>
      <c r="B1062">
        <f>HYPERLINK("https://www.suredividend.com/sure-analysis-research-database/","FTI Consulting Inc.")</f>
        <v>0</v>
      </c>
      <c r="C1062" t="s">
        <v>3220</v>
      </c>
      <c r="D1062">
        <v>162.95</v>
      </c>
      <c r="E1062">
        <v>0</v>
      </c>
      <c r="H1062">
        <v>0</v>
      </c>
      <c r="I1062">
        <v>5596.86907</v>
      </c>
      <c r="J1062">
        <v>23.81991041342152</v>
      </c>
      <c r="K1062">
        <v>0</v>
      </c>
      <c r="L1062">
        <v>0.493162395710225</v>
      </c>
      <c r="M1062">
        <v>165.43</v>
      </c>
      <c r="N1062">
        <v>131.5</v>
      </c>
    </row>
    <row r="1063" spans="1:14">
      <c r="A1063" s="1" t="s">
        <v>1075</v>
      </c>
      <c r="B1063">
        <f>HYPERLINK("https://www.suredividend.com/sure-analysis-research-database/","First Citizens Bancshares, Inc (NC)")</f>
        <v>0</v>
      </c>
      <c r="C1063" t="s">
        <v>3221</v>
      </c>
      <c r="D1063">
        <v>637.86</v>
      </c>
      <c r="E1063">
        <v>0.002944707544961</v>
      </c>
      <c r="F1063">
        <v>0</v>
      </c>
      <c r="G1063">
        <v>0.09394457937452749</v>
      </c>
      <c r="H1063">
        <v>1.878311154628938</v>
      </c>
      <c r="I1063">
        <v>9550.823850000001</v>
      </c>
      <c r="J1063">
        <v>18.05738889980432</v>
      </c>
      <c r="K1063">
        <v>0.03486100880900034</v>
      </c>
      <c r="L1063">
        <v>1.155321396905673</v>
      </c>
      <c r="M1063">
        <v>947.11</v>
      </c>
      <c r="N1063">
        <v>616.42</v>
      </c>
    </row>
    <row r="1064" spans="1:14">
      <c r="A1064" s="1" t="s">
        <v>1076</v>
      </c>
      <c r="B1064">
        <f>HYPERLINK("https://www.suredividend.com/sure-analysis-FCPT/","Four Corners Property Trust Inc")</f>
        <v>0</v>
      </c>
      <c r="C1064" t="s">
        <v>3224</v>
      </c>
      <c r="D1064">
        <v>29.01</v>
      </c>
      <c r="E1064">
        <v>0.04653567735263702</v>
      </c>
      <c r="F1064">
        <v>0.04724409448818911</v>
      </c>
      <c r="G1064">
        <v>0.06516277722150265</v>
      </c>
      <c r="H1064">
        <v>1.277592255948109</v>
      </c>
      <c r="I1064">
        <v>2331.352039</v>
      </c>
      <c r="J1064">
        <v>27.2414676082308</v>
      </c>
      <c r="K1064">
        <v>1.150984014367666</v>
      </c>
      <c r="L1064">
        <v>0.564101823673367</v>
      </c>
      <c r="M1064">
        <v>29.45</v>
      </c>
      <c r="N1064">
        <v>24.41</v>
      </c>
    </row>
    <row r="1065" spans="1:14">
      <c r="A1065" s="1" t="s">
        <v>1077</v>
      </c>
      <c r="B1065">
        <f>HYPERLINK("https://www.suredividend.com/sure-analysis-FCX/","Freeport-McMoRan Inc")</f>
        <v>0</v>
      </c>
      <c r="C1065" t="s">
        <v>3218</v>
      </c>
      <c r="D1065">
        <v>49.19</v>
      </c>
      <c r="E1065">
        <v>0.01219760113844277</v>
      </c>
      <c r="H1065">
        <v>0.299243152480722</v>
      </c>
      <c r="I1065">
        <v>71560.680095</v>
      </c>
      <c r="J1065">
        <v>16.64588976400326</v>
      </c>
      <c r="K1065">
        <v>0.1031872939588697</v>
      </c>
      <c r="L1065">
        <v>1.396539274989794</v>
      </c>
      <c r="M1065">
        <v>51.91</v>
      </c>
      <c r="N1065">
        <v>29.86</v>
      </c>
    </row>
    <row r="1066" spans="1:14">
      <c r="A1066" s="1" t="s">
        <v>1078</v>
      </c>
      <c r="B1066">
        <f>HYPERLINK("https://www.suredividend.com/sure-analysis-research-database/","Fidelity D&amp;D Bancorp, Inc.")</f>
        <v>0</v>
      </c>
      <c r="C1066" t="s">
        <v>3221</v>
      </c>
      <c r="D1066">
        <v>41.54</v>
      </c>
      <c r="E1066">
        <v>0.030055616420801</v>
      </c>
      <c r="F1066">
        <v>0.09999999999999987</v>
      </c>
      <c r="G1066">
        <v>0.01258257415715436</v>
      </c>
      <c r="H1066">
        <v>1.248510306120087</v>
      </c>
      <c r="I1066">
        <v>237.945025</v>
      </c>
      <c r="J1066">
        <v>0</v>
      </c>
      <c r="K1066" t="s">
        <v>3219</v>
      </c>
      <c r="L1066">
        <v>0.880708760319689</v>
      </c>
      <c r="M1066">
        <v>59.26</v>
      </c>
      <c r="N1066">
        <v>41.1</v>
      </c>
    </row>
    <row r="1067" spans="1:14">
      <c r="A1067" s="1" t="s">
        <v>1079</v>
      </c>
      <c r="B1067">
        <f>HYPERLINK("https://www.suredividend.com/sure-analysis-research-database/","Fresh Del Monte Produce Inc")</f>
        <v>0</v>
      </c>
      <c r="C1067" t="s">
        <v>3225</v>
      </c>
      <c r="D1067">
        <v>26.58</v>
      </c>
      <c r="E1067">
        <v>0.020542662677919</v>
      </c>
      <c r="H1067">
        <v>0.5460239739791111</v>
      </c>
      <c r="I1067">
        <v>1265.353871</v>
      </c>
      <c r="J1067">
        <v>15.816923388</v>
      </c>
      <c r="K1067">
        <v>0.3250142702256613</v>
      </c>
      <c r="L1067">
        <v>0.601876381748612</v>
      </c>
      <c r="M1067">
        <v>35.91</v>
      </c>
      <c r="N1067">
        <v>23.97</v>
      </c>
    </row>
    <row r="1068" spans="1:14">
      <c r="A1068" s="1" t="s">
        <v>1080</v>
      </c>
      <c r="B1068">
        <f>HYPERLINK("https://www.suredividend.com/sure-analysis-research-database/","Factset Research Systems Inc.")</f>
        <v>0</v>
      </c>
      <c r="C1068" t="s">
        <v>3221</v>
      </c>
      <c r="D1068">
        <v>420.57</v>
      </c>
      <c r="E1068">
        <v>0.007775540462367001</v>
      </c>
      <c r="F1068">
        <v>0.06493506493506507</v>
      </c>
      <c r="G1068">
        <v>0.07925772298130362</v>
      </c>
      <c r="H1068">
        <v>3.270159052258003</v>
      </c>
      <c r="I1068">
        <v>15938.16423</v>
      </c>
      <c r="J1068">
        <v>38.00900547552501</v>
      </c>
      <c r="K1068">
        <v>0.3008425991037721</v>
      </c>
      <c r="M1068">
        <v>494.36</v>
      </c>
      <c r="N1068">
        <v>312.9</v>
      </c>
    </row>
    <row r="1069" spans="1:14">
      <c r="A1069" s="1" t="s">
        <v>1081</v>
      </c>
      <c r="B1069">
        <f>HYPERLINK("https://www.suredividend.com/sure-analysis-FDX/","Fedex Corp")</f>
        <v>0</v>
      </c>
      <c r="C1069" t="s">
        <v>3220</v>
      </c>
      <c r="D1069">
        <v>205.74</v>
      </c>
      <c r="E1069">
        <v>0.01458151064450277</v>
      </c>
      <c r="F1069">
        <v>0.1538461538461537</v>
      </c>
      <c r="G1069">
        <v>0.08447177119769855</v>
      </c>
      <c r="H1069">
        <v>2.985701611418698</v>
      </c>
      <c r="I1069">
        <v>53323.328834</v>
      </c>
      <c r="J1069">
        <v>10.38226807524533</v>
      </c>
      <c r="K1069">
        <v>0.1560743131949137</v>
      </c>
      <c r="L1069">
        <v>0.9675251283070641</v>
      </c>
      <c r="M1069">
        <v>316.16</v>
      </c>
      <c r="N1069">
        <v>199.03</v>
      </c>
    </row>
    <row r="1070" spans="1:14">
      <c r="A1070" s="1" t="s">
        <v>1082</v>
      </c>
      <c r="B1070">
        <f>HYPERLINK("https://www.suredividend.com/sure-analysis-FE/","Firstenergy Corp.")</f>
        <v>0</v>
      </c>
      <c r="C1070" t="s">
        <v>3227</v>
      </c>
      <c r="D1070">
        <v>47.4</v>
      </c>
      <c r="E1070">
        <v>0.03291139240506329</v>
      </c>
      <c r="F1070">
        <v>0</v>
      </c>
      <c r="G1070">
        <v>0.01613736474159566</v>
      </c>
      <c r="H1070">
        <v>1.537687917586547</v>
      </c>
      <c r="I1070">
        <v>27060.785894</v>
      </c>
      <c r="J1070">
        <v>21.0918050618862</v>
      </c>
      <c r="K1070">
        <v>0.6543352840793817</v>
      </c>
      <c r="L1070">
        <v>0.309857170686271</v>
      </c>
      <c r="M1070">
        <v>47.99</v>
      </c>
      <c r="N1070">
        <v>34.09</v>
      </c>
    </row>
    <row r="1071" spans="1:14">
      <c r="A1071" s="1" t="s">
        <v>1083</v>
      </c>
      <c r="B1071">
        <f>HYPERLINK("https://www.suredividend.com/sure-analysis-research-database/","Frequency Electronics, Inc.")</f>
        <v>0</v>
      </c>
      <c r="C1071" t="s">
        <v>3222</v>
      </c>
      <c r="D1071">
        <v>8.31</v>
      </c>
      <c r="E1071">
        <v>0</v>
      </c>
      <c r="H1071">
        <v>0</v>
      </c>
      <c r="I1071">
        <v>77.147148</v>
      </c>
      <c r="J1071">
        <v>0</v>
      </c>
      <c r="K1071" t="s">
        <v>3219</v>
      </c>
      <c r="M1071">
        <v>11.33</v>
      </c>
      <c r="N1071">
        <v>8.300000000000001</v>
      </c>
    </row>
    <row r="1072" spans="1:14">
      <c r="A1072" s="1" t="s">
        <v>1084</v>
      </c>
      <c r="B1072">
        <f>HYPERLINK("https://www.suredividend.com/sure-analysis-FELE/","Franklin Electric Co., Inc.")</f>
        <v>0</v>
      </c>
      <c r="C1072" t="s">
        <v>3220</v>
      </c>
      <c r="D1072">
        <v>78.61</v>
      </c>
      <c r="E1072">
        <v>0.009922401730059789</v>
      </c>
      <c r="F1072">
        <v>0.1142857142857143</v>
      </c>
      <c r="G1072">
        <v>0.1264845234709517</v>
      </c>
      <c r="H1072">
        <v>0.7177680092438961</v>
      </c>
      <c r="I1072">
        <v>3648.862617</v>
      </c>
      <c r="J1072">
        <v>23.71561133940079</v>
      </c>
      <c r="K1072">
        <v>0.2195009202580722</v>
      </c>
      <c r="L1072">
        <v>1.117580706164519</v>
      </c>
      <c r="M1072">
        <v>96.73</v>
      </c>
      <c r="N1072">
        <v>76.22</v>
      </c>
    </row>
    <row r="1073" spans="1:14">
      <c r="A1073" s="1" t="s">
        <v>1085</v>
      </c>
      <c r="B1073">
        <f>HYPERLINK("https://www.suredividend.com/sure-analysis-research-database/","Forum Energy Technologies Inc")</f>
        <v>0</v>
      </c>
      <c r="C1073" t="s">
        <v>3226</v>
      </c>
      <c r="D1073">
        <v>22.95</v>
      </c>
      <c r="E1073">
        <v>0</v>
      </c>
      <c r="H1073">
        <v>0</v>
      </c>
      <c r="I1073">
        <v>131.295665</v>
      </c>
      <c r="J1073" t="s">
        <v>3219</v>
      </c>
      <c r="K1073">
        <v>-0</v>
      </c>
      <c r="L1073">
        <v>0.429815092283471</v>
      </c>
      <c r="M1073">
        <v>28.5</v>
      </c>
      <c r="N1073">
        <v>14.71</v>
      </c>
    </row>
    <row r="1074" spans="1:14">
      <c r="A1074" s="1" t="s">
        <v>1086</v>
      </c>
      <c r="B1074">
        <f>HYPERLINK("https://www.suredividend.com/sure-analysis-research-database/","Futurefuel Corp")</f>
        <v>0</v>
      </c>
      <c r="C1074" t="s">
        <v>3218</v>
      </c>
      <c r="D1074">
        <v>10.09</v>
      </c>
      <c r="E1074">
        <v>0.023507261246584</v>
      </c>
      <c r="F1074">
        <v>-0.976</v>
      </c>
      <c r="G1074">
        <v>0</v>
      </c>
      <c r="H1074">
        <v>0.237188265978038</v>
      </c>
      <c r="I1074">
        <v>441.571122</v>
      </c>
      <c r="J1074">
        <v>16.81855348962102</v>
      </c>
      <c r="K1074">
        <v>0.3953137766300633</v>
      </c>
      <c r="L1074">
        <v>0.6384570926392651</v>
      </c>
      <c r="M1074">
        <v>13.51</v>
      </c>
      <c r="N1074">
        <v>6.79</v>
      </c>
    </row>
    <row r="1075" spans="1:14">
      <c r="A1075" s="1" t="s">
        <v>1087</v>
      </c>
      <c r="B1075">
        <f>HYPERLINK("https://www.suredividend.com/sure-analysis-research-database/","First Financial Bancorp")</f>
        <v>0</v>
      </c>
      <c r="C1075" t="s">
        <v>3221</v>
      </c>
      <c r="D1075">
        <v>21.78</v>
      </c>
      <c r="E1075">
        <v>0.041643472671132</v>
      </c>
      <c r="F1075">
        <v>0</v>
      </c>
      <c r="G1075">
        <v>0.06232103966616465</v>
      </c>
      <c r="H1075">
        <v>0.9069948347772691</v>
      </c>
      <c r="I1075">
        <v>2057.211104</v>
      </c>
      <c r="J1075">
        <v>10.02734989208423</v>
      </c>
      <c r="K1075">
        <v>0.4238293620454528</v>
      </c>
      <c r="L1075">
        <v>0.9508898854234331</v>
      </c>
      <c r="M1075">
        <v>26.58</v>
      </c>
      <c r="N1075">
        <v>20.64</v>
      </c>
    </row>
    <row r="1076" spans="1:14">
      <c r="A1076" s="1" t="s">
        <v>1088</v>
      </c>
      <c r="B1076">
        <f>HYPERLINK("https://www.suredividend.com/sure-analysis-research-database/","FBL Financial Group, Inc.")</f>
        <v>0</v>
      </c>
      <c r="C1076" t="s">
        <v>3221</v>
      </c>
      <c r="D1076">
        <v>60.99</v>
      </c>
      <c r="E1076">
        <v>0.032664680854819</v>
      </c>
      <c r="H1076">
        <v>1.992218885335427</v>
      </c>
      <c r="I1076">
        <v>1487.247798</v>
      </c>
      <c r="J1076">
        <v>14.5015288705903</v>
      </c>
      <c r="K1076">
        <v>0.4766073888362266</v>
      </c>
      <c r="L1076">
        <v>0.5068456660864551</v>
      </c>
      <c r="M1076">
        <v>61.01</v>
      </c>
      <c r="N1076">
        <v>32</v>
      </c>
    </row>
    <row r="1077" spans="1:14">
      <c r="A1077" s="1" t="s">
        <v>1089</v>
      </c>
      <c r="B1077">
        <f>HYPERLINK("https://www.suredividend.com/sure-analysis-research-database/","Flushing Financial Corp.")</f>
        <v>0</v>
      </c>
      <c r="C1077" t="s">
        <v>3221</v>
      </c>
      <c r="D1077">
        <v>21.13</v>
      </c>
      <c r="E1077">
        <v>0.03968243507558501</v>
      </c>
      <c r="F1077">
        <v>0.04761904761904767</v>
      </c>
      <c r="G1077">
        <v>0.04095039696925684</v>
      </c>
      <c r="H1077">
        <v>0.8384898531471231</v>
      </c>
      <c r="I1077">
        <v>641.645075</v>
      </c>
      <c r="J1077">
        <v>7.844743128629589</v>
      </c>
      <c r="K1077">
        <v>0.3237412560413603</v>
      </c>
      <c r="L1077">
        <v>0.6814363654957341</v>
      </c>
      <c r="M1077">
        <v>25.7</v>
      </c>
      <c r="N1077">
        <v>19.26</v>
      </c>
    </row>
    <row r="1078" spans="1:14">
      <c r="A1078" s="1" t="s">
        <v>1090</v>
      </c>
      <c r="B1078">
        <f>HYPERLINK("https://www.suredividend.com/sure-analysis-research-database/","First Financial Bankshares, Inc.")</f>
        <v>0</v>
      </c>
      <c r="C1078" t="s">
        <v>3221</v>
      </c>
      <c r="D1078">
        <v>41.8</v>
      </c>
      <c r="E1078">
        <v>0.014285356881596</v>
      </c>
      <c r="F1078">
        <v>0.1538461538461537</v>
      </c>
      <c r="G1078">
        <v>-0.04617756873980916</v>
      </c>
      <c r="H1078">
        <v>0.597127917650717</v>
      </c>
      <c r="I1078">
        <v>5960.957636</v>
      </c>
      <c r="J1078">
        <v>26.19487276258777</v>
      </c>
      <c r="K1078">
        <v>0.3755521494658598</v>
      </c>
      <c r="L1078">
        <v>0.9857322387606611</v>
      </c>
      <c r="M1078">
        <v>54.66</v>
      </c>
      <c r="N1078">
        <v>41.44</v>
      </c>
    </row>
    <row r="1079" spans="1:14">
      <c r="A1079" s="1" t="s">
        <v>1091</v>
      </c>
      <c r="B1079">
        <f>HYPERLINK("https://www.suredividend.com/sure-analysis-research-database/","F5 Inc")</f>
        <v>0</v>
      </c>
      <c r="C1079" t="s">
        <v>3222</v>
      </c>
      <c r="D1079">
        <v>199.53</v>
      </c>
      <c r="E1079">
        <v>0</v>
      </c>
      <c r="H1079">
        <v>0</v>
      </c>
      <c r="I1079">
        <v>12119.08706</v>
      </c>
      <c r="J1079">
        <v>35.94866861284639</v>
      </c>
      <c r="K1079">
        <v>0</v>
      </c>
      <c r="L1079">
        <v>1.150646837416065</v>
      </c>
      <c r="M1079">
        <v>249</v>
      </c>
      <c r="N1079">
        <v>174.34</v>
      </c>
    </row>
    <row r="1080" spans="1:14">
      <c r="A1080" s="1" t="s">
        <v>1092</v>
      </c>
      <c r="B1080">
        <f>HYPERLINK("https://www.suredividend.com/sure-analysis-research-database/","First Financial Northwest Inc")</f>
        <v>0</v>
      </c>
      <c r="C1080" t="s">
        <v>3221</v>
      </c>
      <c r="D1080">
        <v>16.75</v>
      </c>
      <c r="E1080">
        <v>0.026597754784946</v>
      </c>
      <c r="F1080">
        <v>0.09090909090909083</v>
      </c>
      <c r="G1080">
        <v>0.1138241786028789</v>
      </c>
      <c r="H1080">
        <v>0.445512392647858</v>
      </c>
      <c r="I1080">
        <v>152.901705</v>
      </c>
      <c r="J1080">
        <v>0</v>
      </c>
      <c r="K1080" t="s">
        <v>3219</v>
      </c>
      <c r="M1080">
        <v>17.95</v>
      </c>
      <c r="N1080">
        <v>13.03</v>
      </c>
    </row>
    <row r="1081" spans="1:14">
      <c r="A1081" s="1" t="s">
        <v>1093</v>
      </c>
      <c r="B1081">
        <f>HYPERLINK("https://www.suredividend.com/sure-analysis-research-database/","First Foundation Inc")</f>
        <v>0</v>
      </c>
      <c r="C1081" t="s">
        <v>3221</v>
      </c>
      <c r="D1081">
        <v>23.21</v>
      </c>
      <c r="E1081">
        <v>0.016286004810477</v>
      </c>
      <c r="H1081">
        <v>0.377998171651193</v>
      </c>
      <c r="I1081">
        <v>1309.834765</v>
      </c>
      <c r="J1081">
        <v>0</v>
      </c>
      <c r="K1081" t="s">
        <v>3219</v>
      </c>
      <c r="L1081">
        <v>0.9818532489149771</v>
      </c>
      <c r="M1081">
        <v>29.29</v>
      </c>
      <c r="N1081">
        <v>20</v>
      </c>
    </row>
    <row r="1082" spans="1:14">
      <c r="A1082" s="1" t="s">
        <v>1094</v>
      </c>
      <c r="B1082">
        <f>HYPERLINK("https://www.suredividend.com/sure-analysis-research-database/","First Guaranty Bancshares Inc")</f>
        <v>0</v>
      </c>
      <c r="C1082" t="s">
        <v>3221</v>
      </c>
      <c r="D1082">
        <v>23.52</v>
      </c>
      <c r="E1082">
        <v>0.025698694080179</v>
      </c>
      <c r="F1082">
        <v>0</v>
      </c>
      <c r="G1082">
        <v>0</v>
      </c>
      <c r="H1082">
        <v>0.604433284765829</v>
      </c>
      <c r="I1082">
        <v>252.059042</v>
      </c>
      <c r="J1082">
        <v>0</v>
      </c>
      <c r="K1082" t="s">
        <v>3219</v>
      </c>
      <c r="L1082">
        <v>0.3655765250071391</v>
      </c>
      <c r="M1082">
        <v>25.05</v>
      </c>
      <c r="N1082">
        <v>14.55</v>
      </c>
    </row>
    <row r="1083" spans="1:14">
      <c r="A1083" s="1" t="s">
        <v>1095</v>
      </c>
      <c r="B1083">
        <f>HYPERLINK("https://www.suredividend.com/sure-analysis-research-database/","FibroGen Inc")</f>
        <v>0</v>
      </c>
      <c r="C1083" t="s">
        <v>3217</v>
      </c>
      <c r="D1083">
        <v>11.82</v>
      </c>
      <c r="E1083">
        <v>0</v>
      </c>
      <c r="H1083">
        <v>0</v>
      </c>
      <c r="I1083">
        <v>1099.283262</v>
      </c>
      <c r="J1083" t="s">
        <v>3219</v>
      </c>
      <c r="K1083">
        <v>-0</v>
      </c>
      <c r="M1083">
        <v>30.12</v>
      </c>
      <c r="N1083">
        <v>9.880000000000001</v>
      </c>
    </row>
    <row r="1084" spans="1:14">
      <c r="A1084" s="1" t="s">
        <v>1096</v>
      </c>
      <c r="B1084">
        <f>HYPERLINK("https://www.suredividend.com/sure-analysis-research-database/","First Hawaiian INC")</f>
        <v>0</v>
      </c>
      <c r="C1084" t="s">
        <v>3221</v>
      </c>
      <c r="D1084">
        <v>26.99</v>
      </c>
      <c r="E1084">
        <v>0.03801091831123801</v>
      </c>
      <c r="F1084">
        <v>0</v>
      </c>
      <c r="G1084">
        <v>0.03397522653195018</v>
      </c>
      <c r="H1084">
        <v>1.025914685220333</v>
      </c>
      <c r="I1084">
        <v>3458.966957</v>
      </c>
      <c r="J1084">
        <v>13.01660284670818</v>
      </c>
      <c r="K1084">
        <v>0.5004461879123575</v>
      </c>
      <c r="L1084">
        <v>0.965785760158801</v>
      </c>
      <c r="M1084">
        <v>30.89</v>
      </c>
      <c r="N1084">
        <v>23.85</v>
      </c>
    </row>
    <row r="1085" spans="1:14">
      <c r="A1085" s="1" t="s">
        <v>1097</v>
      </c>
      <c r="B1085">
        <f>HYPERLINK("https://www.suredividend.com/sure-analysis-research-database/","First Horizon Corporation")</f>
        <v>0</v>
      </c>
      <c r="C1085" t="s">
        <v>3221</v>
      </c>
      <c r="D1085">
        <v>23.04</v>
      </c>
      <c r="E1085">
        <v>0.025738226482448</v>
      </c>
      <c r="F1085">
        <v>0</v>
      </c>
      <c r="G1085">
        <v>0.1075663432482901</v>
      </c>
      <c r="H1085">
        <v>0.5930087381556181</v>
      </c>
      <c r="I1085">
        <v>12302.630208</v>
      </c>
      <c r="J1085">
        <v>12.78859688981289</v>
      </c>
      <c r="K1085">
        <v>0.3388621360889246</v>
      </c>
      <c r="L1085">
        <v>0.8508853882556511</v>
      </c>
      <c r="M1085">
        <v>24.09</v>
      </c>
      <c r="N1085">
        <v>14.45</v>
      </c>
    </row>
    <row r="1086" spans="1:14">
      <c r="A1086" s="1" t="s">
        <v>1098</v>
      </c>
      <c r="B1086">
        <f>HYPERLINK("https://www.suredividend.com/sure-analysis-research-database/","First Interstate BancSystem Inc.")</f>
        <v>0</v>
      </c>
      <c r="C1086" t="s">
        <v>3221</v>
      </c>
      <c r="D1086">
        <v>34.35</v>
      </c>
      <c r="E1086">
        <v>0.04702469844564101</v>
      </c>
      <c r="F1086">
        <v>0</v>
      </c>
      <c r="G1086">
        <v>0.1130496130561056</v>
      </c>
      <c r="H1086">
        <v>1.615298391607782</v>
      </c>
      <c r="I1086">
        <v>3761.442134</v>
      </c>
      <c r="J1086">
        <v>19.58064619208746</v>
      </c>
      <c r="K1086">
        <v>0.5193885503562</v>
      </c>
      <c r="L1086">
        <v>0.8037041420233451</v>
      </c>
      <c r="M1086">
        <v>47.39</v>
      </c>
      <c r="N1086">
        <v>34</v>
      </c>
    </row>
    <row r="1087" spans="1:14">
      <c r="A1087" s="1" t="s">
        <v>1099</v>
      </c>
      <c r="B1087">
        <f>HYPERLINK("https://www.suredividend.com/sure-analysis-research-database/","Fair, Isaac Corp.")</f>
        <v>0</v>
      </c>
      <c r="C1087" t="s">
        <v>3222</v>
      </c>
      <c r="D1087">
        <v>413.72</v>
      </c>
      <c r="E1087">
        <v>0</v>
      </c>
      <c r="H1087">
        <v>0</v>
      </c>
      <c r="I1087">
        <v>10872.401904</v>
      </c>
      <c r="J1087">
        <v>27.83862262311452</v>
      </c>
      <c r="K1087">
        <v>0</v>
      </c>
      <c r="L1087">
        <v>1.17207203389371</v>
      </c>
      <c r="M1087">
        <v>553.97</v>
      </c>
      <c r="N1087">
        <v>342.89</v>
      </c>
    </row>
    <row r="1088" spans="1:14">
      <c r="A1088" s="1" t="s">
        <v>1100</v>
      </c>
      <c r="B1088">
        <f>HYPERLINK("https://www.suredividend.com/sure-analysis-research-database/","Fidelity National Information Services, Inc.")</f>
        <v>0</v>
      </c>
      <c r="C1088" t="s">
        <v>3222</v>
      </c>
      <c r="D1088">
        <v>102.45</v>
      </c>
      <c r="E1088">
        <v>0.01590999561924</v>
      </c>
      <c r="F1088">
        <v>0.2051282051282051</v>
      </c>
      <c r="G1088">
        <v>0.1013870657833646</v>
      </c>
      <c r="H1088">
        <v>1.629979051191152</v>
      </c>
      <c r="I1088">
        <v>62452.567932</v>
      </c>
      <c r="J1088">
        <v>149.7663499571943</v>
      </c>
      <c r="K1088">
        <v>2.427370143248179</v>
      </c>
      <c r="L1088">
        <v>0.9633946677593861</v>
      </c>
      <c r="M1088">
        <v>153.71</v>
      </c>
      <c r="N1088">
        <v>84.56999999999999</v>
      </c>
    </row>
    <row r="1089" spans="1:14">
      <c r="A1089" s="1" t="s">
        <v>1101</v>
      </c>
      <c r="B1089">
        <f>HYPERLINK("https://www.suredividend.com/sure-analysis-research-database/","Financial Institutions Inc.")</f>
        <v>0</v>
      </c>
      <c r="C1089" t="s">
        <v>3221</v>
      </c>
      <c r="D1089">
        <v>29.25</v>
      </c>
      <c r="E1089">
        <v>0.037124224731449</v>
      </c>
      <c r="F1089">
        <v>0.07407407407407396</v>
      </c>
      <c r="G1089">
        <v>0.06668390127527379</v>
      </c>
      <c r="H1089">
        <v>1.085883573394897</v>
      </c>
      <c r="I1089">
        <v>454.154249</v>
      </c>
      <c r="J1089">
        <v>5.957136944659418</v>
      </c>
      <c r="K1089">
        <v>0.227172295689309</v>
      </c>
      <c r="L1089">
        <v>0.630642122780753</v>
      </c>
      <c r="M1089">
        <v>34.13</v>
      </c>
      <c r="N1089">
        <v>26.88</v>
      </c>
    </row>
    <row r="1090" spans="1:14">
      <c r="A1090" s="1" t="s">
        <v>1102</v>
      </c>
      <c r="B1090">
        <f>HYPERLINK("https://www.suredividend.com/sure-analysis-research-database/","Fiserv, Inc.")</f>
        <v>0</v>
      </c>
      <c r="C1090" t="s">
        <v>3222</v>
      </c>
      <c r="D1090">
        <v>99.67</v>
      </c>
      <c r="E1090">
        <v>0</v>
      </c>
      <c r="H1090">
        <v>0</v>
      </c>
      <c r="I1090">
        <v>64987.661957</v>
      </c>
      <c r="J1090">
        <v>48.7163882733958</v>
      </c>
      <c r="K1090">
        <v>0</v>
      </c>
      <c r="L1090">
        <v>0.8347058999754891</v>
      </c>
      <c r="M1090">
        <v>127.34</v>
      </c>
      <c r="N1090">
        <v>89.91</v>
      </c>
    </row>
    <row r="1091" spans="1:14">
      <c r="A1091" s="1" t="s">
        <v>1103</v>
      </c>
      <c r="B1091">
        <f>HYPERLINK("https://www.suredividend.com/sure-analysis-research-database/","Fitbit Inc")</f>
        <v>0</v>
      </c>
      <c r="C1091" t="s">
        <v>3222</v>
      </c>
      <c r="E1091">
        <v>0</v>
      </c>
      <c r="H1091">
        <v>0</v>
      </c>
      <c r="I1091">
        <v>1696.933514</v>
      </c>
      <c r="J1091">
        <v>0</v>
      </c>
      <c r="K1091">
        <v>-0</v>
      </c>
    </row>
    <row r="1092" spans="1:14">
      <c r="A1092" s="1" t="s">
        <v>1104</v>
      </c>
      <c r="B1092">
        <f>HYPERLINK("https://www.suredividend.com/sure-analysis-FITB/","Fifth Third Bancorp")</f>
        <v>0</v>
      </c>
      <c r="C1092" t="s">
        <v>3221</v>
      </c>
      <c r="D1092">
        <v>39.01</v>
      </c>
      <c r="E1092">
        <v>0.03076134324532171</v>
      </c>
      <c r="F1092">
        <v>0.1111111111111112</v>
      </c>
      <c r="G1092">
        <v>0.1646586157796568</v>
      </c>
      <c r="H1092">
        <v>1.158639595936939</v>
      </c>
      <c r="I1092">
        <v>26673.371727</v>
      </c>
      <c r="J1092">
        <v>10.05783247619155</v>
      </c>
      <c r="K1092">
        <v>0.3106272375166056</v>
      </c>
      <c r="L1092">
        <v>1.208512179802362</v>
      </c>
      <c r="M1092">
        <v>50.31</v>
      </c>
      <c r="N1092">
        <v>33.66</v>
      </c>
    </row>
    <row r="1093" spans="1:14">
      <c r="A1093" s="1" t="s">
        <v>1105</v>
      </c>
      <c r="B1093">
        <f>HYPERLINK("https://www.suredividend.com/sure-analysis-research-database/","Five Below Inc")</f>
        <v>0</v>
      </c>
      <c r="C1093" t="s">
        <v>3223</v>
      </c>
      <c r="D1093">
        <v>179.54</v>
      </c>
      <c r="E1093">
        <v>0</v>
      </c>
      <c r="H1093">
        <v>0</v>
      </c>
      <c r="I1093">
        <v>10004.726997</v>
      </c>
      <c r="J1093">
        <v>35.88367346013414</v>
      </c>
      <c r="K1093">
        <v>0</v>
      </c>
      <c r="L1093">
        <v>1.605088624200428</v>
      </c>
      <c r="M1093">
        <v>237.86</v>
      </c>
      <c r="N1093">
        <v>143.44</v>
      </c>
    </row>
    <row r="1094" spans="1:14">
      <c r="A1094" s="1" t="s">
        <v>1106</v>
      </c>
      <c r="B1094">
        <f>HYPERLINK("https://www.suredividend.com/sure-analysis-research-database/","Five9 Inc")</f>
        <v>0</v>
      </c>
      <c r="C1094" t="s">
        <v>3222</v>
      </c>
      <c r="D1094">
        <v>113.49</v>
      </c>
      <c r="E1094">
        <v>0</v>
      </c>
      <c r="H1094">
        <v>0</v>
      </c>
      <c r="I1094">
        <v>7888.749028</v>
      </c>
      <c r="J1094" t="s">
        <v>3219</v>
      </c>
      <c r="K1094">
        <v>-0</v>
      </c>
      <c r="L1094">
        <v>1.098060125607606</v>
      </c>
      <c r="M1094">
        <v>211.68</v>
      </c>
      <c r="N1094">
        <v>80.52</v>
      </c>
    </row>
    <row r="1095" spans="1:14">
      <c r="A1095" s="1" t="s">
        <v>1107</v>
      </c>
      <c r="B1095">
        <f>HYPERLINK("https://www.suredividend.com/sure-analysis-research-database/","Comfort Systems USA, Inc.")</f>
        <v>0</v>
      </c>
      <c r="C1095" t="s">
        <v>3220</v>
      </c>
      <c r="D1095">
        <v>88.56999999999999</v>
      </c>
      <c r="E1095">
        <v>0.005577333165435</v>
      </c>
      <c r="F1095">
        <v>0.1304347826086956</v>
      </c>
      <c r="G1095">
        <v>0.1162884154841741</v>
      </c>
      <c r="H1095">
        <v>0.4939843984626081</v>
      </c>
      <c r="I1095">
        <v>3182.890491</v>
      </c>
      <c r="J1095">
        <v>22.2039406953707</v>
      </c>
      <c r="K1095">
        <v>0.125695775690231</v>
      </c>
      <c r="L1095">
        <v>1.211630048926234</v>
      </c>
      <c r="M1095">
        <v>103.59</v>
      </c>
      <c r="N1095">
        <v>67.72</v>
      </c>
    </row>
    <row r="1096" spans="1:14">
      <c r="A1096" s="1" t="s">
        <v>1108</v>
      </c>
      <c r="B1096">
        <f>HYPERLINK("https://www.suredividend.com/sure-analysis-research-database/","Homology Medicines Inc")</f>
        <v>0</v>
      </c>
      <c r="C1096" t="s">
        <v>3217</v>
      </c>
      <c r="D1096">
        <v>2.1</v>
      </c>
      <c r="E1096">
        <v>0</v>
      </c>
      <c r="H1096">
        <v>0</v>
      </c>
      <c r="I1096">
        <v>120.509099</v>
      </c>
      <c r="J1096">
        <v>0</v>
      </c>
      <c r="K1096" t="s">
        <v>3219</v>
      </c>
      <c r="L1096">
        <v>1.578139958914649</v>
      </c>
      <c r="M1096">
        <v>8.9</v>
      </c>
      <c r="N1096">
        <v>2.08</v>
      </c>
    </row>
    <row r="1097" spans="1:14">
      <c r="A1097" s="1" t="s">
        <v>1109</v>
      </c>
      <c r="B1097">
        <f>HYPERLINK("https://www.suredividend.com/sure-analysis-research-database/","National Beverage Corp.")</f>
        <v>0</v>
      </c>
      <c r="C1097" t="s">
        <v>3225</v>
      </c>
      <c r="D1097">
        <v>47.34</v>
      </c>
      <c r="E1097">
        <v>0</v>
      </c>
      <c r="H1097">
        <v>0</v>
      </c>
      <c r="I1097">
        <v>4418.500014</v>
      </c>
      <c r="J1097">
        <v>27.05772854481657</v>
      </c>
      <c r="K1097">
        <v>0</v>
      </c>
      <c r="L1097">
        <v>0.692180942448956</v>
      </c>
      <c r="M1097">
        <v>60.9</v>
      </c>
      <c r="N1097">
        <v>38.1</v>
      </c>
    </row>
    <row r="1098" spans="1:14">
      <c r="A1098" s="1" t="s">
        <v>1110</v>
      </c>
      <c r="B1098">
        <f>HYPERLINK("https://www.suredividend.com/sure-analysis-FL/","Foot Locker Inc")</f>
        <v>0</v>
      </c>
      <c r="C1098" t="s">
        <v>3223</v>
      </c>
      <c r="D1098">
        <v>30.4</v>
      </c>
      <c r="E1098">
        <v>0.05263157894736843</v>
      </c>
      <c r="H1098">
        <v>1.184482962711539</v>
      </c>
      <c r="I1098">
        <v>2921.135909</v>
      </c>
      <c r="J1098">
        <v>3.271148834042553</v>
      </c>
      <c r="K1098">
        <v>0.1377305770594813</v>
      </c>
      <c r="L1098">
        <v>0.904271091927431</v>
      </c>
      <c r="M1098">
        <v>64.72</v>
      </c>
      <c r="N1098">
        <v>26</v>
      </c>
    </row>
    <row r="1099" spans="1:14">
      <c r="A1099" s="1" t="s">
        <v>1111</v>
      </c>
      <c r="B1099">
        <f>HYPERLINK("https://www.suredividend.com/sure-analysis-FLIC/","First Of Long Island Corp.")</f>
        <v>0</v>
      </c>
      <c r="C1099" t="s">
        <v>3221</v>
      </c>
      <c r="D1099">
        <v>19.03</v>
      </c>
      <c r="E1099">
        <v>0.04203888596952181</v>
      </c>
      <c r="F1099">
        <v>0.05263157894736836</v>
      </c>
      <c r="G1099">
        <v>0.07394092378577932</v>
      </c>
      <c r="H1099">
        <v>0.7791342868737281</v>
      </c>
      <c r="I1099">
        <v>439.979119</v>
      </c>
      <c r="J1099">
        <v>10.21093826034487</v>
      </c>
      <c r="K1099">
        <v>0.4304609319744354</v>
      </c>
      <c r="L1099">
        <v>0.480013669758643</v>
      </c>
      <c r="M1099">
        <v>23.1</v>
      </c>
      <c r="N1099">
        <v>18.63</v>
      </c>
    </row>
    <row r="1100" spans="1:14">
      <c r="A1100" s="1" t="s">
        <v>1112</v>
      </c>
      <c r="B1100">
        <f>HYPERLINK("https://www.suredividend.com/sure-analysis-research-database/","Flir Systems, Inc.")</f>
        <v>0</v>
      </c>
      <c r="C1100" t="s">
        <v>3222</v>
      </c>
      <c r="D1100">
        <v>57.34</v>
      </c>
      <c r="E1100">
        <v>0</v>
      </c>
      <c r="H1100">
        <v>0.510000005364418</v>
      </c>
      <c r="I1100">
        <v>0</v>
      </c>
      <c r="J1100">
        <v>0</v>
      </c>
      <c r="K1100">
        <v>0.2849162041142</v>
      </c>
    </row>
    <row r="1101" spans="1:14">
      <c r="A1101" s="1" t="s">
        <v>1113</v>
      </c>
      <c r="B1101">
        <f>HYPERLINK("https://www.suredividend.com/sure-analysis-research-database/","Full House Resorts, Inc.")</f>
        <v>0</v>
      </c>
      <c r="C1101" t="s">
        <v>3223</v>
      </c>
      <c r="D1101">
        <v>9.58</v>
      </c>
      <c r="E1101">
        <v>0</v>
      </c>
      <c r="H1101">
        <v>0</v>
      </c>
      <c r="I1101">
        <v>328.807931</v>
      </c>
      <c r="J1101">
        <v>0</v>
      </c>
      <c r="K1101" t="s">
        <v>3219</v>
      </c>
      <c r="L1101">
        <v>1.711174743487494</v>
      </c>
      <c r="M1101">
        <v>12.57</v>
      </c>
      <c r="N1101">
        <v>7.4</v>
      </c>
    </row>
    <row r="1102" spans="1:14">
      <c r="A1102" s="1" t="s">
        <v>1114</v>
      </c>
      <c r="B1102">
        <f>HYPERLINK("https://www.suredividend.com/sure-analysis-research-database/","Falcon Minerals Corp")</f>
        <v>0</v>
      </c>
      <c r="C1102" t="s">
        <v>3226</v>
      </c>
      <c r="D1102">
        <v>7.34</v>
      </c>
      <c r="E1102">
        <v>0.07208601782948401</v>
      </c>
      <c r="H1102">
        <v>0.5291113708684171</v>
      </c>
      <c r="I1102">
        <v>345.431447</v>
      </c>
      <c r="J1102">
        <v>26.25657089540893</v>
      </c>
      <c r="K1102">
        <v>1.863068207283159</v>
      </c>
      <c r="L1102">
        <v>0.7994381468307741</v>
      </c>
      <c r="M1102">
        <v>7.56</v>
      </c>
      <c r="N1102">
        <v>3.82</v>
      </c>
    </row>
    <row r="1103" spans="1:14">
      <c r="A1103" s="1" t="s">
        <v>1115</v>
      </c>
      <c r="B1103">
        <f>HYPERLINK("https://www.suredividend.com/sure-analysis-research-database/","Fluent Inc")</f>
        <v>0</v>
      </c>
      <c r="C1103" t="s">
        <v>3228</v>
      </c>
      <c r="D1103">
        <v>1.64</v>
      </c>
      <c r="E1103">
        <v>0</v>
      </c>
      <c r="H1103">
        <v>0</v>
      </c>
      <c r="I1103">
        <v>129.470299</v>
      </c>
      <c r="J1103">
        <v>0</v>
      </c>
      <c r="K1103" t="s">
        <v>3219</v>
      </c>
      <c r="L1103">
        <v>2.281076879482754</v>
      </c>
      <c r="M1103">
        <v>4.08</v>
      </c>
      <c r="N1103">
        <v>1.19</v>
      </c>
    </row>
    <row r="1104" spans="1:14">
      <c r="A1104" s="1" t="s">
        <v>1116</v>
      </c>
      <c r="B1104">
        <f>HYPERLINK("https://www.suredividend.com/sure-analysis-FLO/","Flowers Foods, Inc.")</f>
        <v>0</v>
      </c>
      <c r="C1104" t="s">
        <v>3225</v>
      </c>
      <c r="D1104">
        <v>26.78</v>
      </c>
      <c r="E1104">
        <v>0.03136669156086631</v>
      </c>
      <c r="F1104">
        <v>0.04999999999999982</v>
      </c>
      <c r="G1104">
        <v>0.04316756381013498</v>
      </c>
      <c r="H1104">
        <v>0.8300056306883841</v>
      </c>
      <c r="I1104">
        <v>5678.226895</v>
      </c>
      <c r="J1104">
        <v>27.53920904509014</v>
      </c>
      <c r="K1104">
        <v>0.8575324214158322</v>
      </c>
      <c r="L1104">
        <v>0.25236528252266</v>
      </c>
      <c r="M1104">
        <v>29.5</v>
      </c>
      <c r="N1104">
        <v>22.06</v>
      </c>
    </row>
    <row r="1105" spans="1:14">
      <c r="A1105" s="1" t="s">
        <v>1117</v>
      </c>
      <c r="B1105">
        <f>HYPERLINK("https://www.suredividend.com/sure-analysis-research-database/","SPX FLOW Inc")</f>
        <v>0</v>
      </c>
      <c r="C1105" t="s">
        <v>3220</v>
      </c>
      <c r="D1105">
        <v>86.48999999999999</v>
      </c>
      <c r="E1105">
        <v>0.00207989842896</v>
      </c>
      <c r="H1105">
        <v>0.179890415120796</v>
      </c>
      <c r="I1105">
        <v>3637.603772</v>
      </c>
      <c r="J1105">
        <v>54.53678818065967</v>
      </c>
      <c r="K1105">
        <v>0.1131386258621359</v>
      </c>
      <c r="L1105">
        <v>0.266860423976557</v>
      </c>
      <c r="M1105">
        <v>88.55</v>
      </c>
      <c r="N1105">
        <v>60.76</v>
      </c>
    </row>
    <row r="1106" spans="1:14">
      <c r="A1106" s="1" t="s">
        <v>1118</v>
      </c>
      <c r="B1106">
        <f>HYPERLINK("https://www.suredividend.com/sure-analysis-research-database/","Fluor Corporation")</f>
        <v>0</v>
      </c>
      <c r="C1106" t="s">
        <v>3220</v>
      </c>
      <c r="D1106">
        <v>30</v>
      </c>
      <c r="E1106">
        <v>0</v>
      </c>
      <c r="H1106">
        <v>0</v>
      </c>
      <c r="I1106">
        <v>4236.67164</v>
      </c>
      <c r="J1106" t="s">
        <v>3219</v>
      </c>
      <c r="K1106">
        <v>-0</v>
      </c>
      <c r="L1106">
        <v>0.8980232536988261</v>
      </c>
      <c r="M1106">
        <v>30.76</v>
      </c>
      <c r="N1106">
        <v>14.41</v>
      </c>
    </row>
    <row r="1107" spans="1:14">
      <c r="A1107" s="1" t="s">
        <v>1119</v>
      </c>
      <c r="B1107">
        <f>HYPERLINK("https://www.suredividend.com/sure-analysis-research-database/","Flowserve Corp.")</f>
        <v>0</v>
      </c>
      <c r="C1107" t="s">
        <v>3220</v>
      </c>
      <c r="D1107">
        <v>35.71</v>
      </c>
      <c r="E1107">
        <v>0.02220134268533</v>
      </c>
      <c r="F1107">
        <v>0</v>
      </c>
      <c r="G1107">
        <v>0.01031145931793609</v>
      </c>
      <c r="H1107">
        <v>0.792809947293137</v>
      </c>
      <c r="I1107">
        <v>4656.65367</v>
      </c>
      <c r="J1107">
        <v>36.97253388442941</v>
      </c>
      <c r="K1107">
        <v>0.8236986465383241</v>
      </c>
      <c r="L1107">
        <v>0.845357985093884</v>
      </c>
      <c r="M1107">
        <v>43.38</v>
      </c>
      <c r="N1107">
        <v>27.81</v>
      </c>
    </row>
    <row r="1108" spans="1:14">
      <c r="A1108" s="1" t="s">
        <v>1120</v>
      </c>
      <c r="B1108">
        <f>HYPERLINK("https://www.suredividend.com/sure-analysis-research-database/","Fleetcor Technologies Inc")</f>
        <v>0</v>
      </c>
      <c r="C1108" t="s">
        <v>3222</v>
      </c>
      <c r="D1108">
        <v>258.67</v>
      </c>
      <c r="E1108">
        <v>0</v>
      </c>
      <c r="H1108">
        <v>0</v>
      </c>
      <c r="I1108">
        <v>20146.925529</v>
      </c>
      <c r="J1108">
        <v>23.99880586666778</v>
      </c>
      <c r="K1108">
        <v>0</v>
      </c>
      <c r="L1108">
        <v>1.044300881379423</v>
      </c>
      <c r="M1108">
        <v>295.36</v>
      </c>
      <c r="N1108">
        <v>200.78</v>
      </c>
    </row>
    <row r="1109" spans="1:14">
      <c r="A1109" s="1" t="s">
        <v>1121</v>
      </c>
      <c r="B1109">
        <f>HYPERLINK("https://www.suredividend.com/sure-analysis-research-database/","1-800 Flowers.com Inc.")</f>
        <v>0</v>
      </c>
      <c r="C1109" t="s">
        <v>3223</v>
      </c>
      <c r="D1109">
        <v>13.4</v>
      </c>
      <c r="E1109">
        <v>0</v>
      </c>
      <c r="H1109">
        <v>0</v>
      </c>
      <c r="I1109">
        <v>494.325116</v>
      </c>
      <c r="J1109">
        <v>5.492135142101637</v>
      </c>
      <c r="K1109">
        <v>0</v>
      </c>
      <c r="L1109">
        <v>1.509084749844997</v>
      </c>
      <c r="M1109">
        <v>38.66</v>
      </c>
      <c r="N1109">
        <v>12.3</v>
      </c>
    </row>
    <row r="1110" spans="1:14">
      <c r="A1110" s="1" t="s">
        <v>1122</v>
      </c>
      <c r="B1110">
        <f>HYPERLINK("https://www.suredividend.com/sure-analysis-research-database/","Flexion Therapeutics Inc")</f>
        <v>0</v>
      </c>
      <c r="C1110" t="s">
        <v>3217</v>
      </c>
      <c r="D1110">
        <v>9.119999999999999</v>
      </c>
      <c r="E1110">
        <v>0</v>
      </c>
      <c r="H1110">
        <v>0</v>
      </c>
      <c r="I1110">
        <v>0</v>
      </c>
      <c r="J1110">
        <v>0</v>
      </c>
      <c r="K1110">
        <v>-0</v>
      </c>
    </row>
    <row r="1111" spans="1:14">
      <c r="A1111" s="1" t="s">
        <v>1123</v>
      </c>
      <c r="B1111">
        <f>HYPERLINK("https://www.suredividend.com/sure-analysis-research-database/","Flexsteel Industries, Inc.")</f>
        <v>0</v>
      </c>
      <c r="C1111" t="s">
        <v>3223</v>
      </c>
      <c r="D1111">
        <v>19.34</v>
      </c>
      <c r="E1111">
        <v>0.030726277563881</v>
      </c>
      <c r="F1111">
        <v>0</v>
      </c>
      <c r="G1111">
        <v>-0.05591248870509802</v>
      </c>
      <c r="H1111">
        <v>0.594246208085476</v>
      </c>
      <c r="I1111">
        <v>125.473182</v>
      </c>
      <c r="J1111">
        <v>16.66974647269829</v>
      </c>
      <c r="K1111">
        <v>0.5553702879303514</v>
      </c>
      <c r="L1111">
        <v>1.310364403410145</v>
      </c>
      <c r="M1111">
        <v>50.04</v>
      </c>
      <c r="N1111">
        <v>18.1</v>
      </c>
    </row>
    <row r="1112" spans="1:14">
      <c r="A1112" s="1" t="s">
        <v>1124</v>
      </c>
      <c r="B1112">
        <f>HYPERLINK("https://www.suredividend.com/sure-analysis-research-database/","Farmers &amp; Merchants Bancorp Inc.")</f>
        <v>0</v>
      </c>
      <c r="C1112" t="s">
        <v>3221</v>
      </c>
      <c r="D1112">
        <v>34.64</v>
      </c>
      <c r="E1112">
        <v>0.02089299373922</v>
      </c>
      <c r="F1112">
        <v>0.1176470588235294</v>
      </c>
      <c r="G1112">
        <v>-0.05340824260701438</v>
      </c>
      <c r="H1112">
        <v>0.723733303126592</v>
      </c>
      <c r="I1112">
        <v>452.616043</v>
      </c>
      <c r="J1112">
        <v>0</v>
      </c>
      <c r="K1112" t="s">
        <v>3219</v>
      </c>
      <c r="M1112">
        <v>37.28</v>
      </c>
      <c r="N1112">
        <v>20.7</v>
      </c>
    </row>
    <row r="1113" spans="1:14">
      <c r="A1113" s="1" t="s">
        <v>1125</v>
      </c>
      <c r="B1113">
        <f>HYPERLINK("https://www.suredividend.com/sure-analysis-research-database/","First Mid Bancshares Inc.")</f>
        <v>0</v>
      </c>
      <c r="C1113" t="s">
        <v>3221</v>
      </c>
      <c r="D1113">
        <v>37.2</v>
      </c>
      <c r="E1113">
        <v>0.023077775783618</v>
      </c>
      <c r="H1113">
        <v>0.85849325915059</v>
      </c>
      <c r="I1113">
        <v>760.323323</v>
      </c>
      <c r="J1113">
        <v>0</v>
      </c>
      <c r="K1113" t="s">
        <v>3219</v>
      </c>
      <c r="L1113">
        <v>0.69169529620559</v>
      </c>
      <c r="M1113">
        <v>45.38</v>
      </c>
      <c r="N1113">
        <v>36.11</v>
      </c>
    </row>
    <row r="1114" spans="1:14">
      <c r="A1114" s="1" t="s">
        <v>1126</v>
      </c>
      <c r="B1114">
        <f>HYPERLINK("https://www.suredividend.com/sure-analysis-research-database/","First Midwest Bancorp, Inc.")</f>
        <v>0</v>
      </c>
      <c r="C1114" t="s">
        <v>3221</v>
      </c>
      <c r="D1114">
        <v>21.51</v>
      </c>
      <c r="E1114">
        <v>0</v>
      </c>
      <c r="H1114">
        <v>0.560000002384185</v>
      </c>
      <c r="I1114">
        <v>0</v>
      </c>
      <c r="J1114">
        <v>0</v>
      </c>
      <c r="K1114">
        <v>0.3660130734537157</v>
      </c>
    </row>
    <row r="1115" spans="1:14">
      <c r="A1115" s="1" t="s">
        <v>1127</v>
      </c>
      <c r="B1115">
        <f>HYPERLINK("https://www.suredividend.com/sure-analysis-FMC/","FMC Corp.")</f>
        <v>0</v>
      </c>
      <c r="C1115" t="s">
        <v>3218</v>
      </c>
      <c r="D1115">
        <v>136.79</v>
      </c>
      <c r="E1115">
        <v>0.01549820893340157</v>
      </c>
      <c r="F1115">
        <v>0.1041666666666667</v>
      </c>
      <c r="G1115">
        <v>0.2628692397414127</v>
      </c>
      <c r="H1115">
        <v>2.006893731625112</v>
      </c>
      <c r="I1115">
        <v>17220.916875</v>
      </c>
      <c r="J1115">
        <v>23.43938597443854</v>
      </c>
      <c r="K1115">
        <v>0.3527054009885961</v>
      </c>
      <c r="L1115">
        <v>0.780591277039499</v>
      </c>
      <c r="M1115">
        <v>139.09</v>
      </c>
      <c r="N1115">
        <v>86.05</v>
      </c>
    </row>
    <row r="1116" spans="1:14">
      <c r="A1116" s="1" t="s">
        <v>1128</v>
      </c>
      <c r="B1116">
        <f>HYPERLINK("https://www.suredividend.com/sure-analysis-research-database/","Farmers National Banc Corp.")</f>
        <v>0</v>
      </c>
      <c r="C1116" t="s">
        <v>3221</v>
      </c>
      <c r="D1116">
        <v>16</v>
      </c>
      <c r="E1116">
        <v>0.032140505701899</v>
      </c>
      <c r="F1116">
        <v>0.4545454545454546</v>
      </c>
      <c r="G1116">
        <v>0.2619146889603865</v>
      </c>
      <c r="H1116">
        <v>0.5142480912303931</v>
      </c>
      <c r="I1116">
        <v>544.078624</v>
      </c>
      <c r="J1116">
        <v>0</v>
      </c>
      <c r="K1116" t="s">
        <v>3219</v>
      </c>
      <c r="L1116">
        <v>0.5045157890581651</v>
      </c>
      <c r="M1116">
        <v>19.82</v>
      </c>
      <c r="N1116">
        <v>14.22</v>
      </c>
    </row>
    <row r="1117" spans="1:14">
      <c r="A1117" s="1" t="s">
        <v>1129</v>
      </c>
      <c r="B1117">
        <f>HYPERLINK("https://www.suredividend.com/sure-analysis-research-database/","Fabrinet")</f>
        <v>0</v>
      </c>
      <c r="C1117" t="s">
        <v>3222</v>
      </c>
      <c r="D1117">
        <v>95.41</v>
      </c>
      <c r="E1117">
        <v>0</v>
      </c>
      <c r="H1117">
        <v>0</v>
      </c>
      <c r="I1117">
        <v>3529.725008</v>
      </c>
      <c r="J1117">
        <v>20.35174362738993</v>
      </c>
      <c r="K1117">
        <v>0</v>
      </c>
      <c r="L1117">
        <v>1.134284627904921</v>
      </c>
      <c r="M1117">
        <v>126.28</v>
      </c>
      <c r="N1117">
        <v>77.3</v>
      </c>
    </row>
    <row r="1118" spans="1:14">
      <c r="A1118" s="1" t="s">
        <v>1130</v>
      </c>
      <c r="B1118">
        <f>HYPERLINK("https://www.suredividend.com/sure-analysis-research-database/","F.N.B. Corp.")</f>
        <v>0</v>
      </c>
      <c r="C1118" t="s">
        <v>3221</v>
      </c>
      <c r="D1118">
        <v>12.11</v>
      </c>
      <c r="E1118">
        <v>0.039061317476534</v>
      </c>
      <c r="F1118">
        <v>0</v>
      </c>
      <c r="G1118">
        <v>0</v>
      </c>
      <c r="H1118">
        <v>0.473032554640834</v>
      </c>
      <c r="I1118">
        <v>4253.416856</v>
      </c>
      <c r="J1118">
        <v>10.71389636221662</v>
      </c>
      <c r="K1118">
        <v>0.3845793127161252</v>
      </c>
      <c r="L1118">
        <v>1.010056560881762</v>
      </c>
      <c r="M1118">
        <v>13.98</v>
      </c>
      <c r="N1118">
        <v>10.3</v>
      </c>
    </row>
    <row r="1119" spans="1:14">
      <c r="A1119" s="1" t="s">
        <v>1131</v>
      </c>
      <c r="B1119">
        <f>HYPERLINK("https://www.suredividend.com/sure-analysis-research-database/","FNCB Bancorp Inc")</f>
        <v>0</v>
      </c>
      <c r="C1119" t="s">
        <v>3221</v>
      </c>
      <c r="D1119">
        <v>8.91</v>
      </c>
      <c r="E1119">
        <v>0.03161188051578701</v>
      </c>
      <c r="F1119">
        <v>0.25</v>
      </c>
      <c r="G1119">
        <v>0.2011244339814313</v>
      </c>
      <c r="H1119">
        <v>0.281661855395665</v>
      </c>
      <c r="I1119">
        <v>176.111558</v>
      </c>
      <c r="J1119">
        <v>0</v>
      </c>
      <c r="K1119" t="s">
        <v>3219</v>
      </c>
      <c r="L1119">
        <v>0.134656192467803</v>
      </c>
      <c r="M1119">
        <v>10.15</v>
      </c>
      <c r="N1119">
        <v>6.67</v>
      </c>
    </row>
    <row r="1120" spans="1:14">
      <c r="A1120" s="1" t="s">
        <v>1132</v>
      </c>
      <c r="B1120">
        <f>HYPERLINK("https://www.suredividend.com/sure-analysis-research-database/","Floor &amp; Decor Holdings Inc")</f>
        <v>0</v>
      </c>
      <c r="C1120" t="s">
        <v>3223</v>
      </c>
      <c r="D1120">
        <v>83.15000000000001</v>
      </c>
      <c r="E1120">
        <v>0</v>
      </c>
      <c r="H1120">
        <v>0</v>
      </c>
      <c r="I1120">
        <v>8801.387921</v>
      </c>
      <c r="J1120">
        <v>31.07505532817852</v>
      </c>
      <c r="K1120">
        <v>0</v>
      </c>
      <c r="L1120">
        <v>1.69871172298215</v>
      </c>
      <c r="M1120">
        <v>145.89</v>
      </c>
      <c r="N1120">
        <v>79.38</v>
      </c>
    </row>
    <row r="1121" spans="1:14">
      <c r="A1121" s="1" t="s">
        <v>1133</v>
      </c>
      <c r="B1121">
        <f>HYPERLINK("https://www.suredividend.com/sure-analysis-FNF/","Fidelity National Financial Inc")</f>
        <v>0</v>
      </c>
      <c r="C1121" t="s">
        <v>3221</v>
      </c>
      <c r="D1121">
        <v>42.2</v>
      </c>
      <c r="E1121">
        <v>0.04170616113744076</v>
      </c>
      <c r="F1121">
        <v>0.2222222222222223</v>
      </c>
      <c r="G1121">
        <v>0.1197022052804315</v>
      </c>
      <c r="H1121">
        <v>1.619549447541634</v>
      </c>
      <c r="I1121">
        <v>11966.663368</v>
      </c>
      <c r="J1121">
        <v>4.940818896944674</v>
      </c>
      <c r="K1121">
        <v>0.1918897449693879</v>
      </c>
      <c r="L1121">
        <v>0.97613829108002</v>
      </c>
      <c r="M1121">
        <v>55.93</v>
      </c>
      <c r="N1121">
        <v>40.63</v>
      </c>
    </row>
    <row r="1122" spans="1:14">
      <c r="A1122" s="1" t="s">
        <v>1134</v>
      </c>
      <c r="B1122">
        <f>HYPERLINK("https://www.suredividend.com/sure-analysis-research-database/","FedNat Holding Co")</f>
        <v>0</v>
      </c>
      <c r="C1122" t="s">
        <v>3221</v>
      </c>
      <c r="D1122">
        <v>1.11</v>
      </c>
      <c r="E1122">
        <v>0</v>
      </c>
      <c r="H1122">
        <v>0</v>
      </c>
      <c r="I1122">
        <v>19.366092</v>
      </c>
      <c r="J1122">
        <v>0</v>
      </c>
      <c r="K1122" t="s">
        <v>3219</v>
      </c>
      <c r="L1122">
        <v>1.137586990361247</v>
      </c>
      <c r="M1122">
        <v>5.33</v>
      </c>
      <c r="N1122">
        <v>1</v>
      </c>
    </row>
    <row r="1123" spans="1:14">
      <c r="A1123" s="1" t="s">
        <v>1135</v>
      </c>
      <c r="B1123">
        <f>HYPERLINK("https://www.suredividend.com/sure-analysis-research-database/","Funko Inc")</f>
        <v>0</v>
      </c>
      <c r="C1123" t="s">
        <v>3223</v>
      </c>
      <c r="D1123">
        <v>16.69</v>
      </c>
      <c r="E1123">
        <v>0</v>
      </c>
      <c r="H1123">
        <v>0</v>
      </c>
      <c r="I1123">
        <v>680.896789</v>
      </c>
      <c r="J1123">
        <v>15.51017743690205</v>
      </c>
      <c r="K1123">
        <v>0</v>
      </c>
      <c r="L1123">
        <v>1.888771159496233</v>
      </c>
      <c r="M1123">
        <v>27.2</v>
      </c>
      <c r="N1123">
        <v>15.28</v>
      </c>
    </row>
    <row r="1124" spans="1:14">
      <c r="A1124" s="1" t="s">
        <v>1136</v>
      </c>
      <c r="B1124">
        <f>HYPERLINK("https://www.suredividend.com/sure-analysis-research-database/","First Bancorp Inc (ME)")</f>
        <v>0</v>
      </c>
      <c r="C1124" t="s">
        <v>3221</v>
      </c>
      <c r="D1124">
        <v>29.03</v>
      </c>
      <c r="E1124">
        <v>0.04341342264924301</v>
      </c>
      <c r="F1124">
        <v>0.032258064516129</v>
      </c>
      <c r="G1124">
        <v>0.05922384104881218</v>
      </c>
      <c r="H1124">
        <v>1.260291659507548</v>
      </c>
      <c r="I1124">
        <v>320.009912</v>
      </c>
      <c r="J1124">
        <v>8.823235039014035</v>
      </c>
      <c r="K1124">
        <v>0.3819065634871358</v>
      </c>
      <c r="L1124">
        <v>0.6297690541471971</v>
      </c>
      <c r="M1124">
        <v>36.4</v>
      </c>
      <c r="N1124">
        <v>26.14</v>
      </c>
    </row>
    <row r="1125" spans="1:14">
      <c r="A1125" s="1" t="s">
        <v>1137</v>
      </c>
      <c r="B1125">
        <f>HYPERLINK("https://www.suredividend.com/sure-analysis-research-database/","First Northwest Bancorp")</f>
        <v>0</v>
      </c>
      <c r="C1125" t="s">
        <v>3221</v>
      </c>
      <c r="D1125">
        <v>22.09</v>
      </c>
      <c r="E1125">
        <v>0.011715250703265</v>
      </c>
      <c r="H1125">
        <v>0.258789888035129</v>
      </c>
      <c r="I1125">
        <v>220.98001</v>
      </c>
      <c r="J1125">
        <v>0</v>
      </c>
      <c r="K1125" t="s">
        <v>3219</v>
      </c>
      <c r="L1125">
        <v>0.3946986653396301</v>
      </c>
      <c r="M1125">
        <v>23.77</v>
      </c>
      <c r="N1125">
        <v>15.73</v>
      </c>
    </row>
    <row r="1126" spans="1:14">
      <c r="A1126" s="1" t="s">
        <v>1138</v>
      </c>
      <c r="B1126">
        <f>HYPERLINK("https://www.suredividend.com/sure-analysis-research-database/","Focus Financial Partners Inc")</f>
        <v>0</v>
      </c>
      <c r="C1126" t="s">
        <v>3221</v>
      </c>
      <c r="D1126">
        <v>42.86</v>
      </c>
      <c r="E1126">
        <v>0</v>
      </c>
      <c r="H1126">
        <v>0</v>
      </c>
      <c r="I1126">
        <v>2801.431993</v>
      </c>
      <c r="J1126">
        <v>0</v>
      </c>
      <c r="K1126" t="s">
        <v>3219</v>
      </c>
      <c r="L1126">
        <v>1.277722673572089</v>
      </c>
      <c r="M1126">
        <v>69.13</v>
      </c>
      <c r="N1126">
        <v>41.51</v>
      </c>
    </row>
    <row r="1127" spans="1:14">
      <c r="A1127" s="1" t="s">
        <v>1139</v>
      </c>
      <c r="B1127">
        <f>HYPERLINK("https://www.suredividend.com/sure-analysis-research-database/","Ferro Corp.")</f>
        <v>0</v>
      </c>
      <c r="C1127" t="s">
        <v>3218</v>
      </c>
      <c r="D1127">
        <v>21.74</v>
      </c>
      <c r="E1127">
        <v>0</v>
      </c>
      <c r="H1127">
        <v>0</v>
      </c>
      <c r="I1127">
        <v>1798.817754</v>
      </c>
      <c r="J1127">
        <v>12.08631101168439</v>
      </c>
      <c r="K1127">
        <v>0</v>
      </c>
      <c r="L1127">
        <v>0.060787102136037</v>
      </c>
      <c r="M1127">
        <v>22.1</v>
      </c>
      <c r="N1127">
        <v>16.63</v>
      </c>
    </row>
    <row r="1128" spans="1:14">
      <c r="A1128" s="1" t="s">
        <v>1140</v>
      </c>
      <c r="B1128">
        <f>HYPERLINK("https://www.suredividend.com/sure-analysis-research-database/","Amicus Therapeutics Inc")</f>
        <v>0</v>
      </c>
      <c r="C1128" t="s">
        <v>3217</v>
      </c>
      <c r="D1128">
        <v>8.19</v>
      </c>
      <c r="E1128">
        <v>0</v>
      </c>
      <c r="H1128">
        <v>0</v>
      </c>
      <c r="I1128">
        <v>2293.440336</v>
      </c>
      <c r="J1128" t="s">
        <v>3219</v>
      </c>
      <c r="K1128">
        <v>-0</v>
      </c>
      <c r="L1128">
        <v>1.51016170892032</v>
      </c>
      <c r="M1128">
        <v>12.63</v>
      </c>
      <c r="N1128">
        <v>7.6</v>
      </c>
    </row>
    <row r="1129" spans="1:14">
      <c r="A1129" s="1" t="s">
        <v>1141</v>
      </c>
      <c r="B1129">
        <f>HYPERLINK("https://www.suredividend.com/sure-analysis-research-database/","Fonar Corp.")</f>
        <v>0</v>
      </c>
      <c r="C1129" t="s">
        <v>3217</v>
      </c>
      <c r="D1129">
        <v>18.75</v>
      </c>
      <c r="E1129">
        <v>0</v>
      </c>
      <c r="H1129">
        <v>0</v>
      </c>
      <c r="I1129">
        <v>122.891438</v>
      </c>
      <c r="J1129">
        <v>12.0047769935326</v>
      </c>
      <c r="K1129">
        <v>0</v>
      </c>
      <c r="L1129">
        <v>0.661757801176307</v>
      </c>
      <c r="M1129">
        <v>19.32</v>
      </c>
      <c r="N1129">
        <v>14.24</v>
      </c>
    </row>
    <row r="1130" spans="1:14">
      <c r="A1130" s="1" t="s">
        <v>1142</v>
      </c>
      <c r="B1130">
        <f>HYPERLINK("https://www.suredividend.com/sure-analysis-research-database/","Forestar Group Inc")</f>
        <v>0</v>
      </c>
      <c r="C1130" t="s">
        <v>3224</v>
      </c>
      <c r="D1130">
        <v>16.67</v>
      </c>
      <c r="E1130">
        <v>0</v>
      </c>
      <c r="H1130">
        <v>0</v>
      </c>
      <c r="I1130">
        <v>828.095053</v>
      </c>
      <c r="J1130">
        <v>6.434304992696193</v>
      </c>
      <c r="K1130">
        <v>0</v>
      </c>
      <c r="L1130">
        <v>1.236725922488767</v>
      </c>
      <c r="M1130">
        <v>26.46</v>
      </c>
      <c r="N1130">
        <v>15.77</v>
      </c>
    </row>
    <row r="1131" spans="1:14">
      <c r="A1131" s="1" t="s">
        <v>1143</v>
      </c>
      <c r="B1131">
        <f>HYPERLINK("https://www.suredividend.com/sure-analysis-research-database/","Forward Industries, Inc.")</f>
        <v>0</v>
      </c>
      <c r="C1131" t="s">
        <v>3223</v>
      </c>
      <c r="D1131">
        <v>1.73</v>
      </c>
      <c r="E1131">
        <v>0</v>
      </c>
      <c r="H1131">
        <v>0</v>
      </c>
      <c r="I1131">
        <v>17.40585</v>
      </c>
      <c r="J1131">
        <v>0</v>
      </c>
      <c r="K1131" t="s">
        <v>3219</v>
      </c>
      <c r="L1131">
        <v>0.9483943869903461</v>
      </c>
      <c r="M1131">
        <v>3.68</v>
      </c>
      <c r="N1131">
        <v>1.4</v>
      </c>
    </row>
    <row r="1132" spans="1:14">
      <c r="A1132" s="1" t="s">
        <v>1144</v>
      </c>
      <c r="B1132">
        <f>HYPERLINK("https://www.suredividend.com/sure-analysis-research-database/","FormFactor Inc.")</f>
        <v>0</v>
      </c>
      <c r="C1132" t="s">
        <v>3222</v>
      </c>
      <c r="D1132">
        <v>36</v>
      </c>
      <c r="E1132">
        <v>0</v>
      </c>
      <c r="H1132">
        <v>0</v>
      </c>
      <c r="I1132">
        <v>2813.983632</v>
      </c>
      <c r="J1132">
        <v>33.53014193794385</v>
      </c>
      <c r="K1132">
        <v>0</v>
      </c>
      <c r="L1132">
        <v>1.909634460475623</v>
      </c>
      <c r="M1132">
        <v>50.48</v>
      </c>
      <c r="N1132">
        <v>32.69</v>
      </c>
    </row>
    <row r="1133" spans="1:14">
      <c r="A1133" s="1" t="s">
        <v>1145</v>
      </c>
      <c r="B1133">
        <f>HYPERLINK("https://www.suredividend.com/sure-analysis-research-database/","Forrester Research Inc.")</f>
        <v>0</v>
      </c>
      <c r="C1133" t="s">
        <v>3220</v>
      </c>
      <c r="D1133">
        <v>55.75</v>
      </c>
      <c r="E1133">
        <v>0</v>
      </c>
      <c r="H1133">
        <v>0</v>
      </c>
      <c r="I1133">
        <v>1058.30225</v>
      </c>
      <c r="J1133">
        <v>42.59790090162615</v>
      </c>
      <c r="K1133">
        <v>0</v>
      </c>
      <c r="L1133">
        <v>0.7337694994244991</v>
      </c>
      <c r="M1133">
        <v>60.9</v>
      </c>
      <c r="N1133">
        <v>39.64</v>
      </c>
    </row>
    <row r="1134" spans="1:14">
      <c r="A1134" s="1" t="s">
        <v>1146</v>
      </c>
      <c r="B1134">
        <f>HYPERLINK("https://www.suredividend.com/sure-analysis-research-database/","Fossil Group Inc")</f>
        <v>0</v>
      </c>
      <c r="C1134" t="s">
        <v>3223</v>
      </c>
      <c r="D1134">
        <v>10.8</v>
      </c>
      <c r="E1134">
        <v>0</v>
      </c>
      <c r="H1134">
        <v>0</v>
      </c>
      <c r="I1134">
        <v>563.1739700000001</v>
      </c>
      <c r="J1134">
        <v>22.14256390658175</v>
      </c>
      <c r="K1134">
        <v>0</v>
      </c>
      <c r="L1134">
        <v>2.0618965324345</v>
      </c>
      <c r="M1134">
        <v>20</v>
      </c>
      <c r="N1134">
        <v>7.83</v>
      </c>
    </row>
    <row r="1135" spans="1:14">
      <c r="A1135" s="1" t="s">
        <v>1147</v>
      </c>
      <c r="B1135">
        <f>HYPERLINK("https://www.suredividend.com/sure-analysis-research-database/","Fox Corporation")</f>
        <v>0</v>
      </c>
      <c r="C1135" t="s">
        <v>3228</v>
      </c>
      <c r="D1135">
        <v>35.85</v>
      </c>
      <c r="E1135">
        <v>0.013347132632338</v>
      </c>
      <c r="H1135">
        <v>0.478494704869349</v>
      </c>
      <c r="I1135">
        <v>21212.745248</v>
      </c>
      <c r="J1135">
        <v>0</v>
      </c>
      <c r="K1135" t="s">
        <v>3219</v>
      </c>
      <c r="L1135">
        <v>0.7233235085775021</v>
      </c>
      <c r="M1135">
        <v>40.65</v>
      </c>
      <c r="N1135">
        <v>31.45</v>
      </c>
    </row>
    <row r="1136" spans="1:14">
      <c r="A1136" s="1" t="s">
        <v>1148</v>
      </c>
      <c r="B1136">
        <f>HYPERLINK("https://www.suredividend.com/sure-analysis-FOXA/","Fox Corporation")</f>
        <v>0</v>
      </c>
      <c r="C1136" t="s">
        <v>3228</v>
      </c>
      <c r="D1136">
        <v>39.12</v>
      </c>
      <c r="E1136">
        <v>0.01226993865030675</v>
      </c>
      <c r="H1136">
        <v>0.478623066225017</v>
      </c>
      <c r="I1136">
        <v>21212.745248</v>
      </c>
      <c r="J1136">
        <v>14.77210671831476</v>
      </c>
      <c r="K1136">
        <v>0.1937745207388733</v>
      </c>
      <c r="L1136">
        <v>0.6964526056587701</v>
      </c>
      <c r="M1136">
        <v>44.69</v>
      </c>
      <c r="N1136">
        <v>33.74</v>
      </c>
    </row>
    <row r="1137" spans="1:14">
      <c r="A1137" s="1" t="s">
        <v>1149</v>
      </c>
      <c r="B1137">
        <f>HYPERLINK("https://www.suredividend.com/sure-analysis-research-database/","Fox Factory Holding Corp")</f>
        <v>0</v>
      </c>
      <c r="C1137" t="s">
        <v>3223</v>
      </c>
      <c r="D1137">
        <v>91.09</v>
      </c>
      <c r="E1137">
        <v>0</v>
      </c>
      <c r="H1137">
        <v>0</v>
      </c>
      <c r="I1137">
        <v>3837.83813</v>
      </c>
      <c r="J1137">
        <v>23.42745076755912</v>
      </c>
      <c r="K1137">
        <v>0</v>
      </c>
      <c r="L1137">
        <v>1.548874365059364</v>
      </c>
      <c r="M1137">
        <v>190.29</v>
      </c>
      <c r="N1137">
        <v>88.95999999999999</v>
      </c>
    </row>
    <row r="1138" spans="1:14">
      <c r="A1138" s="1" t="s">
        <v>1150</v>
      </c>
      <c r="B1138">
        <f>HYPERLINK("https://www.suredividend.com/sure-analysis-research-database/","Farmland Partners Inc")</f>
        <v>0</v>
      </c>
      <c r="C1138" t="s">
        <v>3224</v>
      </c>
      <c r="D1138">
        <v>14.45</v>
      </c>
      <c r="E1138">
        <v>0.013760910474014</v>
      </c>
      <c r="F1138">
        <v>0</v>
      </c>
      <c r="G1138">
        <v>-0.1707376197682228</v>
      </c>
      <c r="H1138">
        <v>0.19884515634951</v>
      </c>
      <c r="I1138">
        <v>670.448889</v>
      </c>
      <c r="J1138">
        <v>0</v>
      </c>
      <c r="K1138" t="s">
        <v>3219</v>
      </c>
      <c r="L1138">
        <v>0.5138237360732251</v>
      </c>
      <c r="M1138">
        <v>15.06</v>
      </c>
      <c r="N1138">
        <v>10.58</v>
      </c>
    </row>
    <row r="1139" spans="1:14">
      <c r="A1139" s="1" t="s">
        <v>1151</v>
      </c>
      <c r="B1139">
        <f>HYPERLINK("https://www.suredividend.com/sure-analysis-research-database/","Five Prime Therapeutics Inc")</f>
        <v>0</v>
      </c>
      <c r="C1139" t="s">
        <v>3217</v>
      </c>
      <c r="D1139">
        <v>38</v>
      </c>
      <c r="E1139">
        <v>0</v>
      </c>
      <c r="H1139">
        <v>0</v>
      </c>
      <c r="I1139">
        <v>0</v>
      </c>
      <c r="J1139">
        <v>0</v>
      </c>
      <c r="K1139" t="s">
        <v>3219</v>
      </c>
    </row>
    <row r="1140" spans="1:14">
      <c r="A1140" s="1" t="s">
        <v>1152</v>
      </c>
      <c r="B1140">
        <f>HYPERLINK("https://www.suredividend.com/sure-analysis-FR/","First Industrial Realty Trust, Inc.")</f>
        <v>0</v>
      </c>
      <c r="C1140" t="s">
        <v>3224</v>
      </c>
      <c r="D1140">
        <v>61.58</v>
      </c>
      <c r="E1140">
        <v>0.01916206560571614</v>
      </c>
      <c r="F1140">
        <v>0.09259259259259256</v>
      </c>
      <c r="G1140">
        <v>0.07033701387905711</v>
      </c>
      <c r="H1140">
        <v>1.09765349160366</v>
      </c>
      <c r="I1140">
        <v>8115.084572</v>
      </c>
      <c r="J1140">
        <v>29.97836914849759</v>
      </c>
      <c r="K1140">
        <v>0.5251930581835694</v>
      </c>
      <c r="L1140">
        <v>0.6148977518087191</v>
      </c>
      <c r="M1140">
        <v>66.42</v>
      </c>
      <c r="N1140">
        <v>47.14</v>
      </c>
    </row>
    <row r="1141" spans="1:14">
      <c r="A1141" s="1" t="s">
        <v>1153</v>
      </c>
      <c r="B1141">
        <f>HYPERLINK("https://www.suredividend.com/sure-analysis-research-database/","Franklin Financial Services Corp.")</f>
        <v>0</v>
      </c>
      <c r="C1141" t="s">
        <v>3221</v>
      </c>
      <c r="D1141">
        <v>33.12</v>
      </c>
      <c r="E1141">
        <v>0.02832237411633</v>
      </c>
      <c r="F1141">
        <v>0.06666666666666643</v>
      </c>
      <c r="G1141">
        <v>0.05922384104881218</v>
      </c>
      <c r="H1141">
        <v>0.938037030732867</v>
      </c>
      <c r="I1141">
        <v>147.582554</v>
      </c>
      <c r="J1141">
        <v>0</v>
      </c>
      <c r="K1141" t="s">
        <v>3219</v>
      </c>
      <c r="M1141">
        <v>35</v>
      </c>
      <c r="N1141">
        <v>28.89</v>
      </c>
    </row>
    <row r="1142" spans="1:14">
      <c r="A1142" s="1" t="s">
        <v>1154</v>
      </c>
      <c r="B1142">
        <f>HYPERLINK("https://www.suredividend.com/sure-analysis-research-database/","Francesca`s Holdings Corp")</f>
        <v>0</v>
      </c>
      <c r="C1142" t="s">
        <v>3223</v>
      </c>
      <c r="D1142">
        <v>2.22</v>
      </c>
      <c r="E1142">
        <v>0</v>
      </c>
      <c r="H1142">
        <v>0</v>
      </c>
      <c r="I1142">
        <v>0</v>
      </c>
      <c r="J1142">
        <v>0</v>
      </c>
      <c r="K1142" t="s">
        <v>3219</v>
      </c>
    </row>
    <row r="1143" spans="1:14">
      <c r="A1143" s="1" t="s">
        <v>1155</v>
      </c>
      <c r="B1143">
        <f>HYPERLINK("https://www.suredividend.com/sure-analysis-research-database/","First Bank (NJ)")</f>
        <v>0</v>
      </c>
      <c r="C1143" t="s">
        <v>3221</v>
      </c>
      <c r="D1143">
        <v>14.05</v>
      </c>
      <c r="E1143">
        <v>0.012753443802019</v>
      </c>
      <c r="F1143">
        <v>1</v>
      </c>
      <c r="G1143">
        <v>0.2457309396155174</v>
      </c>
      <c r="H1143">
        <v>0.179185885418378</v>
      </c>
      <c r="I1143">
        <v>161.0973</v>
      </c>
      <c r="J1143">
        <v>0</v>
      </c>
      <c r="K1143" t="s">
        <v>3219</v>
      </c>
      <c r="L1143">
        <v>0.5693425902275241</v>
      </c>
      <c r="M1143">
        <v>15.79</v>
      </c>
      <c r="N1143">
        <v>10.71</v>
      </c>
    </row>
    <row r="1144" spans="1:14">
      <c r="A1144" s="1" t="s">
        <v>1156</v>
      </c>
      <c r="B1144">
        <f>HYPERLINK("https://www.suredividend.com/sure-analysis-research-database/","Republic First Bancorp, Inc.")</f>
        <v>0</v>
      </c>
      <c r="C1144" t="s">
        <v>3221</v>
      </c>
      <c r="D1144">
        <v>4.67</v>
      </c>
      <c r="E1144">
        <v>0</v>
      </c>
      <c r="H1144">
        <v>0</v>
      </c>
      <c r="I1144">
        <v>277.654841</v>
      </c>
      <c r="J1144">
        <v>14.12929828812783</v>
      </c>
      <c r="K1144">
        <v>0</v>
      </c>
      <c r="L1144">
        <v>0.6535455850642681</v>
      </c>
      <c r="M1144">
        <v>5.67</v>
      </c>
      <c r="N1144">
        <v>2.91</v>
      </c>
    </row>
    <row r="1145" spans="1:14">
      <c r="A1145" s="1" t="s">
        <v>1157</v>
      </c>
      <c r="B1145">
        <f>HYPERLINK("https://www.suredividend.com/sure-analysis-research-database/","First Republic Bank")</f>
        <v>0</v>
      </c>
      <c r="C1145" t="s">
        <v>3221</v>
      </c>
      <c r="D1145">
        <v>160.75</v>
      </c>
      <c r="E1145">
        <v>0.005464687750705</v>
      </c>
      <c r="F1145">
        <v>0.09999999999999987</v>
      </c>
      <c r="G1145">
        <v>0.05291848906511043</v>
      </c>
      <c r="H1145">
        <v>0.87844855592584</v>
      </c>
      <c r="I1145">
        <v>27682.1145</v>
      </c>
      <c r="J1145">
        <v>20.07404967367658</v>
      </c>
      <c r="K1145">
        <v>0.1146799681365326</v>
      </c>
      <c r="L1145">
        <v>1.402047544755878</v>
      </c>
      <c r="M1145">
        <v>222.57</v>
      </c>
      <c r="N1145">
        <v>150</v>
      </c>
    </row>
    <row r="1146" spans="1:14">
      <c r="A1146" s="1" t="s">
        <v>1158</v>
      </c>
      <c r="B1146">
        <f>HYPERLINK("https://www.suredividend.com/sure-analysis-research-database/","Friedman Industries, Inc.")</f>
        <v>0</v>
      </c>
      <c r="C1146" t="s">
        <v>3218</v>
      </c>
      <c r="D1146">
        <v>8.66</v>
      </c>
      <c r="E1146">
        <v>0.009214756794822001</v>
      </c>
      <c r="F1146">
        <v>0</v>
      </c>
      <c r="G1146">
        <v>0.1486983549970351</v>
      </c>
      <c r="H1146">
        <v>0.07979979384316101</v>
      </c>
      <c r="I1146">
        <v>59.373038</v>
      </c>
      <c r="J1146">
        <v>1.859406612503298</v>
      </c>
      <c r="K1146">
        <v>0.01727268265003485</v>
      </c>
      <c r="L1146">
        <v>0.497906007672325</v>
      </c>
      <c r="M1146">
        <v>15.55</v>
      </c>
      <c r="N1146">
        <v>7.37</v>
      </c>
    </row>
    <row r="1147" spans="1:14">
      <c r="A1147" s="1" t="s">
        <v>1159</v>
      </c>
      <c r="B1147">
        <f>HYPERLINK("https://www.suredividend.com/sure-analysis-research-database/","Fiesta Restaurant Group Inc")</f>
        <v>0</v>
      </c>
      <c r="C1147" t="s">
        <v>3223</v>
      </c>
      <c r="D1147">
        <v>7.11</v>
      </c>
      <c r="E1147">
        <v>0</v>
      </c>
      <c r="H1147">
        <v>0</v>
      </c>
      <c r="I1147">
        <v>182.777659</v>
      </c>
      <c r="J1147">
        <v>17.62561800867888</v>
      </c>
      <c r="K1147">
        <v>0</v>
      </c>
      <c r="L1147">
        <v>1.034134888318943</v>
      </c>
      <c r="M1147">
        <v>15.62</v>
      </c>
      <c r="N1147">
        <v>6.8</v>
      </c>
    </row>
    <row r="1148" spans="1:14">
      <c r="A1148" s="1" t="s">
        <v>1160</v>
      </c>
      <c r="B1148">
        <f>HYPERLINK("https://www.suredividend.com/sure-analysis-research-database/","First Merchants Corp.")</f>
        <v>0</v>
      </c>
      <c r="C1148" t="s">
        <v>3221</v>
      </c>
      <c r="D1148">
        <v>39.85</v>
      </c>
      <c r="E1148">
        <v>0.028808271918344</v>
      </c>
      <c r="F1148">
        <v>0.1153846153846152</v>
      </c>
      <c r="G1148">
        <v>0.100082101138866</v>
      </c>
      <c r="H1148">
        <v>1.14800963594602</v>
      </c>
      <c r="I1148">
        <v>2144.759279</v>
      </c>
      <c r="J1148">
        <v>10.43521064219023</v>
      </c>
      <c r="K1148">
        <v>0.3013148650776955</v>
      </c>
      <c r="L1148">
        <v>0.817913954331658</v>
      </c>
      <c r="M1148">
        <v>47.35</v>
      </c>
      <c r="N1148">
        <v>37.15</v>
      </c>
    </row>
    <row r="1149" spans="1:14">
      <c r="A1149" s="1" t="s">
        <v>1161</v>
      </c>
      <c r="B1149">
        <f>HYPERLINK("https://www.suredividend.com/sure-analysis-research-database/","FRP Holdings Inc")</f>
        <v>0</v>
      </c>
      <c r="C1149" t="s">
        <v>3224</v>
      </c>
      <c r="D1149">
        <v>59.1</v>
      </c>
      <c r="E1149">
        <v>0</v>
      </c>
      <c r="H1149">
        <v>0</v>
      </c>
      <c r="I1149">
        <v>557.430845</v>
      </c>
      <c r="J1149">
        <v>19.75654245614035</v>
      </c>
      <c r="K1149">
        <v>0</v>
      </c>
      <c r="L1149">
        <v>0.7184356921210361</v>
      </c>
      <c r="M1149">
        <v>65</v>
      </c>
      <c r="N1149">
        <v>48.77</v>
      </c>
    </row>
    <row r="1150" spans="1:14">
      <c r="A1150" s="1" t="s">
        <v>1162</v>
      </c>
      <c r="B1150">
        <f>HYPERLINK("https://www.suredividend.com/sure-analysis-research-database/","Freshpet Inc")</f>
        <v>0</v>
      </c>
      <c r="C1150" t="s">
        <v>3225</v>
      </c>
      <c r="D1150">
        <v>112.88</v>
      </c>
      <c r="E1150">
        <v>0</v>
      </c>
      <c r="H1150">
        <v>0</v>
      </c>
      <c r="I1150">
        <v>4904.120477</v>
      </c>
      <c r="J1150" t="s">
        <v>3219</v>
      </c>
      <c r="K1150">
        <v>-0</v>
      </c>
      <c r="L1150">
        <v>1.409631265171377</v>
      </c>
      <c r="M1150">
        <v>186.98</v>
      </c>
      <c r="N1150">
        <v>78.81</v>
      </c>
    </row>
    <row r="1151" spans="1:14">
      <c r="A1151" s="1" t="s">
        <v>1163</v>
      </c>
      <c r="B1151">
        <f>HYPERLINK("https://www.suredividend.com/sure-analysis-FRT/","Federal Realty Investment Trust.")</f>
        <v>0</v>
      </c>
      <c r="C1151" t="s">
        <v>3224</v>
      </c>
      <c r="D1151">
        <v>123.26</v>
      </c>
      <c r="E1151">
        <v>0.03472334901833523</v>
      </c>
      <c r="F1151">
        <v>0.009433962264151052</v>
      </c>
      <c r="G1151">
        <v>0.01772757184338625</v>
      </c>
      <c r="H1151">
        <v>1.070000052452087</v>
      </c>
      <c r="I1151">
        <v>9690.308617000001</v>
      </c>
      <c r="J1151">
        <v>0</v>
      </c>
      <c r="K1151" t="s">
        <v>3219</v>
      </c>
      <c r="M1151">
        <v>136.6</v>
      </c>
      <c r="N1151">
        <v>112.06</v>
      </c>
    </row>
    <row r="1152" spans="1:14">
      <c r="A1152" s="1" t="s">
        <v>1164</v>
      </c>
      <c r="B1152">
        <f>HYPERLINK("https://www.suredividend.com/sure-analysis-research-database/","Forterra Inc")</f>
        <v>0</v>
      </c>
      <c r="C1152" t="s">
        <v>3220</v>
      </c>
      <c r="D1152">
        <v>24</v>
      </c>
      <c r="E1152">
        <v>0</v>
      </c>
      <c r="H1152">
        <v>0</v>
      </c>
      <c r="I1152">
        <v>0</v>
      </c>
      <c r="J1152">
        <v>0</v>
      </c>
      <c r="K1152">
        <v>0</v>
      </c>
    </row>
    <row r="1153" spans="1:14">
      <c r="A1153" s="1" t="s">
        <v>1165</v>
      </c>
      <c r="B1153">
        <f>HYPERLINK("https://www.suredividend.com/sure-analysis-research-database/","FS Bancorp Inc")</f>
        <v>0</v>
      </c>
      <c r="C1153" t="s">
        <v>3221</v>
      </c>
      <c r="D1153">
        <v>30.54</v>
      </c>
      <c r="E1153">
        <v>0.020325603741683</v>
      </c>
      <c r="F1153">
        <v>-0.2307692307692307</v>
      </c>
      <c r="G1153">
        <v>0.1270092020979254</v>
      </c>
      <c r="H1153">
        <v>0.620743938271026</v>
      </c>
      <c r="I1153">
        <v>247.022393</v>
      </c>
      <c r="J1153">
        <v>0</v>
      </c>
      <c r="K1153" t="s">
        <v>3219</v>
      </c>
      <c r="L1153">
        <v>0.608652682140139</v>
      </c>
      <c r="M1153">
        <v>36.37</v>
      </c>
      <c r="N1153">
        <v>29.87</v>
      </c>
    </row>
    <row r="1154" spans="1:14">
      <c r="A1154" s="1" t="s">
        <v>1166</v>
      </c>
      <c r="B1154">
        <f>HYPERLINK("https://www.suredividend.com/sure-analysis-research-database/","ForeScout Technologies Inc")</f>
        <v>0</v>
      </c>
      <c r="C1154" t="s">
        <v>3222</v>
      </c>
      <c r="D1154">
        <v>28.99</v>
      </c>
      <c r="E1154">
        <v>0</v>
      </c>
      <c r="H1154">
        <v>0</v>
      </c>
      <c r="I1154">
        <v>0</v>
      </c>
      <c r="J1154">
        <v>0</v>
      </c>
      <c r="K1154" t="s">
        <v>3219</v>
      </c>
    </row>
    <row r="1155" spans="1:14">
      <c r="A1155" s="1" t="s">
        <v>1167</v>
      </c>
      <c r="B1155">
        <f>HYPERLINK("https://www.suredividend.com/sure-analysis-research-database/","First Savings Financial Group Inc")</f>
        <v>0</v>
      </c>
      <c r="C1155" t="s">
        <v>3221</v>
      </c>
      <c r="D1155">
        <v>24.595</v>
      </c>
      <c r="E1155">
        <v>0.019782420185791</v>
      </c>
      <c r="F1155">
        <v>-0.2777777777777777</v>
      </c>
      <c r="G1155">
        <v>-0.01471229526229867</v>
      </c>
      <c r="H1155">
        <v>0.4865486244695391</v>
      </c>
      <c r="I1155">
        <v>176.34187</v>
      </c>
      <c r="J1155">
        <v>0</v>
      </c>
      <c r="K1155" t="s">
        <v>3219</v>
      </c>
      <c r="M1155">
        <v>29.69</v>
      </c>
      <c r="N1155">
        <v>21.26</v>
      </c>
    </row>
    <row r="1156" spans="1:14">
      <c r="A1156" s="1" t="s">
        <v>1168</v>
      </c>
      <c r="B1156">
        <f>HYPERLINK("https://www.suredividend.com/sure-analysis-research-database/","First Solar Inc")</f>
        <v>0</v>
      </c>
      <c r="C1156" t="s">
        <v>3222</v>
      </c>
      <c r="D1156">
        <v>78.12</v>
      </c>
      <c r="E1156">
        <v>0</v>
      </c>
      <c r="H1156">
        <v>0</v>
      </c>
      <c r="I1156">
        <v>8306.793643999999</v>
      </c>
      <c r="J1156">
        <v>17.72331492827928</v>
      </c>
      <c r="K1156">
        <v>0</v>
      </c>
      <c r="L1156">
        <v>1.069794948856932</v>
      </c>
      <c r="M1156">
        <v>123.13</v>
      </c>
      <c r="N1156">
        <v>61.24</v>
      </c>
    </row>
    <row r="1157" spans="1:14">
      <c r="A1157" s="1" t="s">
        <v>1169</v>
      </c>
      <c r="B1157">
        <f>HYPERLINK("https://www.suredividend.com/sure-analysis-research-database/","Fastly Inc")</f>
        <v>0</v>
      </c>
      <c r="C1157" t="s">
        <v>3222</v>
      </c>
      <c r="D1157">
        <v>18.88</v>
      </c>
      <c r="E1157">
        <v>0</v>
      </c>
      <c r="H1157">
        <v>0</v>
      </c>
      <c r="I1157">
        <v>2271.264</v>
      </c>
      <c r="J1157" t="s">
        <v>3219</v>
      </c>
      <c r="K1157">
        <v>-0</v>
      </c>
      <c r="L1157">
        <v>2.00346856025336</v>
      </c>
      <c r="M1157">
        <v>72.08</v>
      </c>
      <c r="N1157">
        <v>13.01</v>
      </c>
    </row>
    <row r="1158" spans="1:14">
      <c r="A1158" s="1" t="s">
        <v>1170</v>
      </c>
      <c r="B1158">
        <f>HYPERLINK("https://www.suredividend.com/sure-analysis-research-database/","Franklin Street Properties Corp.")</f>
        <v>0</v>
      </c>
      <c r="C1158" t="s">
        <v>3224</v>
      </c>
      <c r="D1158">
        <v>5.54</v>
      </c>
      <c r="E1158">
        <v>0.061325641391479</v>
      </c>
      <c r="F1158">
        <v>-0.03260000000000007</v>
      </c>
      <c r="G1158">
        <v>-0.1445020005286377</v>
      </c>
      <c r="H1158">
        <v>0.339744053308798</v>
      </c>
      <c r="I1158">
        <v>572.209875</v>
      </c>
      <c r="J1158">
        <v>0</v>
      </c>
      <c r="K1158" t="s">
        <v>3219</v>
      </c>
      <c r="L1158">
        <v>0.7905133479424891</v>
      </c>
      <c r="M1158">
        <v>6.08</v>
      </c>
      <c r="N1158">
        <v>3.98</v>
      </c>
    </row>
    <row r="1159" spans="1:14">
      <c r="A1159" s="1" t="s">
        <v>1171</v>
      </c>
      <c r="B1159">
        <f>HYPERLINK("https://www.suredividend.com/sure-analysis-research-database/","Federal Signal Corp.")</f>
        <v>0</v>
      </c>
      <c r="C1159" t="s">
        <v>3220</v>
      </c>
      <c r="D1159">
        <v>33.32</v>
      </c>
      <c r="E1159">
        <v>0.010766674145021</v>
      </c>
      <c r="F1159">
        <v>0</v>
      </c>
      <c r="G1159">
        <v>0.05154749679728043</v>
      </c>
      <c r="H1159">
        <v>0.358745582512124</v>
      </c>
      <c r="I1159">
        <v>2030.238913</v>
      </c>
      <c r="J1159">
        <v>20.18130132007952</v>
      </c>
      <c r="K1159">
        <v>0.220089314424616</v>
      </c>
      <c r="L1159">
        <v>0.929992253972286</v>
      </c>
      <c r="M1159">
        <v>48.66</v>
      </c>
      <c r="N1159">
        <v>32.02</v>
      </c>
    </row>
    <row r="1160" spans="1:14">
      <c r="A1160" s="1" t="s">
        <v>1172</v>
      </c>
      <c r="B1160">
        <f>HYPERLINK("https://www.suredividend.com/sure-analysis-research-database/","L.B. Foster Co.")</f>
        <v>0</v>
      </c>
      <c r="C1160" t="s">
        <v>3220</v>
      </c>
      <c r="D1160">
        <v>14.7</v>
      </c>
      <c r="E1160">
        <v>0</v>
      </c>
      <c r="H1160">
        <v>0</v>
      </c>
      <c r="I1160">
        <v>159.162942</v>
      </c>
      <c r="J1160">
        <v>43.89490945945946</v>
      </c>
      <c r="K1160">
        <v>0</v>
      </c>
      <c r="L1160">
        <v>0.553816782089088</v>
      </c>
      <c r="M1160">
        <v>19.39</v>
      </c>
      <c r="N1160">
        <v>12.62</v>
      </c>
    </row>
    <row r="1161" spans="1:14">
      <c r="A1161" s="1" t="s">
        <v>1173</v>
      </c>
      <c r="B1161">
        <f>HYPERLINK("https://www.suredividend.com/sure-analysis-research-database/","Frontdoor Inc.")</f>
        <v>0</v>
      </c>
      <c r="C1161" t="s">
        <v>3223</v>
      </c>
      <c r="D1161">
        <v>32.59</v>
      </c>
      <c r="E1161">
        <v>0</v>
      </c>
      <c r="H1161">
        <v>0</v>
      </c>
      <c r="I1161">
        <v>2676.587141</v>
      </c>
      <c r="J1161">
        <v>21.07548929818898</v>
      </c>
      <c r="K1161">
        <v>0</v>
      </c>
      <c r="L1161">
        <v>0.624995487277887</v>
      </c>
      <c r="M1161">
        <v>57.51</v>
      </c>
      <c r="N1161">
        <v>27.28</v>
      </c>
    </row>
    <row r="1162" spans="1:14">
      <c r="A1162" s="1" t="s">
        <v>1174</v>
      </c>
      <c r="B1162">
        <f>HYPERLINK("https://www.suredividend.com/sure-analysis-research-database/","Fuel Tech Inc")</f>
        <v>0</v>
      </c>
      <c r="C1162" t="s">
        <v>3220</v>
      </c>
      <c r="D1162">
        <v>1.445</v>
      </c>
      <c r="E1162">
        <v>0</v>
      </c>
      <c r="H1162">
        <v>0</v>
      </c>
      <c r="I1162">
        <v>43.777249</v>
      </c>
      <c r="J1162">
        <v>810.689795</v>
      </c>
      <c r="K1162">
        <v>0</v>
      </c>
      <c r="L1162">
        <v>1.102588429883004</v>
      </c>
      <c r="M1162">
        <v>3.22</v>
      </c>
      <c r="N1162">
        <v>1.04</v>
      </c>
    </row>
    <row r="1163" spans="1:14">
      <c r="A1163" s="1" t="s">
        <v>1175</v>
      </c>
      <c r="B1163">
        <f>HYPERLINK("https://www.suredividend.com/sure-analysis-research-database/","TechnipFMC plc")</f>
        <v>0</v>
      </c>
      <c r="C1163" t="s">
        <v>3226</v>
      </c>
      <c r="D1163">
        <v>8</v>
      </c>
      <c r="E1163">
        <v>0</v>
      </c>
      <c r="H1163">
        <v>0</v>
      </c>
      <c r="I1163">
        <v>3617.3486</v>
      </c>
      <c r="J1163">
        <v>271.9810977443609</v>
      </c>
      <c r="K1163">
        <v>0</v>
      </c>
      <c r="L1163">
        <v>0.934197406192052</v>
      </c>
      <c r="M1163">
        <v>10.7</v>
      </c>
      <c r="N1163">
        <v>5.55</v>
      </c>
    </row>
    <row r="1164" spans="1:14">
      <c r="A1164" s="1" t="s">
        <v>1176</v>
      </c>
      <c r="B1164">
        <f>HYPERLINK("https://www.suredividend.com/sure-analysis-research-database/","Flotek Industries Inc")</f>
        <v>0</v>
      </c>
      <c r="C1164" t="s">
        <v>3226</v>
      </c>
      <c r="D1164">
        <v>1.33</v>
      </c>
      <c r="E1164">
        <v>0</v>
      </c>
      <c r="H1164">
        <v>0</v>
      </c>
      <c r="I1164">
        <v>101.925239</v>
      </c>
      <c r="J1164" t="s">
        <v>3219</v>
      </c>
      <c r="K1164">
        <v>-0</v>
      </c>
      <c r="L1164">
        <v>0.227436441040631</v>
      </c>
      <c r="M1164">
        <v>2.24</v>
      </c>
      <c r="N1164">
        <v>0.5292</v>
      </c>
    </row>
    <row r="1165" spans="1:14">
      <c r="A1165" s="1" t="s">
        <v>1177</v>
      </c>
      <c r="B1165">
        <f>HYPERLINK("https://www.suredividend.com/sure-analysis-research-database/","Fortinet Inc")</f>
        <v>0</v>
      </c>
      <c r="C1165" t="s">
        <v>3222</v>
      </c>
      <c r="D1165">
        <v>331.76</v>
      </c>
      <c r="E1165">
        <v>0</v>
      </c>
      <c r="H1165">
        <v>0</v>
      </c>
      <c r="I1165">
        <v>53352.132365</v>
      </c>
      <c r="J1165">
        <v>87.92375142544496</v>
      </c>
      <c r="K1165">
        <v>0</v>
      </c>
      <c r="L1165">
        <v>1.939459100872922</v>
      </c>
      <c r="M1165">
        <v>371.77</v>
      </c>
      <c r="N1165">
        <v>192.78</v>
      </c>
    </row>
    <row r="1166" spans="1:14">
      <c r="A1166" s="1" t="s">
        <v>1178</v>
      </c>
      <c r="B1166">
        <f>HYPERLINK("https://www.suredividend.com/sure-analysis-research-database/","FTS International Inc.")</f>
        <v>0</v>
      </c>
      <c r="C1166" t="s">
        <v>3226</v>
      </c>
      <c r="D1166">
        <v>26.53</v>
      </c>
      <c r="E1166">
        <v>0</v>
      </c>
      <c r="H1166">
        <v>0</v>
      </c>
      <c r="I1166">
        <v>364.801959</v>
      </c>
      <c r="J1166" t="s">
        <v>3219</v>
      </c>
      <c r="K1166">
        <v>-0</v>
      </c>
      <c r="L1166">
        <v>0.5999331728069091</v>
      </c>
      <c r="M1166">
        <v>30.09</v>
      </c>
      <c r="N1166">
        <v>18.07</v>
      </c>
    </row>
    <row r="1167" spans="1:14">
      <c r="A1167" s="1" t="s">
        <v>1179</v>
      </c>
      <c r="B1167">
        <f>HYPERLINK("https://www.suredividend.com/sure-analysis-research-database/","Fortive Corp")</f>
        <v>0</v>
      </c>
      <c r="C1167" t="s">
        <v>3222</v>
      </c>
      <c r="D1167">
        <v>58.18</v>
      </c>
      <c r="E1167">
        <v>0.004805331937428</v>
      </c>
      <c r="F1167">
        <v>0</v>
      </c>
      <c r="G1167">
        <v>0</v>
      </c>
      <c r="H1167">
        <v>0.279574212119593</v>
      </c>
      <c r="I1167">
        <v>20890.482919</v>
      </c>
      <c r="J1167">
        <v>36.40091116793867</v>
      </c>
      <c r="K1167">
        <v>0.1715179215457626</v>
      </c>
      <c r="L1167">
        <v>1.025164822184157</v>
      </c>
      <c r="M1167">
        <v>79.70999999999999</v>
      </c>
      <c r="N1167">
        <v>56.06</v>
      </c>
    </row>
    <row r="1168" spans="1:14">
      <c r="A1168" s="1" t="s">
        <v>1180</v>
      </c>
      <c r="B1168">
        <f>HYPERLINK("https://www.suredividend.com/sure-analysis-FUL/","H.B. Fuller Company")</f>
        <v>0</v>
      </c>
      <c r="C1168" t="s">
        <v>3218</v>
      </c>
      <c r="D1168">
        <v>70.3</v>
      </c>
      <c r="E1168">
        <v>0.01081081081081081</v>
      </c>
      <c r="H1168">
        <v>0.667476084532288</v>
      </c>
      <c r="I1168">
        <v>3729.64474</v>
      </c>
      <c r="J1168">
        <v>21.9509660545707</v>
      </c>
      <c r="K1168">
        <v>0.2153148659781574</v>
      </c>
      <c r="L1168">
        <v>1.021711738661691</v>
      </c>
      <c r="M1168">
        <v>81.53</v>
      </c>
      <c r="N1168">
        <v>58.87</v>
      </c>
    </row>
    <row r="1169" spans="1:14">
      <c r="A1169" s="1" t="s">
        <v>1181</v>
      </c>
      <c r="B1169">
        <f>HYPERLINK("https://www.suredividend.com/sure-analysis-research-database/","Fulton Financial Corp.")</f>
        <v>0</v>
      </c>
      <c r="C1169" t="s">
        <v>3221</v>
      </c>
      <c r="D1169">
        <v>15.85</v>
      </c>
      <c r="E1169">
        <v>0.035424078426313</v>
      </c>
      <c r="F1169">
        <v>0.0714285714285714</v>
      </c>
      <c r="G1169">
        <v>0.04563955259127317</v>
      </c>
      <c r="H1169">
        <v>0.5614716430570761</v>
      </c>
      <c r="I1169">
        <v>2544.2737</v>
      </c>
      <c r="J1169">
        <v>9.593068773094036</v>
      </c>
      <c r="K1169">
        <v>0.3465874339858494</v>
      </c>
      <c r="L1169">
        <v>0.8548179512647011</v>
      </c>
      <c r="M1169">
        <v>19</v>
      </c>
      <c r="N1169">
        <v>13.73</v>
      </c>
    </row>
    <row r="1170" spans="1:14">
      <c r="A1170" s="1" t="s">
        <v>1182</v>
      </c>
      <c r="B1170">
        <f>HYPERLINK("https://www.suredividend.com/sure-analysis-research-database/","First United Corporation")</f>
        <v>0</v>
      </c>
      <c r="C1170" t="s">
        <v>3221</v>
      </c>
      <c r="D1170">
        <v>22.92</v>
      </c>
      <c r="E1170">
        <v>0.025904000513889</v>
      </c>
      <c r="H1170">
        <v>0.5937196917783421</v>
      </c>
      <c r="I1170">
        <v>151.816533</v>
      </c>
      <c r="J1170">
        <v>7.679136740515935</v>
      </c>
      <c r="K1170">
        <v>0.2019454733939939</v>
      </c>
      <c r="L1170">
        <v>0.353883374961865</v>
      </c>
      <c r="M1170">
        <v>24.34</v>
      </c>
      <c r="N1170">
        <v>15.86</v>
      </c>
    </row>
    <row r="1171" spans="1:14">
      <c r="A1171" s="1" t="s">
        <v>1183</v>
      </c>
      <c r="B1171">
        <f>HYPERLINK("https://www.suredividend.com/sure-analysis-research-database/","First US Bancshares Inc")</f>
        <v>0</v>
      </c>
      <c r="C1171" t="s">
        <v>3221</v>
      </c>
      <c r="D1171">
        <v>11.5</v>
      </c>
      <c r="E1171">
        <v>0.010391972010473</v>
      </c>
      <c r="F1171">
        <v>0</v>
      </c>
      <c r="G1171">
        <v>0.08447177119769855</v>
      </c>
      <c r="H1171">
        <v>0.119507678120445</v>
      </c>
      <c r="I1171">
        <v>70.807294</v>
      </c>
      <c r="J1171">
        <v>15.90817658953044</v>
      </c>
      <c r="K1171">
        <v>0.1809625652944352</v>
      </c>
      <c r="M1171">
        <v>12.36</v>
      </c>
      <c r="N1171">
        <v>9.73</v>
      </c>
    </row>
    <row r="1172" spans="1:14">
      <c r="A1172" s="1" t="s">
        <v>1184</v>
      </c>
      <c r="B1172">
        <f>HYPERLINK("https://www.suredividend.com/sure-analysis-research-database/","Five Star Senior Living Inc.")</f>
        <v>0</v>
      </c>
      <c r="C1172" t="s">
        <v>3217</v>
      </c>
      <c r="D1172">
        <v>2.87</v>
      </c>
      <c r="E1172">
        <v>0</v>
      </c>
      <c r="H1172">
        <v>0</v>
      </c>
      <c r="I1172">
        <v>91.123085</v>
      </c>
      <c r="J1172" t="s">
        <v>3219</v>
      </c>
      <c r="K1172">
        <v>-0</v>
      </c>
      <c r="L1172">
        <v>0.566363079320238</v>
      </c>
      <c r="M1172">
        <v>9.25</v>
      </c>
      <c r="N1172">
        <v>2.72</v>
      </c>
    </row>
    <row r="1173" spans="1:14">
      <c r="A1173" s="1" t="s">
        <v>1185</v>
      </c>
      <c r="B1173">
        <f>HYPERLINK("https://www.suredividend.com/sure-analysis-research-database/","Liberty Media Corp.")</f>
        <v>0</v>
      </c>
      <c r="C1173" t="s">
        <v>3228</v>
      </c>
      <c r="D1173">
        <v>62.19</v>
      </c>
      <c r="E1173">
        <v>0</v>
      </c>
      <c r="H1173">
        <v>0</v>
      </c>
      <c r="I1173">
        <v>32021.177511</v>
      </c>
      <c r="J1173">
        <v>0</v>
      </c>
      <c r="K1173" t="s">
        <v>3219</v>
      </c>
      <c r="L1173">
        <v>0.7678688136289731</v>
      </c>
      <c r="M1173">
        <v>64.20999999999999</v>
      </c>
      <c r="N1173">
        <v>37.8</v>
      </c>
    </row>
    <row r="1174" spans="1:14">
      <c r="A1174" s="1" t="s">
        <v>1186</v>
      </c>
      <c r="B1174">
        <f>HYPERLINK("https://www.suredividend.com/sure-analysis-research-database/","Liberty Media Corp.")</f>
        <v>0</v>
      </c>
      <c r="C1174" t="s">
        <v>3228</v>
      </c>
      <c r="D1174">
        <v>68.66</v>
      </c>
      <c r="E1174">
        <v>0</v>
      </c>
      <c r="H1174">
        <v>0</v>
      </c>
      <c r="I1174">
        <v>32021.177511</v>
      </c>
      <c r="J1174">
        <v>0</v>
      </c>
      <c r="K1174" t="s">
        <v>3219</v>
      </c>
      <c r="L1174">
        <v>0.793513503425451</v>
      </c>
      <c r="M1174">
        <v>70.55</v>
      </c>
      <c r="N1174">
        <v>42.84</v>
      </c>
    </row>
    <row r="1175" spans="1:14">
      <c r="A1175" s="1" t="s">
        <v>1187</v>
      </c>
      <c r="B1175">
        <f>HYPERLINK("https://www.suredividend.com/sure-analysis-research-database/","Forward Air Corp.")</f>
        <v>0</v>
      </c>
      <c r="C1175" t="s">
        <v>3220</v>
      </c>
      <c r="D1175">
        <v>90.84999999999999</v>
      </c>
      <c r="E1175">
        <v>0.009544860841571001</v>
      </c>
      <c r="F1175">
        <v>0.1428571428571428</v>
      </c>
      <c r="G1175">
        <v>0.09856054330611785</v>
      </c>
      <c r="H1175">
        <v>0.8671506074567641</v>
      </c>
      <c r="I1175">
        <v>2439.848067</v>
      </c>
      <c r="J1175">
        <v>23.04809290896381</v>
      </c>
      <c r="K1175">
        <v>0.2234924246022588</v>
      </c>
      <c r="L1175">
        <v>1.296213245134559</v>
      </c>
      <c r="M1175">
        <v>125.41</v>
      </c>
      <c r="N1175">
        <v>80.20999999999999</v>
      </c>
    </row>
    <row r="1176" spans="1:14">
      <c r="A1176" s="1" t="s">
        <v>1188</v>
      </c>
      <c r="B1176">
        <f>HYPERLINK("https://www.suredividend.com/sure-analysis-research-database/","Genpact Ltd")</f>
        <v>0</v>
      </c>
      <c r="C1176" t="s">
        <v>3222</v>
      </c>
      <c r="D1176">
        <v>42.12</v>
      </c>
      <c r="E1176">
        <v>0.010584988763695</v>
      </c>
      <c r="F1176">
        <v>0.1627906976744187</v>
      </c>
      <c r="G1176">
        <v>0.1581151756192944</v>
      </c>
      <c r="H1176">
        <v>0.4458397267268671</v>
      </c>
      <c r="I1176">
        <v>7795.25012</v>
      </c>
      <c r="J1176">
        <v>21.09972207130638</v>
      </c>
      <c r="K1176">
        <v>0.2334239406946948</v>
      </c>
      <c r="L1176">
        <v>1.048150504371756</v>
      </c>
      <c r="M1176">
        <v>53.86</v>
      </c>
      <c r="N1176">
        <v>39.78</v>
      </c>
    </row>
    <row r="1177" spans="1:14">
      <c r="A1177" s="1" t="s">
        <v>1189</v>
      </c>
      <c r="B1177">
        <f>HYPERLINK("https://www.suredividend.com/sure-analysis-research-database/","German American Bancorp Inc")</f>
        <v>0</v>
      </c>
      <c r="C1177" t="s">
        <v>3221</v>
      </c>
      <c r="D1177">
        <v>36.67</v>
      </c>
      <c r="E1177">
        <v>0.023269703888192</v>
      </c>
      <c r="F1177">
        <v>0.09523809523809534</v>
      </c>
      <c r="G1177">
        <v>0.1208742617958329</v>
      </c>
      <c r="H1177">
        <v>0.8533000415800061</v>
      </c>
      <c r="I1177">
        <v>1078.942987</v>
      </c>
      <c r="J1177">
        <v>12.82364461307154</v>
      </c>
      <c r="K1177">
        <v>0.2691798238422732</v>
      </c>
      <c r="L1177">
        <v>0.7550976380472021</v>
      </c>
      <c r="M1177">
        <v>45.18</v>
      </c>
      <c r="N1177">
        <v>33.94</v>
      </c>
    </row>
    <row r="1178" spans="1:14">
      <c r="A1178" s="1" t="s">
        <v>1190</v>
      </c>
      <c r="B1178">
        <f>HYPERLINK("https://www.suredividend.com/sure-analysis-research-database/","Gaia Inc")</f>
        <v>0</v>
      </c>
      <c r="C1178" t="s">
        <v>3228</v>
      </c>
      <c r="D1178">
        <v>4.87</v>
      </c>
      <c r="E1178">
        <v>0</v>
      </c>
      <c r="H1178">
        <v>0</v>
      </c>
      <c r="I1178">
        <v>73.349598</v>
      </c>
      <c r="J1178">
        <v>19.65950081211471</v>
      </c>
      <c r="K1178">
        <v>0</v>
      </c>
      <c r="L1178">
        <v>1.10587244276528</v>
      </c>
      <c r="M1178">
        <v>13.92</v>
      </c>
      <c r="N1178">
        <v>4.61</v>
      </c>
    </row>
    <row r="1179" spans="1:14">
      <c r="A1179" s="1" t="s">
        <v>1191</v>
      </c>
      <c r="B1179">
        <f>HYPERLINK("https://www.suredividend.com/sure-analysis-research-database/","Galectin Therapeutics Inc")</f>
        <v>0</v>
      </c>
      <c r="C1179" t="s">
        <v>3217</v>
      </c>
      <c r="D1179">
        <v>1.74</v>
      </c>
      <c r="E1179">
        <v>0</v>
      </c>
      <c r="H1179">
        <v>0</v>
      </c>
      <c r="I1179">
        <v>103.253871</v>
      </c>
      <c r="J1179">
        <v>0</v>
      </c>
      <c r="K1179" t="s">
        <v>3219</v>
      </c>
      <c r="L1179">
        <v>0.896167762524078</v>
      </c>
      <c r="M1179">
        <v>5.7</v>
      </c>
      <c r="N1179">
        <v>1.5</v>
      </c>
    </row>
    <row r="1180" spans="1:14">
      <c r="A1180" s="1" t="s">
        <v>1192</v>
      </c>
      <c r="B1180">
        <f>HYPERLINK("https://www.suredividend.com/sure-analysis-research-database/","GATX Corp.")</f>
        <v>0</v>
      </c>
      <c r="C1180" t="s">
        <v>3220</v>
      </c>
      <c r="D1180">
        <v>117.29</v>
      </c>
      <c r="E1180">
        <v>0.017093033367322</v>
      </c>
      <c r="F1180">
        <v>0.04000000000000004</v>
      </c>
      <c r="G1180">
        <v>0.04364022715043592</v>
      </c>
      <c r="H1180">
        <v>2.004841883653304</v>
      </c>
      <c r="I1180">
        <v>4170.155402</v>
      </c>
      <c r="J1180">
        <v>29.14154718462614</v>
      </c>
      <c r="K1180">
        <v>0.5037291164958051</v>
      </c>
      <c r="L1180">
        <v>0.73837239271204</v>
      </c>
      <c r="M1180">
        <v>127.58</v>
      </c>
      <c r="N1180">
        <v>83.29000000000001</v>
      </c>
    </row>
    <row r="1181" spans="1:14">
      <c r="A1181" s="1" t="s">
        <v>1193</v>
      </c>
      <c r="B1181">
        <f>HYPERLINK("https://www.suredividend.com/sure-analysis-research-database/","Glacier Bancorp, Inc.")</f>
        <v>0</v>
      </c>
      <c r="C1181" t="s">
        <v>3221</v>
      </c>
      <c r="D1181">
        <v>45.7</v>
      </c>
      <c r="E1181">
        <v>0.027747862615812</v>
      </c>
      <c r="F1181">
        <v>0.03125</v>
      </c>
      <c r="G1181">
        <v>0.0488372867840543</v>
      </c>
      <c r="H1181">
        <v>1.26807732154265</v>
      </c>
      <c r="I1181">
        <v>5061.857035</v>
      </c>
      <c r="J1181">
        <v>17.77605830655612</v>
      </c>
      <c r="K1181">
        <v>0.4433836788610664</v>
      </c>
      <c r="M1181">
        <v>60.89</v>
      </c>
      <c r="N1181">
        <v>45.53</v>
      </c>
    </row>
    <row r="1182" spans="1:14">
      <c r="A1182" s="1" t="s">
        <v>1194</v>
      </c>
      <c r="B1182">
        <f>HYPERLINK("https://www.suredividend.com/sure-analysis-research-database/","Gamco Investors Inc")</f>
        <v>0</v>
      </c>
      <c r="C1182" t="s">
        <v>3221</v>
      </c>
      <c r="D1182">
        <v>20.65</v>
      </c>
      <c r="E1182">
        <v>0.005799735380455</v>
      </c>
      <c r="F1182">
        <v>-0.98</v>
      </c>
      <c r="G1182">
        <v>0.1486983549970351</v>
      </c>
      <c r="H1182">
        <v>0.119764535606397</v>
      </c>
      <c r="I1182">
        <v>156.750247</v>
      </c>
      <c r="J1182">
        <v>0</v>
      </c>
      <c r="K1182" t="s">
        <v>3219</v>
      </c>
      <c r="L1182">
        <v>0.8774919649214951</v>
      </c>
      <c r="M1182">
        <v>29.69</v>
      </c>
      <c r="N1182">
        <v>16.75</v>
      </c>
    </row>
    <row r="1183" spans="1:14">
      <c r="A1183" s="1" t="s">
        <v>1195</v>
      </c>
      <c r="B1183">
        <f>HYPERLINK("https://www.suredividend.com/sure-analysis-research-database/","Global Indemnity Group LLC")</f>
        <v>0</v>
      </c>
      <c r="C1183" t="s">
        <v>3221</v>
      </c>
      <c r="D1183">
        <v>26.1</v>
      </c>
      <c r="E1183">
        <v>0.028465168795334</v>
      </c>
      <c r="H1183">
        <v>0.7429409055582351</v>
      </c>
      <c r="I1183">
        <v>276.096031</v>
      </c>
      <c r="J1183">
        <v>9.548870139032996</v>
      </c>
      <c r="K1183">
        <v>0.3771273632275305</v>
      </c>
      <c r="M1183">
        <v>31.11</v>
      </c>
      <c r="N1183">
        <v>23.97</v>
      </c>
    </row>
    <row r="1184" spans="1:14">
      <c r="A1184" s="1" t="s">
        <v>1196</v>
      </c>
      <c r="B1184">
        <f>HYPERLINK("https://www.suredividend.com/sure-analysis-research-database/","Global Blood Therapeutics Inc.")</f>
        <v>0</v>
      </c>
      <c r="C1184" t="s">
        <v>3217</v>
      </c>
      <c r="D1184">
        <v>35.44</v>
      </c>
      <c r="E1184">
        <v>0</v>
      </c>
      <c r="H1184">
        <v>0</v>
      </c>
      <c r="I1184">
        <v>2297.271869</v>
      </c>
      <c r="J1184">
        <v>0</v>
      </c>
      <c r="K1184" t="s">
        <v>3219</v>
      </c>
      <c r="L1184">
        <v>1.079483221784729</v>
      </c>
      <c r="M1184">
        <v>43.98</v>
      </c>
      <c r="N1184">
        <v>24.61</v>
      </c>
    </row>
    <row r="1185" spans="1:14">
      <c r="A1185" s="1" t="s">
        <v>1197</v>
      </c>
      <c r="B1185">
        <f>HYPERLINK("https://www.suredividend.com/sure-analysis-research-database/","Greenbrier Cos., Inc.")</f>
        <v>0</v>
      </c>
      <c r="C1185" t="s">
        <v>3220</v>
      </c>
      <c r="D1185">
        <v>45.23</v>
      </c>
      <c r="E1185">
        <v>0.023646034493961</v>
      </c>
      <c r="F1185">
        <v>0</v>
      </c>
      <c r="G1185">
        <v>0.04180926810264429</v>
      </c>
      <c r="H1185">
        <v>1.069510140161885</v>
      </c>
      <c r="I1185">
        <v>1473.94149</v>
      </c>
      <c r="J1185">
        <v>19.62272665654871</v>
      </c>
      <c r="K1185">
        <v>0.488360794594468</v>
      </c>
      <c r="L1185">
        <v>1.039296223242394</v>
      </c>
      <c r="M1185">
        <v>53.46</v>
      </c>
      <c r="N1185">
        <v>35.94</v>
      </c>
    </row>
    <row r="1186" spans="1:14">
      <c r="A1186" s="1" t="s">
        <v>1198</v>
      </c>
      <c r="B1186">
        <f>HYPERLINK("https://www.suredividend.com/sure-analysis-research-database/","Greene County Bancorp Inc")</f>
        <v>0</v>
      </c>
      <c r="C1186" t="s">
        <v>3221</v>
      </c>
      <c r="D1186">
        <v>50.5</v>
      </c>
      <c r="E1186">
        <v>0.010045352011641</v>
      </c>
      <c r="F1186">
        <v>0.08333333333333348</v>
      </c>
      <c r="G1186">
        <v>0.06474093044470108</v>
      </c>
      <c r="H1186">
        <v>0.507290276587906</v>
      </c>
      <c r="I1186">
        <v>429.927407</v>
      </c>
      <c r="J1186">
        <v>0</v>
      </c>
      <c r="K1186" t="s">
        <v>3219</v>
      </c>
      <c r="M1186">
        <v>52</v>
      </c>
      <c r="N1186">
        <v>24.6</v>
      </c>
    </row>
    <row r="1187" spans="1:14">
      <c r="A1187" s="1" t="s">
        <v>1199</v>
      </c>
      <c r="B1187">
        <f>HYPERLINK("https://www.suredividend.com/sure-analysis-research-database/","Gannett Co Inc.")</f>
        <v>0</v>
      </c>
      <c r="C1187" t="s">
        <v>3228</v>
      </c>
      <c r="D1187">
        <v>4.25</v>
      </c>
      <c r="E1187">
        <v>0</v>
      </c>
      <c r="H1187">
        <v>0</v>
      </c>
      <c r="I1187">
        <v>606.811643</v>
      </c>
      <c r="J1187">
        <v>0</v>
      </c>
      <c r="K1187" t="s">
        <v>3219</v>
      </c>
      <c r="L1187">
        <v>1.415024097900992</v>
      </c>
      <c r="M1187">
        <v>7.05</v>
      </c>
      <c r="N1187">
        <v>3.66</v>
      </c>
    </row>
    <row r="1188" spans="1:14">
      <c r="A1188" s="1" t="s">
        <v>1200</v>
      </c>
      <c r="B1188">
        <f>HYPERLINK("https://www.suredividend.com/sure-analysis-research-database/","Genesco Inc.")</f>
        <v>0</v>
      </c>
      <c r="C1188" t="s">
        <v>3223</v>
      </c>
      <c r="D1188">
        <v>68.58</v>
      </c>
      <c r="E1188">
        <v>0</v>
      </c>
      <c r="H1188">
        <v>0</v>
      </c>
      <c r="I1188">
        <v>936.603644</v>
      </c>
      <c r="J1188">
        <v>8.155016488289073</v>
      </c>
      <c r="K1188">
        <v>0</v>
      </c>
      <c r="L1188">
        <v>1.508567924489202</v>
      </c>
      <c r="M1188">
        <v>73.72</v>
      </c>
      <c r="N1188">
        <v>43.26</v>
      </c>
    </row>
    <row r="1189" spans="1:14">
      <c r="A1189" s="1" t="s">
        <v>1201</v>
      </c>
      <c r="B1189">
        <f>HYPERLINK("https://www.suredividend.com/sure-analysis-research-database/","GCP Applied Technologies Inc")</f>
        <v>0</v>
      </c>
      <c r="C1189" t="s">
        <v>3218</v>
      </c>
      <c r="D1189">
        <v>31.26</v>
      </c>
      <c r="E1189">
        <v>0</v>
      </c>
      <c r="H1189">
        <v>0</v>
      </c>
      <c r="I1189">
        <v>2311.233264</v>
      </c>
      <c r="J1189">
        <v>109.020436995283</v>
      </c>
      <c r="K1189">
        <v>0</v>
      </c>
      <c r="L1189">
        <v>0.5109387841426191</v>
      </c>
      <c r="M1189">
        <v>32.28</v>
      </c>
      <c r="N1189">
        <v>20.76</v>
      </c>
    </row>
    <row r="1190" spans="1:14">
      <c r="A1190" s="1" t="s">
        <v>1202</v>
      </c>
      <c r="B1190">
        <f>HYPERLINK("https://www.suredividend.com/sure-analysis-GD/","General Dynamics Corp.")</f>
        <v>0</v>
      </c>
      <c r="C1190" t="s">
        <v>3220</v>
      </c>
      <c r="D1190">
        <v>243.74</v>
      </c>
      <c r="E1190">
        <v>0.02067777139574957</v>
      </c>
      <c r="F1190">
        <v>0.05882352941176472</v>
      </c>
      <c r="G1190">
        <v>0.08447177119769855</v>
      </c>
      <c r="H1190">
        <v>4.790996557338028</v>
      </c>
      <c r="I1190">
        <v>67792.981248</v>
      </c>
      <c r="J1190">
        <v>20.81454751239791</v>
      </c>
      <c r="K1190">
        <v>0.4148048967392232</v>
      </c>
      <c r="L1190">
        <v>0.5048201579810681</v>
      </c>
      <c r="M1190">
        <v>253.66</v>
      </c>
      <c r="N1190">
        <v>178.59</v>
      </c>
    </row>
    <row r="1191" spans="1:14">
      <c r="A1191" s="1" t="s">
        <v>1203</v>
      </c>
      <c r="B1191">
        <f>HYPERLINK("https://www.suredividend.com/sure-analysis-research-database/","Godaddy Inc")</f>
        <v>0</v>
      </c>
      <c r="C1191" t="s">
        <v>3222</v>
      </c>
      <c r="D1191">
        <v>86.44</v>
      </c>
      <c r="E1191">
        <v>0</v>
      </c>
      <c r="H1191">
        <v>0</v>
      </c>
      <c r="I1191">
        <v>14450.616163</v>
      </c>
      <c r="J1191">
        <v>59.63935684127115</v>
      </c>
      <c r="K1191">
        <v>0</v>
      </c>
      <c r="L1191">
        <v>0.9433635101905381</v>
      </c>
      <c r="M1191">
        <v>90.43000000000001</v>
      </c>
      <c r="N1191">
        <v>65.7</v>
      </c>
    </row>
    <row r="1192" spans="1:14">
      <c r="A1192" s="1" t="s">
        <v>1204</v>
      </c>
      <c r="B1192">
        <f>HYPERLINK("https://www.suredividend.com/sure-analysis-research-database/","Golden Entertainment Inc")</f>
        <v>0</v>
      </c>
      <c r="C1192" t="s">
        <v>3223</v>
      </c>
      <c r="D1192">
        <v>53.86</v>
      </c>
      <c r="E1192">
        <v>0</v>
      </c>
      <c r="H1192">
        <v>0</v>
      </c>
      <c r="I1192">
        <v>1560.889084</v>
      </c>
      <c r="J1192">
        <v>9.648458879438236</v>
      </c>
      <c r="K1192">
        <v>0</v>
      </c>
      <c r="L1192">
        <v>1.631831804665587</v>
      </c>
      <c r="M1192">
        <v>59.96</v>
      </c>
      <c r="N1192">
        <v>27.5</v>
      </c>
    </row>
    <row r="1193" spans="1:14">
      <c r="A1193" s="1" t="s">
        <v>1205</v>
      </c>
      <c r="B1193">
        <f>HYPERLINK("https://www.suredividend.com/sure-analysis-research-database/","Green Dot Corp.")</f>
        <v>0</v>
      </c>
      <c r="C1193" t="s">
        <v>3221</v>
      </c>
      <c r="D1193">
        <v>27.41</v>
      </c>
      <c r="E1193">
        <v>0</v>
      </c>
      <c r="H1193">
        <v>0</v>
      </c>
      <c r="I1193">
        <v>1488.184205</v>
      </c>
      <c r="J1193">
        <v>31.61774888607972</v>
      </c>
      <c r="K1193">
        <v>0</v>
      </c>
      <c r="L1193">
        <v>1.044309460436799</v>
      </c>
      <c r="M1193">
        <v>54.9</v>
      </c>
      <c r="N1193">
        <v>23.09</v>
      </c>
    </row>
    <row r="1194" spans="1:14">
      <c r="A1194" s="1" t="s">
        <v>1206</v>
      </c>
      <c r="B1194">
        <f>HYPERLINK("https://www.suredividend.com/sure-analysis-research-database/","Goodrich Petroleum Corp.")</f>
        <v>0</v>
      </c>
      <c r="C1194" t="s">
        <v>3226</v>
      </c>
      <c r="D1194">
        <v>23.02</v>
      </c>
      <c r="E1194">
        <v>0</v>
      </c>
      <c r="H1194">
        <v>0</v>
      </c>
      <c r="I1194">
        <v>331.239177</v>
      </c>
      <c r="J1194">
        <v>0</v>
      </c>
      <c r="K1194" t="s">
        <v>3219</v>
      </c>
      <c r="M1194">
        <v>26.66</v>
      </c>
      <c r="N1194">
        <v>8.609999999999999</v>
      </c>
    </row>
    <row r="1195" spans="1:14">
      <c r="A1195" s="1" t="s">
        <v>1207</v>
      </c>
      <c r="B1195">
        <f>HYPERLINK("https://www.suredividend.com/sure-analysis-GE/","General Electric Co.")</f>
        <v>0</v>
      </c>
      <c r="C1195" t="s">
        <v>3220</v>
      </c>
      <c r="D1195">
        <v>90.83</v>
      </c>
      <c r="E1195">
        <v>0.003523065066607949</v>
      </c>
      <c r="F1195">
        <v>7</v>
      </c>
      <c r="G1195">
        <v>-0.1972584382397693</v>
      </c>
      <c r="H1195">
        <v>0.319582621174364</v>
      </c>
      <c r="I1195">
        <v>99851.406542</v>
      </c>
      <c r="J1195" t="s">
        <v>3219</v>
      </c>
      <c r="K1195" t="s">
        <v>3219</v>
      </c>
      <c r="L1195">
        <v>1.093361844745634</v>
      </c>
      <c r="M1195">
        <v>115.96</v>
      </c>
      <c r="N1195">
        <v>85.29000000000001</v>
      </c>
    </row>
    <row r="1196" spans="1:14">
      <c r="A1196" s="1" t="s">
        <v>1208</v>
      </c>
      <c r="B1196">
        <f>HYPERLINK("https://www.suredividend.com/sure-analysis-research-database/","Great Elm Capital Group Inc")</f>
        <v>0</v>
      </c>
      <c r="C1196" t="s">
        <v>3221</v>
      </c>
      <c r="D1196">
        <v>2.62</v>
      </c>
      <c r="E1196">
        <v>0</v>
      </c>
      <c r="H1196">
        <v>0</v>
      </c>
      <c r="I1196">
        <v>0</v>
      </c>
      <c r="J1196">
        <v>0</v>
      </c>
      <c r="K1196">
        <v>-0</v>
      </c>
    </row>
    <row r="1197" spans="1:14">
      <c r="A1197" s="1" t="s">
        <v>1209</v>
      </c>
      <c r="B1197">
        <f>HYPERLINK("https://www.suredividend.com/sure-analysis-GEF/","Greif Inc")</f>
        <v>0</v>
      </c>
      <c r="C1197" t="s">
        <v>3223</v>
      </c>
      <c r="D1197">
        <v>62.21</v>
      </c>
      <c r="E1197">
        <v>0.02957723838611156</v>
      </c>
      <c r="F1197">
        <v>0.04545454545454541</v>
      </c>
      <c r="G1197">
        <v>0.0183608813392091</v>
      </c>
      <c r="H1197">
        <v>1.799615365072076</v>
      </c>
      <c r="I1197">
        <v>2998.754427</v>
      </c>
      <c r="J1197">
        <v>7.94161659721928</v>
      </c>
      <c r="K1197">
        <v>0.2842994257617814</v>
      </c>
      <c r="L1197">
        <v>0.8728617319628361</v>
      </c>
      <c r="M1197">
        <v>70.89</v>
      </c>
      <c r="N1197">
        <v>53.23</v>
      </c>
    </row>
    <row r="1198" spans="1:14">
      <c r="A1198" s="1" t="s">
        <v>1210</v>
      </c>
      <c r="B1198">
        <f>HYPERLINK("https://www.suredividend.com/sure-analysis-research-database/","Genesis Healthcare Inc")</f>
        <v>0</v>
      </c>
      <c r="C1198" t="s">
        <v>3217</v>
      </c>
      <c r="D1198">
        <v>0.4204</v>
      </c>
      <c r="E1198">
        <v>0</v>
      </c>
      <c r="H1198">
        <v>0</v>
      </c>
      <c r="I1198">
        <v>46.97078</v>
      </c>
      <c r="J1198" t="s">
        <v>3219</v>
      </c>
      <c r="K1198">
        <v>-0</v>
      </c>
      <c r="L1198">
        <v>1.302868225669308</v>
      </c>
      <c r="M1198">
        <v>1.37</v>
      </c>
      <c r="N1198">
        <v>0.401</v>
      </c>
    </row>
    <row r="1199" spans="1:14">
      <c r="A1199" s="1" t="s">
        <v>1211</v>
      </c>
      <c r="B1199">
        <f>HYPERLINK("https://www.suredividend.com/sure-analysis-research-database/","Gencor Industries, Inc.")</f>
        <v>0</v>
      </c>
      <c r="C1199" t="s">
        <v>3220</v>
      </c>
      <c r="D1199">
        <v>10.2</v>
      </c>
      <c r="E1199">
        <v>0</v>
      </c>
      <c r="H1199">
        <v>0</v>
      </c>
      <c r="I1199">
        <v>125.856219</v>
      </c>
      <c r="J1199">
        <v>0</v>
      </c>
      <c r="K1199" t="s">
        <v>3219</v>
      </c>
      <c r="L1199">
        <v>0.4922294949945311</v>
      </c>
      <c r="M1199">
        <v>13.29</v>
      </c>
      <c r="N1199">
        <v>10.02</v>
      </c>
    </row>
    <row r="1200" spans="1:14">
      <c r="A1200" s="1" t="s">
        <v>1212</v>
      </c>
      <c r="B1200">
        <f>HYPERLINK("https://www.suredividend.com/sure-analysis-research-database/","Geo Group, Inc.")</f>
        <v>0</v>
      </c>
      <c r="C1200" t="s">
        <v>3224</v>
      </c>
      <c r="D1200">
        <v>6.78</v>
      </c>
      <c r="E1200">
        <v>0</v>
      </c>
      <c r="H1200">
        <v>0</v>
      </c>
      <c r="I1200">
        <v>830.6695110000001</v>
      </c>
      <c r="J1200">
        <v>11.7932521872338</v>
      </c>
      <c r="K1200">
        <v>0</v>
      </c>
      <c r="L1200">
        <v>0.4797667837817781</v>
      </c>
      <c r="M1200">
        <v>11</v>
      </c>
      <c r="N1200">
        <v>4.96</v>
      </c>
    </row>
    <row r="1201" spans="1:14">
      <c r="A1201" s="1" t="s">
        <v>1213</v>
      </c>
      <c r="B1201">
        <f>HYPERLINK("https://www.suredividend.com/sure-analysis-research-database/","Geospace Technologies Corp")</f>
        <v>0</v>
      </c>
      <c r="C1201" t="s">
        <v>3226</v>
      </c>
      <c r="D1201">
        <v>5.89</v>
      </c>
      <c r="E1201">
        <v>0</v>
      </c>
      <c r="H1201">
        <v>0</v>
      </c>
      <c r="I1201">
        <v>76.46245399999999</v>
      </c>
      <c r="J1201" t="s">
        <v>3219</v>
      </c>
      <c r="K1201">
        <v>-0</v>
      </c>
      <c r="L1201">
        <v>0.316811128288431</v>
      </c>
      <c r="M1201">
        <v>10.94</v>
      </c>
      <c r="N1201">
        <v>4.97</v>
      </c>
    </row>
    <row r="1202" spans="1:14">
      <c r="A1202" s="1" t="s">
        <v>1214</v>
      </c>
      <c r="B1202">
        <f>HYPERLINK("https://www.suredividend.com/sure-analysis-research-database/","Geron Corp.")</f>
        <v>0</v>
      </c>
      <c r="C1202" t="s">
        <v>3217</v>
      </c>
      <c r="D1202">
        <v>1.54</v>
      </c>
      <c r="E1202">
        <v>0</v>
      </c>
      <c r="H1202">
        <v>0</v>
      </c>
      <c r="I1202">
        <v>498.54665</v>
      </c>
      <c r="J1202" t="s">
        <v>3219</v>
      </c>
      <c r="K1202">
        <v>-0</v>
      </c>
      <c r="L1202">
        <v>1.278627117358285</v>
      </c>
      <c r="M1202">
        <v>2.23</v>
      </c>
      <c r="N1202">
        <v>0.9899</v>
      </c>
    </row>
    <row r="1203" spans="1:14">
      <c r="A1203" s="1" t="s">
        <v>1215</v>
      </c>
      <c r="B1203">
        <f>HYPERLINK("https://www.suredividend.com/sure-analysis-research-database/","Guess Inc.")</f>
        <v>0</v>
      </c>
      <c r="C1203" t="s">
        <v>3223</v>
      </c>
      <c r="D1203">
        <v>23.35</v>
      </c>
      <c r="E1203">
        <v>0.028622550540876</v>
      </c>
      <c r="H1203">
        <v>0.6683365551294681</v>
      </c>
      <c r="I1203">
        <v>1395.598935</v>
      </c>
      <c r="J1203">
        <v>8.232067897801006</v>
      </c>
      <c r="K1203">
        <v>0.2600531342916218</v>
      </c>
      <c r="L1203">
        <v>2.059497366466483</v>
      </c>
      <c r="M1203">
        <v>30.4</v>
      </c>
      <c r="N1203">
        <v>15.89</v>
      </c>
    </row>
    <row r="1204" spans="1:14">
      <c r="A1204" s="1" t="s">
        <v>1216</v>
      </c>
      <c r="B1204">
        <f>HYPERLINK("https://www.suredividend.com/sure-analysis-research-database/","Gevo Inc")</f>
        <v>0</v>
      </c>
      <c r="C1204" t="s">
        <v>3218</v>
      </c>
      <c r="D1204">
        <v>4.57</v>
      </c>
      <c r="E1204">
        <v>0</v>
      </c>
      <c r="H1204">
        <v>0</v>
      </c>
      <c r="I1204">
        <v>923.088185</v>
      </c>
      <c r="J1204">
        <v>0</v>
      </c>
      <c r="K1204" t="s">
        <v>3219</v>
      </c>
      <c r="L1204">
        <v>2.133961459826654</v>
      </c>
      <c r="M1204">
        <v>9.640000000000001</v>
      </c>
      <c r="N1204">
        <v>2.79</v>
      </c>
    </row>
    <row r="1205" spans="1:14">
      <c r="A1205" s="1" t="s">
        <v>1217</v>
      </c>
      <c r="B1205">
        <f>HYPERLINK("https://www.suredividend.com/sure-analysis-research-database/","Guaranty Federal Bancshares Inc")</f>
        <v>0</v>
      </c>
      <c r="C1205" t="s">
        <v>3221</v>
      </c>
      <c r="D1205">
        <v>31.43</v>
      </c>
      <c r="E1205">
        <v>0</v>
      </c>
      <c r="H1205">
        <v>0.450000017881393</v>
      </c>
      <c r="I1205">
        <v>0</v>
      </c>
      <c r="J1205">
        <v>0</v>
      </c>
      <c r="K1205" t="s">
        <v>3219</v>
      </c>
    </row>
    <row r="1206" spans="1:14">
      <c r="A1206" s="1" t="s">
        <v>1218</v>
      </c>
      <c r="B1206">
        <f>HYPERLINK("https://www.suredividend.com/sure-analysis-research-database/","Griffon Corp.")</f>
        <v>0</v>
      </c>
      <c r="C1206" t="s">
        <v>3220</v>
      </c>
      <c r="D1206">
        <v>18.54</v>
      </c>
      <c r="E1206">
        <v>0.018323745792935</v>
      </c>
      <c r="F1206">
        <v>0.125</v>
      </c>
      <c r="G1206">
        <v>0.08447177119769855</v>
      </c>
      <c r="H1206">
        <v>0.339722247001029</v>
      </c>
      <c r="I1206">
        <v>1043.873805</v>
      </c>
      <c r="J1206">
        <v>15.12663283658653</v>
      </c>
      <c r="K1206">
        <v>0.2633505790705651</v>
      </c>
      <c r="L1206">
        <v>1.247923478469813</v>
      </c>
      <c r="M1206">
        <v>29.42</v>
      </c>
      <c r="N1206">
        <v>17.91</v>
      </c>
    </row>
    <row r="1207" spans="1:14">
      <c r="A1207" s="1" t="s">
        <v>1219</v>
      </c>
      <c r="B1207">
        <f>HYPERLINK("https://www.suredividend.com/sure-analysis-research-database/","General Finance Corporation")</f>
        <v>0</v>
      </c>
      <c r="C1207" t="s">
        <v>3220</v>
      </c>
      <c r="D1207">
        <v>19.01</v>
      </c>
      <c r="E1207">
        <v>0</v>
      </c>
      <c r="H1207">
        <v>0</v>
      </c>
      <c r="I1207">
        <v>0</v>
      </c>
      <c r="J1207">
        <v>0</v>
      </c>
      <c r="K1207" t="s">
        <v>3219</v>
      </c>
    </row>
    <row r="1208" spans="1:14">
      <c r="A1208" s="1" t="s">
        <v>1220</v>
      </c>
      <c r="B1208">
        <f>HYPERLINK("https://www.suredividend.com/sure-analysis-GGG/","Graco Inc.")</f>
        <v>0</v>
      </c>
      <c r="C1208" t="s">
        <v>3220</v>
      </c>
      <c r="D1208">
        <v>65.22</v>
      </c>
      <c r="E1208">
        <v>0.01287948482060718</v>
      </c>
      <c r="F1208">
        <v>0.1199999999999999</v>
      </c>
      <c r="G1208">
        <v>-0.1021922317628747</v>
      </c>
      <c r="H1208">
        <v>0.791656458316339</v>
      </c>
      <c r="I1208">
        <v>11044.476305</v>
      </c>
      <c r="J1208">
        <v>25.10872926041113</v>
      </c>
      <c r="K1208">
        <v>0.3141493882207694</v>
      </c>
      <c r="L1208">
        <v>0.9841709975155021</v>
      </c>
      <c r="M1208">
        <v>80.62</v>
      </c>
      <c r="N1208">
        <v>65.20999999999999</v>
      </c>
    </row>
    <row r="1209" spans="1:14">
      <c r="A1209" s="1" t="s">
        <v>1221</v>
      </c>
      <c r="B1209">
        <f>HYPERLINK("https://www.suredividend.com/sure-analysis-research-database/","Guardant Health Inc")</f>
        <v>0</v>
      </c>
      <c r="C1209" t="s">
        <v>3217</v>
      </c>
      <c r="D1209">
        <v>71.98999999999999</v>
      </c>
      <c r="E1209">
        <v>0</v>
      </c>
      <c r="H1209">
        <v>0</v>
      </c>
      <c r="I1209">
        <v>7333.321678</v>
      </c>
      <c r="J1209" t="s">
        <v>3219</v>
      </c>
      <c r="K1209">
        <v>-0</v>
      </c>
      <c r="L1209">
        <v>1.685778890045655</v>
      </c>
      <c r="M1209">
        <v>169.43</v>
      </c>
      <c r="N1209">
        <v>46.87</v>
      </c>
    </row>
    <row r="1210" spans="1:14">
      <c r="A1210" s="1" t="s">
        <v>1222</v>
      </c>
      <c r="B1210">
        <f>HYPERLINK("https://www.suredividend.com/sure-analysis-research-database/","Graham Holdings Co.")</f>
        <v>0</v>
      </c>
      <c r="C1210" t="s">
        <v>3225</v>
      </c>
      <c r="D1210">
        <v>613.49</v>
      </c>
      <c r="E1210">
        <v>0.007478572470842001</v>
      </c>
      <c r="H1210">
        <v>4.588029425136892</v>
      </c>
      <c r="I1210">
        <v>2417.13649</v>
      </c>
      <c r="J1210">
        <v>6.90979606169582</v>
      </c>
      <c r="K1210">
        <v>0.06511537645666891</v>
      </c>
      <c r="L1210">
        <v>0.6845670729960771</v>
      </c>
      <c r="M1210">
        <v>679.83</v>
      </c>
      <c r="N1210">
        <v>546.29</v>
      </c>
    </row>
    <row r="1211" spans="1:14">
      <c r="A1211" s="1" t="s">
        <v>1223</v>
      </c>
      <c r="B1211">
        <f>HYPERLINK("https://www.suredividend.com/sure-analysis-research-database/","Greenhill &amp; Co Inc")</f>
        <v>0</v>
      </c>
      <c r="C1211" t="s">
        <v>3221</v>
      </c>
      <c r="D1211">
        <v>14.11</v>
      </c>
      <c r="E1211">
        <v>0.017625573079263</v>
      </c>
      <c r="F1211">
        <v>1</v>
      </c>
      <c r="G1211">
        <v>-0.2597856550256933</v>
      </c>
      <c r="H1211">
        <v>0.248696836148409</v>
      </c>
      <c r="I1211">
        <v>257.979282</v>
      </c>
      <c r="J1211">
        <v>6.097071326337682</v>
      </c>
      <c r="K1211">
        <v>0.1437553966175775</v>
      </c>
      <c r="L1211">
        <v>0.9953430156205351</v>
      </c>
      <c r="M1211">
        <v>20.21</v>
      </c>
      <c r="N1211">
        <v>13.14</v>
      </c>
    </row>
    <row r="1212" spans="1:14">
      <c r="A1212" s="1" t="s">
        <v>1224</v>
      </c>
      <c r="B1212">
        <f>HYPERLINK("https://www.suredividend.com/sure-analysis-research-database/","Graham Corp.")</f>
        <v>0</v>
      </c>
      <c r="C1212" t="s">
        <v>3220</v>
      </c>
      <c r="D1212">
        <v>7.4</v>
      </c>
      <c r="E1212">
        <v>0.044237576010482</v>
      </c>
      <c r="H1212">
        <v>0.327358062477573</v>
      </c>
      <c r="I1212">
        <v>78.721503</v>
      </c>
      <c r="J1212" t="s">
        <v>3219</v>
      </c>
      <c r="K1212" t="s">
        <v>3219</v>
      </c>
      <c r="L1212">
        <v>0.6027284164031641</v>
      </c>
      <c r="M1212">
        <v>15.19</v>
      </c>
      <c r="N1212">
        <v>7.12</v>
      </c>
    </row>
    <row r="1213" spans="1:14">
      <c r="A1213" s="1" t="s">
        <v>1225</v>
      </c>
      <c r="B1213">
        <f>HYPERLINK("https://www.suredividend.com/sure-analysis-research-database/","Gulf Island Fabrication, Inc.")</f>
        <v>0</v>
      </c>
      <c r="C1213" t="s">
        <v>3226</v>
      </c>
      <c r="D1213">
        <v>3.61</v>
      </c>
      <c r="E1213">
        <v>0</v>
      </c>
      <c r="H1213">
        <v>0</v>
      </c>
      <c r="I1213">
        <v>56.948847</v>
      </c>
      <c r="J1213" t="s">
        <v>3219</v>
      </c>
      <c r="K1213">
        <v>-0</v>
      </c>
      <c r="L1213">
        <v>0.146576976174103</v>
      </c>
      <c r="M1213">
        <v>5.3</v>
      </c>
      <c r="N1213">
        <v>3.56</v>
      </c>
    </row>
    <row r="1214" spans="1:14">
      <c r="A1214" s="1" t="s">
        <v>1226</v>
      </c>
      <c r="B1214">
        <f>HYPERLINK("https://www.suredividend.com/sure-analysis-research-database/","G-III Apparel Group Ltd.")</f>
        <v>0</v>
      </c>
      <c r="C1214" t="s">
        <v>3223</v>
      </c>
      <c r="D1214">
        <v>28.99</v>
      </c>
      <c r="E1214">
        <v>0</v>
      </c>
      <c r="H1214">
        <v>0</v>
      </c>
      <c r="I1214">
        <v>1408.000032</v>
      </c>
      <c r="J1214">
        <v>7.01918826813498</v>
      </c>
      <c r="K1214">
        <v>0</v>
      </c>
      <c r="L1214">
        <v>1.640720776262888</v>
      </c>
      <c r="M1214">
        <v>35.8</v>
      </c>
      <c r="N1214">
        <v>22.5</v>
      </c>
    </row>
    <row r="1215" spans="1:14">
      <c r="A1215" s="1" t="s">
        <v>1227</v>
      </c>
      <c r="B1215">
        <f>HYPERLINK("https://www.suredividend.com/sure-analysis-GILD/","Gilead Sciences, Inc.")</f>
        <v>0</v>
      </c>
      <c r="C1215" t="s">
        <v>3217</v>
      </c>
      <c r="D1215">
        <v>61.82</v>
      </c>
      <c r="E1215">
        <v>0.04723390488515043</v>
      </c>
      <c r="F1215">
        <v>0.028169014084507</v>
      </c>
      <c r="G1215">
        <v>0.07019742897422021</v>
      </c>
      <c r="H1215">
        <v>2.812167054048562</v>
      </c>
      <c r="I1215">
        <v>77515.27727799999</v>
      </c>
      <c r="J1215">
        <v>12.45225337794056</v>
      </c>
      <c r="K1215">
        <v>0.5704192807400735</v>
      </c>
      <c r="L1215">
        <v>0.300758401468195</v>
      </c>
      <c r="M1215">
        <v>73.19</v>
      </c>
      <c r="N1215">
        <v>56.6</v>
      </c>
    </row>
    <row r="1216" spans="1:14">
      <c r="A1216" s="1" t="s">
        <v>1228</v>
      </c>
      <c r="B1216">
        <f>HYPERLINK("https://www.suredividend.com/sure-analysis-GIS/","General Mills, Inc.")</f>
        <v>0</v>
      </c>
      <c r="C1216" t="s">
        <v>3225</v>
      </c>
      <c r="D1216">
        <v>70.92</v>
      </c>
      <c r="E1216">
        <v>0.02876480541455161</v>
      </c>
      <c r="F1216">
        <v>0</v>
      </c>
      <c r="G1216">
        <v>0.008033160997201749</v>
      </c>
      <c r="H1216">
        <v>2.017144659637862</v>
      </c>
      <c r="I1216">
        <v>42708.877239</v>
      </c>
      <c r="J1216">
        <v>18.55858742385608</v>
      </c>
      <c r="K1216">
        <v>0.5379052425700965</v>
      </c>
      <c r="L1216">
        <v>0.181799207102563</v>
      </c>
      <c r="M1216">
        <v>71.23999999999999</v>
      </c>
      <c r="N1216">
        <v>55.38</v>
      </c>
    </row>
    <row r="1217" spans="1:14">
      <c r="A1217" s="1" t="s">
        <v>1229</v>
      </c>
      <c r="B1217">
        <f>HYPERLINK("https://www.suredividend.com/sure-analysis-research-database/","Glaukos Corporation")</f>
        <v>0</v>
      </c>
      <c r="C1217" t="s">
        <v>3217</v>
      </c>
      <c r="D1217">
        <v>60.98</v>
      </c>
      <c r="E1217">
        <v>0</v>
      </c>
      <c r="H1217">
        <v>0</v>
      </c>
      <c r="I1217">
        <v>2869.311332</v>
      </c>
      <c r="J1217" t="s">
        <v>3219</v>
      </c>
      <c r="K1217">
        <v>-0</v>
      </c>
      <c r="L1217">
        <v>1.050993378666277</v>
      </c>
      <c r="M1217">
        <v>98.29000000000001</v>
      </c>
      <c r="N1217">
        <v>39.35</v>
      </c>
    </row>
    <row r="1218" spans="1:14">
      <c r="A1218" s="1" t="s">
        <v>1230</v>
      </c>
      <c r="B1218">
        <f>HYPERLINK("https://www.suredividend.com/sure-analysis-research-database/","Globe Life Inc")</f>
        <v>0</v>
      </c>
      <c r="C1218" t="s">
        <v>3221</v>
      </c>
      <c r="D1218">
        <v>102.93</v>
      </c>
      <c r="E1218">
        <v>0.007748397956916</v>
      </c>
      <c r="F1218">
        <v>0.05063291139240511</v>
      </c>
      <c r="G1218">
        <v>0.06705146990192867</v>
      </c>
      <c r="H1218">
        <v>0.7975426017053661</v>
      </c>
      <c r="I1218">
        <v>10224.901615</v>
      </c>
      <c r="J1218">
        <v>13.72545551490753</v>
      </c>
      <c r="K1218">
        <v>0.11046296422512</v>
      </c>
      <c r="L1218">
        <v>0.8896461047413771</v>
      </c>
      <c r="M1218">
        <v>108.38</v>
      </c>
      <c r="N1218">
        <v>84.90000000000001</v>
      </c>
    </row>
    <row r="1219" spans="1:14">
      <c r="A1219" s="1" t="s">
        <v>1231</v>
      </c>
      <c r="B1219">
        <f>HYPERLINK("https://www.suredividend.com/sure-analysis-research-database/","Glen Burnie Bancorp")</f>
        <v>0</v>
      </c>
      <c r="C1219" t="s">
        <v>3221</v>
      </c>
      <c r="D1219">
        <v>12.5615</v>
      </c>
      <c r="E1219">
        <v>0.007960832821726001</v>
      </c>
      <c r="F1219">
        <v>0</v>
      </c>
      <c r="G1219">
        <v>0</v>
      </c>
      <c r="H1219">
        <v>0.100000001490116</v>
      </c>
      <c r="I1219">
        <v>35.878872</v>
      </c>
      <c r="J1219">
        <v>0</v>
      </c>
      <c r="K1219" t="s">
        <v>3219</v>
      </c>
      <c r="M1219">
        <v>14.79</v>
      </c>
      <c r="N1219">
        <v>10.6</v>
      </c>
    </row>
    <row r="1220" spans="1:14">
      <c r="A1220" s="1" t="s">
        <v>1232</v>
      </c>
      <c r="B1220">
        <f>HYPERLINK("https://www.suredividend.com/sure-analysis-research-database/","Great Lakes Dredge &amp; Dock Corporation")</f>
        <v>0</v>
      </c>
      <c r="C1220" t="s">
        <v>3220</v>
      </c>
      <c r="D1220">
        <v>13.87</v>
      </c>
      <c r="E1220">
        <v>0</v>
      </c>
      <c r="H1220">
        <v>0</v>
      </c>
      <c r="I1220">
        <v>913.380527</v>
      </c>
      <c r="J1220">
        <v>18.47751512097426</v>
      </c>
      <c r="K1220">
        <v>0</v>
      </c>
      <c r="L1220">
        <v>0.7113638655577541</v>
      </c>
      <c r="M1220">
        <v>16.28</v>
      </c>
      <c r="N1220">
        <v>13.24</v>
      </c>
    </row>
    <row r="1221" spans="1:14">
      <c r="A1221" s="1" t="s">
        <v>1233</v>
      </c>
      <c r="B1221">
        <f>HYPERLINK("https://www.suredividend.com/sure-analysis-research-database/","GCI Liberty Inc")</f>
        <v>0</v>
      </c>
      <c r="C1221" t="s">
        <v>3228</v>
      </c>
      <c r="D1221">
        <v>91.73</v>
      </c>
      <c r="E1221">
        <v>0</v>
      </c>
      <c r="H1221">
        <v>0</v>
      </c>
      <c r="I1221">
        <v>0</v>
      </c>
      <c r="J1221">
        <v>0</v>
      </c>
      <c r="K1221" t="s">
        <v>3219</v>
      </c>
    </row>
    <row r="1222" spans="1:14">
      <c r="A1222" s="1" t="s">
        <v>1234</v>
      </c>
      <c r="B1222">
        <f>HYPERLINK("https://www.suredividend.com/sure-analysis-GLPI/","Gaming and Leisure Properties Inc")</f>
        <v>0</v>
      </c>
      <c r="C1222" t="s">
        <v>3224</v>
      </c>
      <c r="D1222">
        <v>46.72</v>
      </c>
      <c r="E1222">
        <v>0.05907534246575342</v>
      </c>
      <c r="F1222">
        <v>0.0298507462686568</v>
      </c>
      <c r="G1222">
        <v>0.0183608813392091</v>
      </c>
      <c r="H1222">
        <v>2.631997088035422</v>
      </c>
      <c r="I1222">
        <v>11135.763766</v>
      </c>
      <c r="J1222">
        <v>20.86517313207208</v>
      </c>
      <c r="K1222">
        <v>1.164600481431603</v>
      </c>
      <c r="L1222">
        <v>0.7842945012754781</v>
      </c>
      <c r="M1222">
        <v>49.04</v>
      </c>
      <c r="N1222">
        <v>41.18</v>
      </c>
    </row>
    <row r="1223" spans="1:14">
      <c r="A1223" s="1" t="s">
        <v>1235</v>
      </c>
      <c r="B1223">
        <f>HYPERLINK("https://www.suredividend.com/sure-analysis-research-database/","Greenlight Capital Re Ltd")</f>
        <v>0</v>
      </c>
      <c r="C1223" t="s">
        <v>3221</v>
      </c>
      <c r="D1223">
        <v>6.69</v>
      </c>
      <c r="E1223">
        <v>0</v>
      </c>
      <c r="H1223">
        <v>0</v>
      </c>
      <c r="I1223">
        <v>184.5753</v>
      </c>
      <c r="J1223">
        <v>10.50035842473546</v>
      </c>
      <c r="K1223">
        <v>0</v>
      </c>
      <c r="L1223">
        <v>0.516736764516439</v>
      </c>
      <c r="M1223">
        <v>9.710000000000001</v>
      </c>
      <c r="N1223">
        <v>6.6</v>
      </c>
    </row>
    <row r="1224" spans="1:14">
      <c r="A1224" s="1" t="s">
        <v>1236</v>
      </c>
      <c r="B1224">
        <f>HYPERLINK("https://www.suredividend.com/sure-analysis-research-database/","Glatfelter Corporation")</f>
        <v>0</v>
      </c>
      <c r="C1224" t="s">
        <v>3218</v>
      </c>
      <c r="D1224">
        <v>11.94</v>
      </c>
      <c r="E1224">
        <v>0.046221597590143</v>
      </c>
      <c r="F1224">
        <v>0.03703703703703698</v>
      </c>
      <c r="G1224">
        <v>0.01493197894539389</v>
      </c>
      <c r="H1224">
        <v>0.5518858752263101</v>
      </c>
      <c r="I1224">
        <v>533.811359</v>
      </c>
      <c r="J1224">
        <v>76.95132749891884</v>
      </c>
      <c r="K1224">
        <v>3.574390383590091</v>
      </c>
      <c r="L1224">
        <v>0.831295878234048</v>
      </c>
      <c r="M1224">
        <v>18.54</v>
      </c>
      <c r="N1224">
        <v>10.99</v>
      </c>
    </row>
    <row r="1225" spans="1:14">
      <c r="A1225" s="1" t="s">
        <v>1237</v>
      </c>
      <c r="B1225">
        <f>HYPERLINK("https://www.suredividend.com/sure-analysis-research-database/","Glu Mobile Inc")</f>
        <v>0</v>
      </c>
      <c r="C1225" t="s">
        <v>3228</v>
      </c>
      <c r="D1225">
        <v>12.5</v>
      </c>
      <c r="E1225">
        <v>0</v>
      </c>
      <c r="H1225">
        <v>0</v>
      </c>
      <c r="I1225">
        <v>0</v>
      </c>
      <c r="J1225">
        <v>0</v>
      </c>
      <c r="K1225">
        <v>0</v>
      </c>
    </row>
    <row r="1226" spans="1:14">
      <c r="A1226" s="1" t="s">
        <v>1238</v>
      </c>
      <c r="B1226">
        <f>HYPERLINK("https://www.suredividend.com/sure-analysis-GLW/","Corning, Inc.")</f>
        <v>0</v>
      </c>
      <c r="C1226" t="s">
        <v>3222</v>
      </c>
      <c r="D1226">
        <v>33.69</v>
      </c>
      <c r="E1226">
        <v>0.03205699020480855</v>
      </c>
      <c r="F1226">
        <v>0.1250000000000002</v>
      </c>
      <c r="G1226">
        <v>0.1173942011257414</v>
      </c>
      <c r="H1226">
        <v>0.9808116957122741</v>
      </c>
      <c r="I1226">
        <v>28489.816469</v>
      </c>
      <c r="J1226">
        <v>26.40390775615385</v>
      </c>
      <c r="K1226">
        <v>0.7662591372752141</v>
      </c>
      <c r="L1226">
        <v>1.00283451539337</v>
      </c>
      <c r="M1226">
        <v>45.69</v>
      </c>
      <c r="N1226">
        <v>33.52</v>
      </c>
    </row>
    <row r="1227" spans="1:14">
      <c r="A1227" s="1" t="s">
        <v>1239</v>
      </c>
      <c r="B1227">
        <f>HYPERLINK("https://www.suredividend.com/sure-analysis-research-database/","GlycoMimetics Inc")</f>
        <v>0</v>
      </c>
      <c r="C1227" t="s">
        <v>3217</v>
      </c>
      <c r="D1227">
        <v>1</v>
      </c>
      <c r="E1227">
        <v>0</v>
      </c>
      <c r="H1227">
        <v>0</v>
      </c>
      <c r="I1227">
        <v>52.392444</v>
      </c>
      <c r="J1227">
        <v>0</v>
      </c>
      <c r="K1227" t="s">
        <v>3219</v>
      </c>
      <c r="L1227">
        <v>1.108914266807311</v>
      </c>
      <c r="M1227">
        <v>2.83</v>
      </c>
      <c r="N1227">
        <v>0.991</v>
      </c>
    </row>
    <row r="1228" spans="1:14">
      <c r="A1228" s="1" t="s">
        <v>1240</v>
      </c>
      <c r="B1228">
        <f>HYPERLINK("https://www.suredividend.com/sure-analysis-research-database/","General Motors Company")</f>
        <v>0</v>
      </c>
      <c r="C1228" t="s">
        <v>3223</v>
      </c>
      <c r="D1228">
        <v>40.13</v>
      </c>
      <c r="E1228">
        <v>0</v>
      </c>
      <c r="H1228">
        <v>0</v>
      </c>
      <c r="I1228">
        <v>58309.746254</v>
      </c>
      <c r="J1228">
        <v>5.927594414334656</v>
      </c>
      <c r="K1228">
        <v>0</v>
      </c>
      <c r="L1228">
        <v>1.328202126717447</v>
      </c>
      <c r="M1228">
        <v>67.20999999999999</v>
      </c>
      <c r="N1228">
        <v>37.6</v>
      </c>
    </row>
    <row r="1229" spans="1:14">
      <c r="A1229" s="1" t="s">
        <v>1241</v>
      </c>
      <c r="B1229">
        <f>HYPERLINK("https://www.suredividend.com/sure-analysis-research-database/","Gamestop Corporation")</f>
        <v>0</v>
      </c>
      <c r="C1229" t="s">
        <v>3223</v>
      </c>
      <c r="D1229">
        <v>150.77</v>
      </c>
      <c r="E1229">
        <v>0</v>
      </c>
      <c r="H1229">
        <v>0</v>
      </c>
      <c r="I1229">
        <v>11510.869606</v>
      </c>
      <c r="J1229" t="s">
        <v>3219</v>
      </c>
      <c r="K1229">
        <v>-0</v>
      </c>
      <c r="L1229">
        <v>1.836199397310831</v>
      </c>
      <c r="M1229">
        <v>344.66</v>
      </c>
      <c r="N1229">
        <v>77.58</v>
      </c>
    </row>
    <row r="1230" spans="1:14">
      <c r="A1230" s="1" t="s">
        <v>1242</v>
      </c>
      <c r="B1230">
        <f>HYPERLINK("https://www.suredividend.com/sure-analysis-research-database/","Globus Medical Inc")</f>
        <v>0</v>
      </c>
      <c r="C1230" t="s">
        <v>3217</v>
      </c>
      <c r="D1230">
        <v>77.5</v>
      </c>
      <c r="E1230">
        <v>0</v>
      </c>
      <c r="H1230">
        <v>0</v>
      </c>
      <c r="I1230">
        <v>7870.753913</v>
      </c>
      <c r="J1230">
        <v>52.75622465497248</v>
      </c>
      <c r="K1230">
        <v>0</v>
      </c>
      <c r="L1230">
        <v>0.9226740400506741</v>
      </c>
      <c r="M1230">
        <v>84.23</v>
      </c>
      <c r="N1230">
        <v>62.39</v>
      </c>
    </row>
    <row r="1231" spans="1:14">
      <c r="A1231" s="1" t="s">
        <v>1243</v>
      </c>
      <c r="B1231">
        <f>HYPERLINK("https://www.suredividend.com/sure-analysis-GMRE/","Global Medical REIT Inc")</f>
        <v>0</v>
      </c>
      <c r="C1231" t="s">
        <v>3224</v>
      </c>
      <c r="D1231">
        <v>15.88</v>
      </c>
      <c r="E1231">
        <v>0.05289672544080604</v>
      </c>
      <c r="F1231">
        <v>0.02439024390243882</v>
      </c>
      <c r="G1231">
        <v>0.009805797673485328</v>
      </c>
      <c r="H1231">
        <v>0.8093856345735631</v>
      </c>
      <c r="I1231">
        <v>1038.47079</v>
      </c>
      <c r="J1231">
        <v>0</v>
      </c>
      <c r="K1231" t="s">
        <v>3219</v>
      </c>
      <c r="L1231">
        <v>0.6959704257767431</v>
      </c>
      <c r="M1231">
        <v>18.27</v>
      </c>
      <c r="N1231">
        <v>12.7</v>
      </c>
    </row>
    <row r="1232" spans="1:14">
      <c r="A1232" s="1" t="s">
        <v>1244</v>
      </c>
      <c r="B1232">
        <f>HYPERLINK("https://www.suredividend.com/sure-analysis-research-database/","GMS Inc")</f>
        <v>0</v>
      </c>
      <c r="C1232" t="s">
        <v>3220</v>
      </c>
      <c r="D1232">
        <v>49.09</v>
      </c>
      <c r="E1232">
        <v>0</v>
      </c>
      <c r="H1232">
        <v>0</v>
      </c>
      <c r="I1232">
        <v>2112.881855</v>
      </c>
      <c r="J1232">
        <v>9.158886547734642</v>
      </c>
      <c r="K1232">
        <v>0</v>
      </c>
      <c r="L1232">
        <v>1.584447440682922</v>
      </c>
      <c r="M1232">
        <v>61.79</v>
      </c>
      <c r="N1232">
        <v>40.03</v>
      </c>
    </row>
    <row r="1233" spans="1:14">
      <c r="A1233" s="1" t="s">
        <v>1245</v>
      </c>
      <c r="B1233">
        <f>HYPERLINK("https://www.suredividend.com/sure-analysis-research-database/","Genocea Biosciences Inc")</f>
        <v>0</v>
      </c>
      <c r="C1233" t="s">
        <v>3217</v>
      </c>
      <c r="D1233">
        <v>0.46</v>
      </c>
      <c r="E1233">
        <v>0</v>
      </c>
      <c r="H1233">
        <v>0</v>
      </c>
      <c r="I1233">
        <v>27.017529</v>
      </c>
      <c r="J1233">
        <v>0</v>
      </c>
      <c r="K1233" t="s">
        <v>3219</v>
      </c>
      <c r="L1233">
        <v>1.010029209590123</v>
      </c>
      <c r="M1233">
        <v>2.9</v>
      </c>
      <c r="N1233">
        <v>0.39</v>
      </c>
    </row>
    <row r="1234" spans="1:14">
      <c r="A1234" s="1" t="s">
        <v>1246</v>
      </c>
      <c r="B1234">
        <f>HYPERLINK("https://www.suredividend.com/sure-analysis-research-database/","Genie Energy Ltd")</f>
        <v>0</v>
      </c>
      <c r="C1234" t="s">
        <v>3227</v>
      </c>
      <c r="D1234">
        <v>6.52</v>
      </c>
      <c r="E1234">
        <v>0.011503067941753</v>
      </c>
      <c r="H1234">
        <v>0.075000002980232</v>
      </c>
      <c r="I1234">
        <v>160.621308</v>
      </c>
      <c r="J1234">
        <v>0</v>
      </c>
      <c r="K1234" t="s">
        <v>3219</v>
      </c>
      <c r="L1234">
        <v>0.3511021000250431</v>
      </c>
      <c r="M1234">
        <v>6.98</v>
      </c>
      <c r="N1234">
        <v>4.68</v>
      </c>
    </row>
    <row r="1235" spans="1:14">
      <c r="A1235" s="1" t="s">
        <v>1247</v>
      </c>
      <c r="B1235">
        <f>HYPERLINK("https://www.suredividend.com/sure-analysis-research-database/","Genco Shipping &amp; Trading Limited")</f>
        <v>0</v>
      </c>
      <c r="C1235" t="s">
        <v>3220</v>
      </c>
      <c r="D1235">
        <v>24.64</v>
      </c>
      <c r="E1235">
        <v>0.03891883880043601</v>
      </c>
      <c r="H1235">
        <v>0.9589601880427521</v>
      </c>
      <c r="I1235">
        <v>1033.838319</v>
      </c>
      <c r="J1235">
        <v>0</v>
      </c>
      <c r="K1235" t="s">
        <v>3219</v>
      </c>
      <c r="L1235">
        <v>0.922506528438188</v>
      </c>
      <c r="M1235">
        <v>25</v>
      </c>
      <c r="N1235">
        <v>11.38</v>
      </c>
    </row>
    <row r="1236" spans="1:14">
      <c r="A1236" s="1" t="s">
        <v>1248</v>
      </c>
      <c r="B1236">
        <f>HYPERLINK("https://www.suredividend.com/sure-analysis-GNL/","Global Net Lease Inc")</f>
        <v>0</v>
      </c>
      <c r="C1236" t="s">
        <v>3224</v>
      </c>
      <c r="D1236">
        <v>15.12</v>
      </c>
      <c r="E1236">
        <v>0.1058201058201058</v>
      </c>
      <c r="F1236">
        <v>0</v>
      </c>
      <c r="G1236">
        <v>0.1764468921689097</v>
      </c>
      <c r="H1236">
        <v>1.540410458073391</v>
      </c>
      <c r="I1236">
        <v>1570.974834</v>
      </c>
      <c r="J1236">
        <v>0</v>
      </c>
      <c r="K1236" t="s">
        <v>3219</v>
      </c>
      <c r="L1236">
        <v>0.6949218234630731</v>
      </c>
      <c r="M1236">
        <v>18.24</v>
      </c>
      <c r="N1236">
        <v>13.09</v>
      </c>
    </row>
    <row r="1237" spans="1:14">
      <c r="A1237" s="1" t="s">
        <v>1249</v>
      </c>
      <c r="B1237">
        <f>HYPERLINK("https://www.suredividend.com/sure-analysis-research-database/","GenMark Diagnostics Inc")</f>
        <v>0</v>
      </c>
      <c r="C1237" t="s">
        <v>3217</v>
      </c>
      <c r="D1237">
        <v>24.04</v>
      </c>
      <c r="E1237">
        <v>0</v>
      </c>
      <c r="H1237">
        <v>0</v>
      </c>
      <c r="I1237">
        <v>0</v>
      </c>
      <c r="J1237">
        <v>0</v>
      </c>
      <c r="K1237" t="s">
        <v>3219</v>
      </c>
    </row>
    <row r="1238" spans="1:14">
      <c r="A1238" s="1" t="s">
        <v>1250</v>
      </c>
      <c r="B1238">
        <f>HYPERLINK("https://www.suredividend.com/sure-analysis-research-database/","Generac Holdings Inc")</f>
        <v>0</v>
      </c>
      <c r="C1238" t="s">
        <v>3220</v>
      </c>
      <c r="D1238">
        <v>251.19</v>
      </c>
      <c r="E1238">
        <v>0</v>
      </c>
      <c r="H1238">
        <v>0</v>
      </c>
      <c r="I1238">
        <v>16021.815295</v>
      </c>
      <c r="J1238">
        <v>30.03759954159418</v>
      </c>
      <c r="K1238">
        <v>0</v>
      </c>
      <c r="L1238">
        <v>1.518686051819025</v>
      </c>
      <c r="M1238">
        <v>524.3099999999999</v>
      </c>
      <c r="N1238">
        <v>250.06</v>
      </c>
    </row>
    <row r="1239" spans="1:14">
      <c r="A1239" s="1" t="s">
        <v>1251</v>
      </c>
      <c r="B1239">
        <f>HYPERLINK("https://www.suredividend.com/sure-analysis-GNTX/","Gentex Corp.")</f>
        <v>0</v>
      </c>
      <c r="C1239" t="s">
        <v>3223</v>
      </c>
      <c r="D1239">
        <v>27.59</v>
      </c>
      <c r="E1239">
        <v>0.01739760782892352</v>
      </c>
      <c r="F1239">
        <v>0</v>
      </c>
      <c r="G1239">
        <v>0.03713728933664817</v>
      </c>
      <c r="H1239">
        <v>0.477227848217522</v>
      </c>
      <c r="I1239">
        <v>6484.669313</v>
      </c>
      <c r="J1239">
        <v>18.25611951149707</v>
      </c>
      <c r="K1239">
        <v>0.3181518988116813</v>
      </c>
      <c r="L1239">
        <v>0.9069760625262741</v>
      </c>
      <c r="M1239">
        <v>37.61</v>
      </c>
      <c r="N1239">
        <v>27.06</v>
      </c>
    </row>
    <row r="1240" spans="1:14">
      <c r="A1240" s="1" t="s">
        <v>1252</v>
      </c>
      <c r="B1240">
        <f>HYPERLINK("https://www.suredividend.com/sure-analysis-research-database/","Guaranty Bancshares, Inc. (TX)")</f>
        <v>0</v>
      </c>
      <c r="C1240" t="s">
        <v>3221</v>
      </c>
      <c r="D1240">
        <v>34.55</v>
      </c>
      <c r="E1240">
        <v>0.023531058771012</v>
      </c>
      <c r="F1240">
        <v>0.09999999999999987</v>
      </c>
      <c r="G1240">
        <v>0.1109534595426207</v>
      </c>
      <c r="H1240">
        <v>0.8129980805384741</v>
      </c>
      <c r="I1240">
        <v>417.59431</v>
      </c>
      <c r="J1240">
        <v>0</v>
      </c>
      <c r="K1240" t="s">
        <v>3219</v>
      </c>
      <c r="L1240">
        <v>0.5647053159054291</v>
      </c>
      <c r="M1240">
        <v>44.33</v>
      </c>
      <c r="N1240">
        <v>31.1</v>
      </c>
    </row>
    <row r="1241" spans="1:14">
      <c r="A1241" s="1" t="s">
        <v>1253</v>
      </c>
      <c r="B1241">
        <f>HYPERLINK("https://www.suredividend.com/sure-analysis-research-database/","Genworth Financial Inc")</f>
        <v>0</v>
      </c>
      <c r="C1241" t="s">
        <v>3221</v>
      </c>
      <c r="D1241">
        <v>3.75</v>
      </c>
      <c r="E1241">
        <v>0</v>
      </c>
      <c r="H1241">
        <v>0</v>
      </c>
      <c r="I1241">
        <v>1912.861463</v>
      </c>
      <c r="J1241">
        <v>2.115997193030973</v>
      </c>
      <c r="K1241">
        <v>0</v>
      </c>
      <c r="L1241">
        <v>1.170524225493495</v>
      </c>
      <c r="M1241">
        <v>4.61</v>
      </c>
      <c r="N1241">
        <v>3.23</v>
      </c>
    </row>
    <row r="1242" spans="1:14">
      <c r="A1242" s="1" t="s">
        <v>1254</v>
      </c>
      <c r="B1242">
        <f>HYPERLINK("https://www.suredividend.com/sure-analysis-research-database/","Gogo Inc")</f>
        <v>0</v>
      </c>
      <c r="C1242" t="s">
        <v>3228</v>
      </c>
      <c r="D1242">
        <v>23.28</v>
      </c>
      <c r="E1242">
        <v>0</v>
      </c>
      <c r="H1242">
        <v>0</v>
      </c>
      <c r="I1242">
        <v>2581.248733</v>
      </c>
      <c r="J1242">
        <v>16.90017830202639</v>
      </c>
      <c r="K1242">
        <v>0</v>
      </c>
      <c r="L1242">
        <v>0.60064508661381</v>
      </c>
      <c r="M1242">
        <v>23.69</v>
      </c>
      <c r="N1242">
        <v>9.609999999999999</v>
      </c>
    </row>
    <row r="1243" spans="1:14">
      <c r="A1243" s="1" t="s">
        <v>1255</v>
      </c>
      <c r="B1243">
        <f>HYPERLINK("https://www.suredividend.com/sure-analysis-research-database/","Acushnet Holdings Corp")</f>
        <v>0</v>
      </c>
      <c r="C1243" t="s">
        <v>3223</v>
      </c>
      <c r="D1243">
        <v>41.57</v>
      </c>
      <c r="E1243">
        <v>0.016150899659954</v>
      </c>
      <c r="F1243">
        <v>0.09090909090909083</v>
      </c>
      <c r="G1243">
        <v>0.08447177119769855</v>
      </c>
      <c r="H1243">
        <v>0.6713928988642911</v>
      </c>
      <c r="I1243">
        <v>3008.028271</v>
      </c>
      <c r="J1243">
        <v>16.81655851553896</v>
      </c>
      <c r="K1243">
        <v>0.2820978566656686</v>
      </c>
      <c r="L1243">
        <v>1.209324063321011</v>
      </c>
      <c r="M1243">
        <v>57.45</v>
      </c>
      <c r="N1243">
        <v>39.74</v>
      </c>
    </row>
    <row r="1244" spans="1:14">
      <c r="A1244" s="1" t="s">
        <v>1256</v>
      </c>
      <c r="B1244">
        <f>HYPERLINK("https://www.suredividend.com/sure-analysis-GOOD/","Gladstone Commercial Corp")</f>
        <v>0</v>
      </c>
      <c r="C1244" t="s">
        <v>3224</v>
      </c>
      <c r="D1244">
        <v>22.42</v>
      </c>
      <c r="E1244">
        <v>0.06690454950936663</v>
      </c>
      <c r="F1244">
        <v>0.0009978048293755037</v>
      </c>
      <c r="G1244">
        <v>0.000399201724016196</v>
      </c>
      <c r="H1244">
        <v>1.457995830369926</v>
      </c>
      <c r="I1244">
        <v>862.478007</v>
      </c>
      <c r="J1244" t="s">
        <v>3219</v>
      </c>
      <c r="K1244" t="s">
        <v>3219</v>
      </c>
      <c r="L1244">
        <v>0.604493788578068</v>
      </c>
      <c r="M1244">
        <v>25.69</v>
      </c>
      <c r="N1244">
        <v>19.05</v>
      </c>
    </row>
    <row r="1245" spans="1:14">
      <c r="A1245" s="1" t="s">
        <v>1257</v>
      </c>
      <c r="B1245">
        <f>HYPERLINK("https://www.suredividend.com/sure-analysis-research-database/","Alphabet Inc")</f>
        <v>0</v>
      </c>
      <c r="C1245" t="s">
        <v>3228</v>
      </c>
      <c r="D1245">
        <v>2545.06</v>
      </c>
      <c r="E1245">
        <v>0</v>
      </c>
      <c r="H1245">
        <v>0</v>
      </c>
      <c r="I1245">
        <v>1718350.72562</v>
      </c>
      <c r="J1245">
        <v>0</v>
      </c>
      <c r="K1245" t="s">
        <v>3219</v>
      </c>
      <c r="L1245">
        <v>1.316117048955256</v>
      </c>
      <c r="M1245">
        <v>3042</v>
      </c>
      <c r="N1245">
        <v>2230.05</v>
      </c>
    </row>
    <row r="1246" spans="1:14">
      <c r="A1246" s="1" t="s">
        <v>1258</v>
      </c>
      <c r="B1246">
        <f>HYPERLINK("https://www.suredividend.com/sure-analysis-research-database/","Alphabet Inc")</f>
        <v>0</v>
      </c>
      <c r="C1246" t="s">
        <v>3228</v>
      </c>
      <c r="D1246">
        <v>2534.6</v>
      </c>
      <c r="E1246">
        <v>0</v>
      </c>
      <c r="H1246">
        <v>0</v>
      </c>
      <c r="I1246">
        <v>1718350.72562</v>
      </c>
      <c r="J1246">
        <v>22.60006478266648</v>
      </c>
      <c r="K1246">
        <v>0</v>
      </c>
      <c r="L1246">
        <v>1.320228855588578</v>
      </c>
      <c r="M1246">
        <v>3030.93</v>
      </c>
      <c r="N1246">
        <v>2193.62</v>
      </c>
    </row>
    <row r="1247" spans="1:14">
      <c r="A1247" s="1" t="s">
        <v>1259</v>
      </c>
      <c r="B1247">
        <f>HYPERLINK("https://www.suredividend.com/sure-analysis-GORO/","Gold Resource Corporation")</f>
        <v>0</v>
      </c>
      <c r="C1247" t="s">
        <v>3218</v>
      </c>
      <c r="D1247">
        <v>2.54</v>
      </c>
      <c r="E1247">
        <v>0.01574803149606299</v>
      </c>
      <c r="F1247">
        <v>2.000003000003</v>
      </c>
      <c r="G1247">
        <v>0.2457311887618547</v>
      </c>
      <c r="H1247">
        <v>0.039693299118139</v>
      </c>
      <c r="I1247">
        <v>224.380486</v>
      </c>
      <c r="J1247">
        <v>27.94973666666666</v>
      </c>
      <c r="K1247">
        <v>0.3737598787018738</v>
      </c>
      <c r="L1247">
        <v>0.176444038947349</v>
      </c>
      <c r="M1247">
        <v>3.05</v>
      </c>
      <c r="N1247">
        <v>1.49</v>
      </c>
    </row>
    <row r="1248" spans="1:14">
      <c r="A1248" s="1" t="s">
        <v>1260</v>
      </c>
      <c r="B1248">
        <f>HYPERLINK("https://www.suredividend.com/sure-analysis-research-database/","Gossamer Bio Inc")</f>
        <v>0</v>
      </c>
      <c r="C1248" t="s">
        <v>3217</v>
      </c>
      <c r="D1248">
        <v>8.85</v>
      </c>
      <c r="E1248">
        <v>0</v>
      </c>
      <c r="H1248">
        <v>0</v>
      </c>
      <c r="I1248">
        <v>676.82245</v>
      </c>
      <c r="J1248">
        <v>0</v>
      </c>
      <c r="K1248" t="s">
        <v>3219</v>
      </c>
      <c r="L1248">
        <v>1.045340030828907</v>
      </c>
      <c r="M1248">
        <v>14.3</v>
      </c>
      <c r="N1248">
        <v>7.04</v>
      </c>
    </row>
    <row r="1249" spans="1:14">
      <c r="A1249" s="1" t="s">
        <v>1261</v>
      </c>
      <c r="B1249">
        <f>HYPERLINK("https://www.suredividend.com/sure-analysis-GPC/","Genuine Parts Co.")</f>
        <v>0</v>
      </c>
      <c r="C1249" t="s">
        <v>3223</v>
      </c>
      <c r="D1249">
        <v>130.94</v>
      </c>
      <c r="E1249">
        <v>0.02734076676340309</v>
      </c>
      <c r="F1249">
        <v>0.09815950920245387</v>
      </c>
      <c r="G1249">
        <v>0.05804430155042195</v>
      </c>
      <c r="H1249">
        <v>3.306717839488025</v>
      </c>
      <c r="I1249">
        <v>18586.482305</v>
      </c>
      <c r="J1249">
        <v>20.67944937584976</v>
      </c>
      <c r="K1249">
        <v>0.5307733289707904</v>
      </c>
      <c r="L1249">
        <v>0.9686772503926611</v>
      </c>
      <c r="M1249">
        <v>141.95</v>
      </c>
      <c r="N1249">
        <v>114.8</v>
      </c>
    </row>
    <row r="1250" spans="1:14">
      <c r="A1250" s="1" t="s">
        <v>1262</v>
      </c>
      <c r="B1250">
        <f>HYPERLINK("https://www.suredividend.com/sure-analysis-research-database/","Group 1 Automotive, Inc.")</f>
        <v>0</v>
      </c>
      <c r="C1250" t="s">
        <v>3223</v>
      </c>
      <c r="D1250">
        <v>161.96</v>
      </c>
      <c r="E1250">
        <v>0.008496804406072001</v>
      </c>
      <c r="H1250">
        <v>1.376142441607441</v>
      </c>
      <c r="I1250">
        <v>2700.249433</v>
      </c>
      <c r="J1250">
        <v>5.061386003898781</v>
      </c>
      <c r="K1250">
        <v>0.04565834245545591</v>
      </c>
      <c r="L1250">
        <v>1.014592417345291</v>
      </c>
      <c r="M1250">
        <v>211.82</v>
      </c>
      <c r="N1250">
        <v>142.17</v>
      </c>
    </row>
    <row r="1251" spans="1:14">
      <c r="A1251" s="1" t="s">
        <v>1263</v>
      </c>
      <c r="B1251">
        <f>HYPERLINK("https://www.suredividend.com/sure-analysis-research-database/","Graphic Packaging Holding Co")</f>
        <v>0</v>
      </c>
      <c r="C1251" t="s">
        <v>3223</v>
      </c>
      <c r="D1251">
        <v>20.92</v>
      </c>
      <c r="E1251">
        <v>0.014257642155472</v>
      </c>
      <c r="F1251">
        <v>0</v>
      </c>
      <c r="G1251">
        <v>0</v>
      </c>
      <c r="H1251">
        <v>0.298269873892481</v>
      </c>
      <c r="I1251">
        <v>6449.262578</v>
      </c>
      <c r="J1251">
        <v>31.61403224509804</v>
      </c>
      <c r="K1251">
        <v>0.4355576429504687</v>
      </c>
      <c r="L1251">
        <v>0.72224168063698</v>
      </c>
      <c r="M1251">
        <v>21.67</v>
      </c>
      <c r="N1251">
        <v>16.75</v>
      </c>
    </row>
    <row r="1252" spans="1:14">
      <c r="A1252" s="1" t="s">
        <v>1264</v>
      </c>
      <c r="B1252">
        <f>HYPERLINK("https://www.suredividend.com/sure-analysis-research-database/","Granite Point Mortgage Trust Inc")</f>
        <v>0</v>
      </c>
      <c r="C1252" t="s">
        <v>3224</v>
      </c>
      <c r="D1252">
        <v>10.44</v>
      </c>
      <c r="E1252">
        <v>0.09280147380026101</v>
      </c>
      <c r="H1252">
        <v>0.9688473864747271</v>
      </c>
      <c r="I1252">
        <v>562.252224</v>
      </c>
      <c r="J1252">
        <v>8.322265007104795</v>
      </c>
      <c r="K1252">
        <v>0.7876808020119733</v>
      </c>
      <c r="L1252">
        <v>0.8064200008896021</v>
      </c>
      <c r="M1252">
        <v>14.71</v>
      </c>
      <c r="N1252">
        <v>10.17</v>
      </c>
    </row>
    <row r="1253" spans="1:14">
      <c r="A1253" s="1" t="s">
        <v>1265</v>
      </c>
      <c r="B1253">
        <f>HYPERLINK("https://www.suredividend.com/sure-analysis-research-database/","Global Payments, Inc.")</f>
        <v>0</v>
      </c>
      <c r="C1253" t="s">
        <v>3220</v>
      </c>
      <c r="D1253">
        <v>139.95</v>
      </c>
      <c r="E1253">
        <v>0.006734491444036</v>
      </c>
      <c r="F1253">
        <v>0.2820512820512819</v>
      </c>
      <c r="G1253">
        <v>0.7981158677117528</v>
      </c>
      <c r="H1253">
        <v>0.9424920775929181</v>
      </c>
      <c r="I1253">
        <v>39421.626398</v>
      </c>
      <c r="J1253">
        <v>40.83196237819278</v>
      </c>
      <c r="K1253">
        <v>0.2864717561072699</v>
      </c>
      <c r="L1253">
        <v>1.036033933858128</v>
      </c>
      <c r="M1253">
        <v>219.4</v>
      </c>
      <c r="N1253">
        <v>116.29</v>
      </c>
    </row>
    <row r="1254" spans="1:14">
      <c r="A1254" s="1" t="s">
        <v>1266</v>
      </c>
      <c r="B1254">
        <f>HYPERLINK("https://www.suredividend.com/sure-analysis-research-database/","Gulfport Energy Corp.")</f>
        <v>0</v>
      </c>
      <c r="C1254" t="s">
        <v>3226</v>
      </c>
      <c r="D1254">
        <v>92.09999999999999</v>
      </c>
      <c r="E1254">
        <v>0</v>
      </c>
      <c r="H1254">
        <v>0</v>
      </c>
      <c r="I1254">
        <v>1978.0317</v>
      </c>
      <c r="J1254" t="s">
        <v>3219</v>
      </c>
      <c r="K1254">
        <v>-0</v>
      </c>
      <c r="M1254">
        <v>93.23</v>
      </c>
      <c r="N1254">
        <v>58.71</v>
      </c>
    </row>
    <row r="1255" spans="1:14">
      <c r="A1255" s="1" t="s">
        <v>1267</v>
      </c>
      <c r="B1255">
        <f>HYPERLINK("https://www.suredividend.com/sure-analysis-research-database/","Green Plains Inc")</f>
        <v>0</v>
      </c>
      <c r="C1255" t="s">
        <v>3218</v>
      </c>
      <c r="D1255">
        <v>31.2</v>
      </c>
      <c r="E1255">
        <v>0</v>
      </c>
      <c r="H1255">
        <v>0</v>
      </c>
      <c r="I1255">
        <v>1672.704946</v>
      </c>
      <c r="J1255" t="s">
        <v>3219</v>
      </c>
      <c r="K1255">
        <v>-0</v>
      </c>
      <c r="L1255">
        <v>1.459462390968037</v>
      </c>
      <c r="M1255">
        <v>44.27</v>
      </c>
      <c r="N1255">
        <v>22.86</v>
      </c>
    </row>
    <row r="1256" spans="1:14">
      <c r="A1256" s="1" t="s">
        <v>1268</v>
      </c>
      <c r="B1256">
        <f>HYPERLINK("https://www.suredividend.com/sure-analysis-research-database/","GoPro Inc.")</f>
        <v>0</v>
      </c>
      <c r="C1256" t="s">
        <v>3222</v>
      </c>
      <c r="D1256">
        <v>8.75</v>
      </c>
      <c r="E1256">
        <v>0</v>
      </c>
      <c r="H1256">
        <v>0</v>
      </c>
      <c r="I1256">
        <v>1137.70692</v>
      </c>
      <c r="J1256">
        <v>3.065182678603662</v>
      </c>
      <c r="K1256">
        <v>0</v>
      </c>
      <c r="L1256">
        <v>1.498293862282501</v>
      </c>
      <c r="M1256">
        <v>12.97</v>
      </c>
      <c r="N1256">
        <v>7.37</v>
      </c>
    </row>
    <row r="1257" spans="1:14">
      <c r="A1257" s="1" t="s">
        <v>1269</v>
      </c>
      <c r="B1257">
        <f>HYPERLINK("https://www.suredividend.com/sure-analysis-GPS/","Gap, Inc.")</f>
        <v>0</v>
      </c>
      <c r="C1257" t="s">
        <v>3223</v>
      </c>
      <c r="D1257">
        <v>14.11</v>
      </c>
      <c r="E1257">
        <v>0.04252303330970943</v>
      </c>
      <c r="H1257">
        <v>0.504058212528403</v>
      </c>
      <c r="I1257">
        <v>5217.595236</v>
      </c>
      <c r="J1257">
        <v>20.3812313890625</v>
      </c>
      <c r="K1257">
        <v>0.7541265896594899</v>
      </c>
      <c r="L1257">
        <v>1.528153531558445</v>
      </c>
      <c r="M1257">
        <v>36.8</v>
      </c>
      <c r="N1257">
        <v>12.78</v>
      </c>
    </row>
    <row r="1258" spans="1:14">
      <c r="A1258" s="1" t="s">
        <v>1270</v>
      </c>
      <c r="B1258">
        <f>HYPERLINK("https://www.suredividend.com/sure-analysis-research-database/","GP Strategies Corp.")</f>
        <v>0</v>
      </c>
      <c r="C1258" t="s">
        <v>3225</v>
      </c>
      <c r="D1258">
        <v>20.85</v>
      </c>
      <c r="E1258">
        <v>0</v>
      </c>
      <c r="H1258">
        <v>0</v>
      </c>
      <c r="I1258">
        <v>365.93566</v>
      </c>
      <c r="J1258">
        <v>27.78343788246906</v>
      </c>
      <c r="K1258">
        <v>0</v>
      </c>
      <c r="L1258">
        <v>0.9706602751034221</v>
      </c>
      <c r="M1258">
        <v>20.93</v>
      </c>
      <c r="N1258">
        <v>9.359999999999999</v>
      </c>
    </row>
    <row r="1259" spans="1:14">
      <c r="A1259" s="1" t="s">
        <v>1271</v>
      </c>
      <c r="B1259">
        <f>HYPERLINK("https://www.suredividend.com/sure-analysis-research-database/","W.R. Grace &amp; Co.")</f>
        <v>0</v>
      </c>
      <c r="C1259" t="s">
        <v>3218</v>
      </c>
      <c r="D1259">
        <v>69.98999999999999</v>
      </c>
      <c r="E1259">
        <v>0.008977416385107</v>
      </c>
      <c r="H1259">
        <v>0.6283293727936521</v>
      </c>
      <c r="I1259">
        <v>4638.240869</v>
      </c>
      <c r="J1259">
        <v>60.00311603479948</v>
      </c>
      <c r="K1259">
        <v>0.5370336519603864</v>
      </c>
      <c r="M1259">
        <v>70</v>
      </c>
      <c r="N1259">
        <v>38.28</v>
      </c>
    </row>
    <row r="1260" spans="1:14">
      <c r="A1260" s="1" t="s">
        <v>1272</v>
      </c>
      <c r="B1260">
        <f>HYPERLINK("https://www.suredividend.com/sure-analysis-research-database/","Green Brick Partners Inc")</f>
        <v>0</v>
      </c>
      <c r="C1260" t="s">
        <v>3223</v>
      </c>
      <c r="D1260">
        <v>19.05</v>
      </c>
      <c r="E1260">
        <v>0</v>
      </c>
      <c r="H1260">
        <v>0</v>
      </c>
      <c r="I1260">
        <v>966.977467</v>
      </c>
      <c r="J1260">
        <v>5.085634544201873</v>
      </c>
      <c r="K1260">
        <v>0</v>
      </c>
      <c r="L1260">
        <v>1.760037212992721</v>
      </c>
      <c r="M1260">
        <v>32.25</v>
      </c>
      <c r="N1260">
        <v>18.96</v>
      </c>
    </row>
    <row r="1261" spans="1:14">
      <c r="A1261" s="1" t="s">
        <v>1273</v>
      </c>
      <c r="B1261">
        <f>HYPERLINK("https://www.suredividend.com/sure-analysis-GRC/","Gorman-Rupp Co.")</f>
        <v>0</v>
      </c>
      <c r="C1261" t="s">
        <v>3220</v>
      </c>
      <c r="D1261">
        <v>34.53</v>
      </c>
      <c r="E1261">
        <v>0.01969302056183029</v>
      </c>
      <c r="F1261">
        <v>0.09677419354838723</v>
      </c>
      <c r="G1261">
        <v>0.08130999208865752</v>
      </c>
      <c r="H1261">
        <v>0.6459622783439141</v>
      </c>
      <c r="I1261">
        <v>900.511841</v>
      </c>
      <c r="J1261">
        <v>30.16689025325785</v>
      </c>
      <c r="K1261">
        <v>0.5666335774946614</v>
      </c>
      <c r="L1261">
        <v>0.7577921707999</v>
      </c>
      <c r="M1261">
        <v>46.73</v>
      </c>
      <c r="N1261">
        <v>32.19</v>
      </c>
    </row>
    <row r="1262" spans="1:14">
      <c r="A1262" s="1" t="s">
        <v>1274</v>
      </c>
      <c r="B1262">
        <f>HYPERLINK("https://www.suredividend.com/sure-analysis-GRMN/","Garmin Ltd")</f>
        <v>0</v>
      </c>
      <c r="C1262" t="s">
        <v>3222</v>
      </c>
      <c r="D1262">
        <v>111.31</v>
      </c>
      <c r="E1262">
        <v>0.02407690234480281</v>
      </c>
      <c r="F1262">
        <v>0.09836065573770503</v>
      </c>
      <c r="G1262">
        <v>0.05608998775798302</v>
      </c>
      <c r="H1262">
        <v>1.335911499764494</v>
      </c>
      <c r="I1262">
        <v>21459.129875</v>
      </c>
      <c r="J1262">
        <v>19.82917194123083</v>
      </c>
      <c r="K1262">
        <v>0.2381303921148831</v>
      </c>
      <c r="L1262">
        <v>1.006343092633006</v>
      </c>
      <c r="M1262">
        <v>177.02</v>
      </c>
      <c r="N1262">
        <v>106.01</v>
      </c>
    </row>
    <row r="1263" spans="1:14">
      <c r="A1263" s="1" t="s">
        <v>1275</v>
      </c>
      <c r="B1263">
        <f>HYPERLINK("https://www.suredividend.com/sure-analysis-GROW/","U.S. Global Investors, Inc.")</f>
        <v>0</v>
      </c>
      <c r="C1263" t="s">
        <v>3221</v>
      </c>
      <c r="D1263">
        <v>5.23</v>
      </c>
      <c r="E1263">
        <v>0.01720841300191204</v>
      </c>
      <c r="F1263">
        <v>0</v>
      </c>
      <c r="G1263">
        <v>0.2457309396155174</v>
      </c>
      <c r="H1263">
        <v>0.07698776875877701</v>
      </c>
      <c r="I1263">
        <v>67.71098499999999</v>
      </c>
      <c r="J1263">
        <v>3.501809305440629</v>
      </c>
      <c r="K1263">
        <v>0.05968044089827675</v>
      </c>
      <c r="L1263">
        <v>1.466638696713108</v>
      </c>
      <c r="M1263">
        <v>8.359999999999999</v>
      </c>
      <c r="N1263">
        <v>4.11</v>
      </c>
    </row>
    <row r="1264" spans="1:14">
      <c r="A1264" s="1" t="s">
        <v>1276</v>
      </c>
      <c r="B1264">
        <f>HYPERLINK("https://www.suredividend.com/sure-analysis-research-database/","Groupon Inc")</f>
        <v>0</v>
      </c>
      <c r="C1264" t="s">
        <v>3228</v>
      </c>
      <c r="D1264">
        <v>19.82</v>
      </c>
      <c r="E1264">
        <v>0</v>
      </c>
      <c r="H1264">
        <v>0</v>
      </c>
      <c r="I1264">
        <v>591.7811799999999</v>
      </c>
      <c r="J1264">
        <v>4.986864022145819</v>
      </c>
      <c r="K1264">
        <v>0</v>
      </c>
      <c r="L1264">
        <v>1.227125517881138</v>
      </c>
      <c r="M1264">
        <v>55.37</v>
      </c>
      <c r="N1264">
        <v>16.37</v>
      </c>
    </row>
    <row r="1265" spans="1:14">
      <c r="A1265" s="1" t="s">
        <v>1277</v>
      </c>
      <c r="B1265">
        <f>HYPERLINK("https://www.suredividend.com/sure-analysis-research-database/","Gritstone Bio Inc")</f>
        <v>0</v>
      </c>
      <c r="C1265" t="s">
        <v>3217</v>
      </c>
      <c r="D1265">
        <v>3.69</v>
      </c>
      <c r="E1265">
        <v>0</v>
      </c>
      <c r="H1265">
        <v>0</v>
      </c>
      <c r="I1265">
        <v>268.293782</v>
      </c>
      <c r="J1265">
        <v>0</v>
      </c>
      <c r="K1265" t="s">
        <v>3219</v>
      </c>
      <c r="L1265">
        <v>1.248910477750106</v>
      </c>
      <c r="M1265">
        <v>14.42</v>
      </c>
      <c r="N1265">
        <v>3.6</v>
      </c>
    </row>
    <row r="1266" spans="1:14">
      <c r="A1266" s="1" t="s">
        <v>1278</v>
      </c>
      <c r="B1266">
        <f>HYPERLINK("https://www.suredividend.com/sure-analysis-research-database/","Just Eat Takeaway.com N.V.")</f>
        <v>0</v>
      </c>
      <c r="C1266" t="s">
        <v>3228</v>
      </c>
      <c r="D1266">
        <v>6.72</v>
      </c>
      <c r="E1266">
        <v>0</v>
      </c>
      <c r="H1266">
        <v>0</v>
      </c>
      <c r="I1266">
        <v>0</v>
      </c>
      <c r="J1266">
        <v>0</v>
      </c>
      <c r="K1266" t="s">
        <v>3219</v>
      </c>
    </row>
    <row r="1267" spans="1:14">
      <c r="A1267" s="1" t="s">
        <v>1279</v>
      </c>
      <c r="B1267">
        <f>HYPERLINK("https://www.suredividend.com/sure-analysis-GS/","Goldman Sachs Group, Inc.")</f>
        <v>0</v>
      </c>
      <c r="C1267" t="s">
        <v>3221</v>
      </c>
      <c r="D1267">
        <v>321.64</v>
      </c>
      <c r="E1267">
        <v>0.02487252829250093</v>
      </c>
      <c r="F1267">
        <v>0.6000000000000001</v>
      </c>
      <c r="G1267">
        <v>0.2167286837864115</v>
      </c>
      <c r="H1267">
        <v>7.196296010307221</v>
      </c>
      <c r="I1267">
        <v>108690.192819</v>
      </c>
      <c r="J1267">
        <v>5.138773240919106</v>
      </c>
      <c r="K1267">
        <v>0.1210478723348565</v>
      </c>
      <c r="L1267">
        <v>1.091146208139335</v>
      </c>
      <c r="M1267">
        <v>421.44</v>
      </c>
      <c r="N1267">
        <v>308.2</v>
      </c>
    </row>
    <row r="1268" spans="1:14">
      <c r="A1268" s="1" t="s">
        <v>1280</v>
      </c>
      <c r="B1268">
        <f>HYPERLINK("https://www.suredividend.com/sure-analysis-research-database/","Globalstar Inc.")</f>
        <v>0</v>
      </c>
      <c r="C1268" t="s">
        <v>3228</v>
      </c>
      <c r="D1268">
        <v>1.29</v>
      </c>
      <c r="E1268">
        <v>0</v>
      </c>
      <c r="H1268">
        <v>0</v>
      </c>
      <c r="I1268">
        <v>2318.13</v>
      </c>
      <c r="J1268" t="s">
        <v>3219</v>
      </c>
      <c r="K1268">
        <v>-0</v>
      </c>
      <c r="L1268">
        <v>1.912244044575065</v>
      </c>
      <c r="M1268">
        <v>2.78</v>
      </c>
      <c r="N1268">
        <v>0.8231000000000001</v>
      </c>
    </row>
    <row r="1269" spans="1:14">
      <c r="A1269" s="1" t="s">
        <v>1281</v>
      </c>
      <c r="B1269">
        <f>HYPERLINK("https://www.suredividend.com/sure-analysis-research-database/","Great Southern Bancorp, Inc.")</f>
        <v>0</v>
      </c>
      <c r="C1269" t="s">
        <v>3221</v>
      </c>
      <c r="D1269">
        <v>57.54</v>
      </c>
      <c r="E1269">
        <v>0.024456014934751</v>
      </c>
      <c r="F1269">
        <v>0.0588235294117645</v>
      </c>
      <c r="G1269">
        <v>0.08447177119769855</v>
      </c>
      <c r="H1269">
        <v>1.407199099345619</v>
      </c>
      <c r="I1269">
        <v>741.699461</v>
      </c>
      <c r="J1269">
        <v>9.938754889785198</v>
      </c>
      <c r="K1269">
        <v>0.2577287727739229</v>
      </c>
      <c r="L1269">
        <v>0.6336854642001291</v>
      </c>
      <c r="M1269">
        <v>62.33</v>
      </c>
      <c r="N1269">
        <v>48.61</v>
      </c>
    </row>
    <row r="1270" spans="1:14">
      <c r="A1270" s="1" t="s">
        <v>1282</v>
      </c>
      <c r="B1270">
        <f>HYPERLINK("https://www.suredividend.com/sure-analysis-research-database/","Goosehead Insurance Inc")</f>
        <v>0</v>
      </c>
      <c r="C1270" t="s">
        <v>3221</v>
      </c>
      <c r="D1270">
        <v>65.39</v>
      </c>
      <c r="E1270">
        <v>0</v>
      </c>
      <c r="H1270">
        <v>0</v>
      </c>
      <c r="I1270">
        <v>1294.614172</v>
      </c>
      <c r="J1270">
        <v>0</v>
      </c>
      <c r="K1270" t="s">
        <v>3219</v>
      </c>
      <c r="L1270">
        <v>1.932556970162349</v>
      </c>
      <c r="M1270">
        <v>181.3</v>
      </c>
      <c r="N1270">
        <v>62.4</v>
      </c>
    </row>
    <row r="1271" spans="1:14">
      <c r="A1271" s="1" t="s">
        <v>1283</v>
      </c>
      <c r="B1271">
        <f>HYPERLINK("https://www.suredividend.com/sure-analysis-research-database/","GSI Technology Inc")</f>
        <v>0</v>
      </c>
      <c r="C1271" t="s">
        <v>3222</v>
      </c>
      <c r="D1271">
        <v>3.48</v>
      </c>
      <c r="E1271">
        <v>0</v>
      </c>
      <c r="H1271">
        <v>0</v>
      </c>
      <c r="I1271">
        <v>85.199281</v>
      </c>
      <c r="J1271" t="s">
        <v>3219</v>
      </c>
      <c r="K1271">
        <v>-0</v>
      </c>
      <c r="L1271">
        <v>0.837830954036306</v>
      </c>
      <c r="M1271">
        <v>6.79</v>
      </c>
      <c r="N1271">
        <v>3.48</v>
      </c>
    </row>
    <row r="1272" spans="1:14">
      <c r="A1272" s="1" t="s">
        <v>1284</v>
      </c>
      <c r="B1272">
        <f>HYPERLINK("https://www.suredividend.com/sure-analysis-research-database/","GreenSky Inc")</f>
        <v>0</v>
      </c>
      <c r="C1272" t="s">
        <v>3222</v>
      </c>
      <c r="D1272">
        <v>10.2</v>
      </c>
      <c r="E1272">
        <v>0</v>
      </c>
      <c r="H1272">
        <v>0</v>
      </c>
      <c r="I1272">
        <v>0</v>
      </c>
      <c r="J1272">
        <v>0</v>
      </c>
      <c r="K1272">
        <v>0</v>
      </c>
    </row>
    <row r="1273" spans="1:14">
      <c r="A1273" s="1" t="s">
        <v>1285</v>
      </c>
      <c r="B1273">
        <f>HYPERLINK("https://www.suredividend.com/sure-analysis-research-database/","Goodyear Tire &amp; Rubber Co.")</f>
        <v>0</v>
      </c>
      <c r="C1273" t="s">
        <v>3223</v>
      </c>
      <c r="D1273">
        <v>13.26</v>
      </c>
      <c r="E1273">
        <v>0</v>
      </c>
      <c r="H1273">
        <v>0</v>
      </c>
      <c r="I1273">
        <v>3738.902946</v>
      </c>
      <c r="J1273">
        <v>4.893852024188482</v>
      </c>
      <c r="K1273">
        <v>0</v>
      </c>
      <c r="L1273">
        <v>1.962608547031336</v>
      </c>
      <c r="M1273">
        <v>24.89</v>
      </c>
      <c r="N1273">
        <v>11.64</v>
      </c>
    </row>
    <row r="1274" spans="1:14">
      <c r="A1274" s="1" t="s">
        <v>1286</v>
      </c>
      <c r="B1274">
        <f>HYPERLINK("https://www.suredividend.com/sure-analysis-research-database/","Gates Industrial Corporation plc")</f>
        <v>0</v>
      </c>
      <c r="C1274" t="s">
        <v>3220</v>
      </c>
      <c r="D1274">
        <v>13.21</v>
      </c>
      <c r="E1274">
        <v>0</v>
      </c>
      <c r="H1274">
        <v>0</v>
      </c>
      <c r="I1274">
        <v>3848.679299</v>
      </c>
      <c r="J1274">
        <v>12.95415449131606</v>
      </c>
      <c r="K1274">
        <v>0</v>
      </c>
      <c r="L1274">
        <v>1.069046403337125</v>
      </c>
      <c r="M1274">
        <v>18.94</v>
      </c>
      <c r="N1274">
        <v>12.76</v>
      </c>
    </row>
    <row r="1275" spans="1:14">
      <c r="A1275" s="1" t="s">
        <v>1287</v>
      </c>
      <c r="B1275">
        <f>HYPERLINK("https://www.suredividend.com/sure-analysis-research-database/","G1 Therapeutics Inc")</f>
        <v>0</v>
      </c>
      <c r="C1275" t="s">
        <v>3217</v>
      </c>
      <c r="D1275">
        <v>7.08</v>
      </c>
      <c r="E1275">
        <v>0</v>
      </c>
      <c r="H1275">
        <v>0</v>
      </c>
      <c r="I1275">
        <v>302.355167</v>
      </c>
      <c r="J1275">
        <v>0</v>
      </c>
      <c r="K1275" t="s">
        <v>3219</v>
      </c>
      <c r="L1275">
        <v>1.57221214964353</v>
      </c>
      <c r="M1275">
        <v>24.12</v>
      </c>
      <c r="N1275">
        <v>7.05</v>
      </c>
    </row>
    <row r="1276" spans="1:14">
      <c r="A1276" s="1" t="s">
        <v>1288</v>
      </c>
      <c r="B1276">
        <f>HYPERLINK("https://www.suredividend.com/sure-analysis-research-database/","Good Times Restaurants Inc.")</f>
        <v>0</v>
      </c>
      <c r="C1276" t="s">
        <v>3223</v>
      </c>
      <c r="D1276">
        <v>3.7299</v>
      </c>
      <c r="E1276">
        <v>0</v>
      </c>
      <c r="H1276">
        <v>0</v>
      </c>
      <c r="I1276">
        <v>46.771805</v>
      </c>
      <c r="J1276">
        <v>0</v>
      </c>
      <c r="K1276" t="s">
        <v>3219</v>
      </c>
      <c r="L1276">
        <v>0.728277290296498</v>
      </c>
      <c r="M1276">
        <v>5.79</v>
      </c>
      <c r="N1276">
        <v>3.29</v>
      </c>
    </row>
    <row r="1277" spans="1:14">
      <c r="A1277" s="1" t="s">
        <v>1289</v>
      </c>
      <c r="B1277">
        <f>HYPERLINK("https://www.suredividend.com/sure-analysis-research-database/","Chart Industries Inc")</f>
        <v>0</v>
      </c>
      <c r="C1277" t="s">
        <v>3220</v>
      </c>
      <c r="D1277">
        <v>179.02</v>
      </c>
      <c r="E1277">
        <v>0</v>
      </c>
      <c r="H1277">
        <v>0</v>
      </c>
      <c r="I1277">
        <v>6553.974474</v>
      </c>
      <c r="J1277">
        <v>110.8963531952623</v>
      </c>
      <c r="K1277">
        <v>0</v>
      </c>
      <c r="L1277">
        <v>1.327860564430652</v>
      </c>
      <c r="M1277">
        <v>206.29</v>
      </c>
      <c r="N1277">
        <v>108.29</v>
      </c>
    </row>
    <row r="1278" spans="1:14">
      <c r="A1278" s="1" t="s">
        <v>1290</v>
      </c>
      <c r="B1278">
        <f>HYPERLINK("https://www.suredividend.com/sure-analysis-research-database/","Gray Television, Inc.")</f>
        <v>0</v>
      </c>
      <c r="C1278" t="s">
        <v>3228</v>
      </c>
      <c r="D1278">
        <v>20.33</v>
      </c>
      <c r="E1278">
        <v>0.015654717115521</v>
      </c>
      <c r="H1278">
        <v>0.318260398958545</v>
      </c>
      <c r="I1278">
        <v>1927.08773</v>
      </c>
      <c r="J1278">
        <v>50.71283498789474</v>
      </c>
      <c r="K1278">
        <v>0.7956509973963625</v>
      </c>
      <c r="L1278">
        <v>1.001134691083796</v>
      </c>
      <c r="M1278">
        <v>25.06</v>
      </c>
      <c r="N1278">
        <v>18.25</v>
      </c>
    </row>
    <row r="1279" spans="1:14">
      <c r="A1279" s="1" t="s">
        <v>1291</v>
      </c>
      <c r="B1279">
        <f>HYPERLINK("https://www.suredividend.com/sure-analysis-research-database/","Triple-S Management Corp")</f>
        <v>0</v>
      </c>
      <c r="C1279" t="s">
        <v>3217</v>
      </c>
      <c r="D1279">
        <v>35.99</v>
      </c>
      <c r="E1279">
        <v>0</v>
      </c>
      <c r="H1279">
        <v>0</v>
      </c>
      <c r="I1279">
        <v>856.3680859999999</v>
      </c>
      <c r="J1279">
        <v>10.54757406461307</v>
      </c>
      <c r="K1279">
        <v>0</v>
      </c>
      <c r="L1279">
        <v>0.465929988422036</v>
      </c>
      <c r="M1279">
        <v>36.33</v>
      </c>
      <c r="N1279">
        <v>22.01</v>
      </c>
    </row>
    <row r="1280" spans="1:14">
      <c r="A1280" s="1" t="s">
        <v>1292</v>
      </c>
      <c r="B1280">
        <f>HYPERLINK("https://www.suredividend.com/sure-analysis-research-database/","GTT Communications Inc")</f>
        <v>0</v>
      </c>
      <c r="C1280" t="s">
        <v>3228</v>
      </c>
      <c r="D1280">
        <v>2.36</v>
      </c>
      <c r="E1280">
        <v>0</v>
      </c>
      <c r="H1280">
        <v>0</v>
      </c>
      <c r="I1280">
        <v>138.81411</v>
      </c>
      <c r="J1280">
        <v>0</v>
      </c>
      <c r="K1280" t="s">
        <v>3219</v>
      </c>
      <c r="M1280">
        <v>8.359999999999999</v>
      </c>
      <c r="N1280">
        <v>1.37</v>
      </c>
    </row>
    <row r="1281" spans="1:14">
      <c r="A1281" s="1" t="s">
        <v>1293</v>
      </c>
      <c r="B1281">
        <f>HYPERLINK("https://www.suredividend.com/sure-analysis-research-database/","Garrett Motion Inc")</f>
        <v>0</v>
      </c>
      <c r="C1281" t="s">
        <v>3223</v>
      </c>
      <c r="D1281">
        <v>7.04</v>
      </c>
      <c r="E1281">
        <v>0</v>
      </c>
      <c r="H1281">
        <v>0</v>
      </c>
      <c r="I1281">
        <v>454.234979</v>
      </c>
      <c r="J1281">
        <v>3.849448970847457</v>
      </c>
      <c r="K1281">
        <v>0</v>
      </c>
      <c r="M1281">
        <v>8.9</v>
      </c>
      <c r="N1281">
        <v>5.32</v>
      </c>
    </row>
    <row r="1282" spans="1:14">
      <c r="A1282" s="1" t="s">
        <v>1294</v>
      </c>
      <c r="B1282">
        <f>HYPERLINK("https://www.suredividend.com/sure-analysis-research-database/","Getty Realty Corp.")</f>
        <v>0</v>
      </c>
      <c r="C1282" t="s">
        <v>3224</v>
      </c>
      <c r="D1282">
        <v>28.58</v>
      </c>
      <c r="E1282">
        <v>0.05486048380054501</v>
      </c>
      <c r="F1282">
        <v>0.05128205128205132</v>
      </c>
      <c r="G1282">
        <v>0.07925772298130362</v>
      </c>
      <c r="H1282">
        <v>1.567912627019602</v>
      </c>
      <c r="I1282">
        <v>1335.265259</v>
      </c>
      <c r="J1282">
        <v>21.73884797942138</v>
      </c>
      <c r="K1282">
        <v>1.144461771547155</v>
      </c>
      <c r="L1282">
        <v>0.625572555757959</v>
      </c>
      <c r="M1282">
        <v>32.45</v>
      </c>
      <c r="N1282">
        <v>26.4</v>
      </c>
    </row>
    <row r="1283" spans="1:14">
      <c r="A1283" s="1" t="s">
        <v>1295</v>
      </c>
      <c r="B1283">
        <f>HYPERLINK("https://www.suredividend.com/sure-analysis-research-database/","GTY Technology Holdings Inc")</f>
        <v>0</v>
      </c>
      <c r="C1283" t="s">
        <v>3222</v>
      </c>
      <c r="D1283">
        <v>3.3</v>
      </c>
      <c r="E1283">
        <v>0</v>
      </c>
      <c r="H1283">
        <v>0</v>
      </c>
      <c r="I1283">
        <v>190.68659</v>
      </c>
      <c r="J1283">
        <v>0</v>
      </c>
      <c r="K1283" t="s">
        <v>3219</v>
      </c>
      <c r="L1283">
        <v>1.511997558484242</v>
      </c>
      <c r="M1283">
        <v>8.09</v>
      </c>
      <c r="N1283">
        <v>3.05</v>
      </c>
    </row>
    <row r="1284" spans="1:14">
      <c r="A1284" s="1" t="s">
        <v>1296</v>
      </c>
      <c r="B1284">
        <f>HYPERLINK("https://www.suredividend.com/sure-analysis-research-database/","Goldfield Corp.")</f>
        <v>0</v>
      </c>
      <c r="C1284" t="s">
        <v>3220</v>
      </c>
      <c r="D1284">
        <v>7</v>
      </c>
      <c r="E1284">
        <v>0</v>
      </c>
      <c r="H1284">
        <v>0</v>
      </c>
      <c r="I1284">
        <v>171.657738</v>
      </c>
      <c r="J1284">
        <v>21.4597548660129</v>
      </c>
      <c r="K1284">
        <v>0</v>
      </c>
      <c r="M1284">
        <v>7</v>
      </c>
      <c r="N1284">
        <v>2.31</v>
      </c>
    </row>
    <row r="1285" spans="1:14">
      <c r="A1285" s="1" t="s">
        <v>1297</v>
      </c>
      <c r="B1285">
        <f>HYPERLINK("https://www.suredividend.com/sure-analysis-research-database/","Granite Construction Inc.")</f>
        <v>0</v>
      </c>
      <c r="C1285" t="s">
        <v>3220</v>
      </c>
      <c r="D1285">
        <v>32.52</v>
      </c>
      <c r="E1285">
        <v>0.015903203786661</v>
      </c>
      <c r="F1285">
        <v>0</v>
      </c>
      <c r="G1285">
        <v>0</v>
      </c>
      <c r="H1285">
        <v>0.517172187142226</v>
      </c>
      <c r="I1285">
        <v>1490.285422</v>
      </c>
      <c r="J1285">
        <v>147.6114720879556</v>
      </c>
      <c r="K1285">
        <v>2.345452095883111</v>
      </c>
      <c r="L1285">
        <v>0.9155953490351011</v>
      </c>
      <c r="M1285">
        <v>43.71</v>
      </c>
      <c r="N1285">
        <v>27.73</v>
      </c>
    </row>
    <row r="1286" spans="1:14">
      <c r="A1286" s="1" t="s">
        <v>1298</v>
      </c>
      <c r="B1286">
        <f>HYPERLINK("https://www.suredividend.com/sure-analysis-research-database/","GSE Systems, Inc.")</f>
        <v>0</v>
      </c>
      <c r="C1286" t="s">
        <v>3222</v>
      </c>
      <c r="D1286">
        <v>1.68</v>
      </c>
      <c r="E1286">
        <v>0</v>
      </c>
      <c r="H1286">
        <v>0</v>
      </c>
      <c r="I1286">
        <v>35.184482</v>
      </c>
      <c r="J1286">
        <v>0</v>
      </c>
      <c r="K1286" t="s">
        <v>3219</v>
      </c>
      <c r="L1286">
        <v>1.267558207117107</v>
      </c>
      <c r="M1286">
        <v>2.2</v>
      </c>
      <c r="N1286">
        <v>1.1</v>
      </c>
    </row>
    <row r="1287" spans="1:14">
      <c r="A1287" s="1" t="s">
        <v>1299</v>
      </c>
      <c r="B1287">
        <f>HYPERLINK("https://www.suredividend.com/sure-analysis-research-database/","Great Western Bancorp Inc")</f>
        <v>0</v>
      </c>
      <c r="C1287" t="s">
        <v>3221</v>
      </c>
      <c r="D1287">
        <v>30.88</v>
      </c>
      <c r="E1287">
        <v>0.003881755025846</v>
      </c>
      <c r="H1287">
        <v>0.119868595198139</v>
      </c>
      <c r="I1287">
        <v>1704.55108</v>
      </c>
      <c r="J1287">
        <v>4.193072547796397</v>
      </c>
      <c r="K1287">
        <v>0.01635315077737231</v>
      </c>
      <c r="L1287">
        <v>0.997626022818289</v>
      </c>
      <c r="M1287">
        <v>37.9</v>
      </c>
      <c r="N1287">
        <v>23.81</v>
      </c>
    </row>
    <row r="1288" spans="1:14">
      <c r="A1288" s="1" t="s">
        <v>1300</v>
      </c>
      <c r="B1288">
        <f>HYPERLINK("https://www.suredividend.com/sure-analysis-research-database/","GWG Holdings Inc")</f>
        <v>0</v>
      </c>
      <c r="C1288" t="s">
        <v>3221</v>
      </c>
      <c r="D1288">
        <v>1.81</v>
      </c>
      <c r="E1288">
        <v>0</v>
      </c>
      <c r="H1288">
        <v>0</v>
      </c>
      <c r="I1288">
        <v>59.905784</v>
      </c>
      <c r="J1288">
        <v>0</v>
      </c>
      <c r="K1288" t="s">
        <v>3219</v>
      </c>
      <c r="M1288">
        <v>10.9</v>
      </c>
      <c r="N1288">
        <v>1.45</v>
      </c>
    </row>
    <row r="1289" spans="1:14">
      <c r="A1289" s="1" t="s">
        <v>1301</v>
      </c>
      <c r="B1289">
        <f>HYPERLINK("https://www.suredividend.com/sure-analysis-research-database/","Guidewire Software Inc")</f>
        <v>0</v>
      </c>
      <c r="C1289" t="s">
        <v>3222</v>
      </c>
      <c r="D1289">
        <v>91.14</v>
      </c>
      <c r="E1289">
        <v>0</v>
      </c>
      <c r="H1289">
        <v>0</v>
      </c>
      <c r="I1289">
        <v>7614.540477</v>
      </c>
      <c r="J1289" t="s">
        <v>3219</v>
      </c>
      <c r="K1289">
        <v>-0</v>
      </c>
      <c r="L1289">
        <v>1.159754442229629</v>
      </c>
      <c r="M1289">
        <v>130.95</v>
      </c>
      <c r="N1289">
        <v>81.38</v>
      </c>
    </row>
    <row r="1290" spans="1:14">
      <c r="A1290" s="1" t="s">
        <v>1302</v>
      </c>
      <c r="B1290">
        <f>HYPERLINK("https://www.suredividend.com/sure-analysis-GWRS/","Global Water Resources Inc")</f>
        <v>0</v>
      </c>
      <c r="C1290" t="s">
        <v>3227</v>
      </c>
      <c r="D1290">
        <v>15.51</v>
      </c>
      <c r="E1290">
        <v>0.01934235976789168</v>
      </c>
      <c r="F1290">
        <v>0</v>
      </c>
      <c r="G1290">
        <v>0.003952041530015604</v>
      </c>
      <c r="H1290">
        <v>0.290925916713451</v>
      </c>
      <c r="I1290">
        <v>354.094076</v>
      </c>
      <c r="J1290">
        <v>0</v>
      </c>
      <c r="K1290" t="s">
        <v>3219</v>
      </c>
      <c r="L1290">
        <v>0.6135227042990921</v>
      </c>
      <c r="M1290">
        <v>21</v>
      </c>
      <c r="N1290">
        <v>14.31</v>
      </c>
    </row>
    <row r="1291" spans="1:14">
      <c r="A1291" s="1" t="s">
        <v>1303</v>
      </c>
      <c r="B1291">
        <f>HYPERLINK("https://www.suredividend.com/sure-analysis-GWW/","W.W. Grainger Inc.")</f>
        <v>0</v>
      </c>
      <c r="C1291" t="s">
        <v>3220</v>
      </c>
      <c r="D1291">
        <v>491.43</v>
      </c>
      <c r="E1291">
        <v>0.01318600818020878</v>
      </c>
      <c r="F1291">
        <v>0.05882352941176472</v>
      </c>
      <c r="G1291">
        <v>0.04824067815736877</v>
      </c>
      <c r="H1291">
        <v>6.4465373719095</v>
      </c>
      <c r="I1291">
        <v>25113.630833</v>
      </c>
      <c r="J1291">
        <v>24.07826542003836</v>
      </c>
      <c r="K1291">
        <v>0.3226495181135886</v>
      </c>
      <c r="L1291">
        <v>0.699722167598818</v>
      </c>
      <c r="M1291">
        <v>529.91</v>
      </c>
      <c r="N1291">
        <v>388.51</v>
      </c>
    </row>
    <row r="1292" spans="1:14">
      <c r="A1292" s="1" t="s">
        <v>1304</v>
      </c>
      <c r="B1292">
        <f>HYPERLINK("https://www.suredividend.com/sure-analysis-research-database/","Hyatt Hotels Corporation")</f>
        <v>0</v>
      </c>
      <c r="C1292" t="s">
        <v>3223</v>
      </c>
      <c r="D1292">
        <v>97</v>
      </c>
      <c r="E1292">
        <v>0</v>
      </c>
      <c r="H1292">
        <v>0</v>
      </c>
      <c r="I1292">
        <v>4882.424287</v>
      </c>
      <c r="J1292" t="s">
        <v>3219</v>
      </c>
      <c r="K1292">
        <v>-0</v>
      </c>
      <c r="L1292">
        <v>1.425132742452201</v>
      </c>
      <c r="M1292">
        <v>108.1</v>
      </c>
      <c r="N1292">
        <v>67.7</v>
      </c>
    </row>
    <row r="1293" spans="1:14">
      <c r="A1293" s="1" t="s">
        <v>1305</v>
      </c>
      <c r="B1293">
        <f>HYPERLINK("https://www.suredividend.com/sure-analysis-research-database/","Hawaiian Holdings, Inc.")</f>
        <v>0</v>
      </c>
      <c r="C1293" t="s">
        <v>3220</v>
      </c>
      <c r="D1293">
        <v>19.08</v>
      </c>
      <c r="E1293">
        <v>0</v>
      </c>
      <c r="H1293">
        <v>0</v>
      </c>
      <c r="I1293">
        <v>979.320496</v>
      </c>
      <c r="J1293" t="s">
        <v>3219</v>
      </c>
      <c r="K1293">
        <v>-0</v>
      </c>
      <c r="L1293">
        <v>1.756665756507202</v>
      </c>
      <c r="M1293">
        <v>31.38</v>
      </c>
      <c r="N1293">
        <v>14.62</v>
      </c>
    </row>
    <row r="1294" spans="1:14">
      <c r="A1294" s="1" t="s">
        <v>1306</v>
      </c>
      <c r="B1294">
        <f>HYPERLINK("https://www.suredividend.com/sure-analysis-research-database/","Haemonetics Corp.")</f>
        <v>0</v>
      </c>
      <c r="C1294" t="s">
        <v>3217</v>
      </c>
      <c r="D1294">
        <v>56.82</v>
      </c>
      <c r="E1294">
        <v>0</v>
      </c>
      <c r="H1294">
        <v>0</v>
      </c>
      <c r="I1294">
        <v>2904.160828</v>
      </c>
      <c r="J1294">
        <v>128.5425055503917</v>
      </c>
      <c r="K1294">
        <v>0</v>
      </c>
      <c r="L1294">
        <v>0.893468581770067</v>
      </c>
      <c r="M1294">
        <v>93.73999999999999</v>
      </c>
      <c r="N1294">
        <v>43.5</v>
      </c>
    </row>
    <row r="1295" spans="1:14">
      <c r="A1295" s="1" t="s">
        <v>1307</v>
      </c>
      <c r="B1295">
        <f>HYPERLINK("https://www.suredividend.com/sure-analysis-research-database/","Hanmi Financial Corp.")</f>
        <v>0</v>
      </c>
      <c r="C1295" t="s">
        <v>3221</v>
      </c>
      <c r="D1295">
        <v>23.95</v>
      </c>
      <c r="E1295">
        <v>0.027289417958681</v>
      </c>
      <c r="F1295">
        <v>1.2</v>
      </c>
      <c r="G1295">
        <v>0.02975477857041309</v>
      </c>
      <c r="H1295">
        <v>0.65358156011041</v>
      </c>
      <c r="I1295">
        <v>728.509879</v>
      </c>
      <c r="J1295">
        <v>7.43331916974471</v>
      </c>
      <c r="K1295">
        <v>0.2029756397858416</v>
      </c>
      <c r="L1295">
        <v>0.9441464016423081</v>
      </c>
      <c r="M1295">
        <v>28.6</v>
      </c>
      <c r="N1295">
        <v>16.29</v>
      </c>
    </row>
    <row r="1296" spans="1:14">
      <c r="A1296" s="1" t="s">
        <v>1308</v>
      </c>
      <c r="B1296">
        <f>HYPERLINK("https://www.suredividend.com/sure-analysis-research-database/","Hain Celestial Group Inc")</f>
        <v>0</v>
      </c>
      <c r="C1296" t="s">
        <v>3225</v>
      </c>
      <c r="D1296">
        <v>34.39</v>
      </c>
      <c r="E1296">
        <v>0</v>
      </c>
      <c r="H1296">
        <v>0</v>
      </c>
      <c r="I1296">
        <v>3140.751968</v>
      </c>
      <c r="J1296">
        <v>25.11817887555083</v>
      </c>
      <c r="K1296">
        <v>0</v>
      </c>
      <c r="L1296">
        <v>0.5200002431424581</v>
      </c>
      <c r="M1296">
        <v>48.88</v>
      </c>
      <c r="N1296">
        <v>31.88</v>
      </c>
    </row>
    <row r="1297" spans="1:14">
      <c r="A1297" s="1" t="s">
        <v>1309</v>
      </c>
      <c r="B1297">
        <f>HYPERLINK("https://www.suredividend.com/sure-analysis-HAL/","Halliburton Co.")</f>
        <v>0</v>
      </c>
      <c r="C1297" t="s">
        <v>3226</v>
      </c>
      <c r="D1297">
        <v>40.76</v>
      </c>
      <c r="E1297">
        <v>0.01177625122669284</v>
      </c>
      <c r="F1297">
        <v>1.666666666666667</v>
      </c>
      <c r="G1297">
        <v>-0.07789208851827223</v>
      </c>
      <c r="H1297">
        <v>0.254244497854817</v>
      </c>
      <c r="I1297">
        <v>36706.776443</v>
      </c>
      <c r="J1297">
        <v>25.19339495088538</v>
      </c>
      <c r="K1297">
        <v>0.1559782195428325</v>
      </c>
      <c r="L1297">
        <v>0.66389498581337</v>
      </c>
      <c r="M1297">
        <v>41.03</v>
      </c>
      <c r="N1297">
        <v>17.68</v>
      </c>
    </row>
    <row r="1298" spans="1:14">
      <c r="A1298" s="1" t="s">
        <v>1310</v>
      </c>
      <c r="B1298">
        <f>HYPERLINK("https://www.suredividend.com/sure-analysis-research-database/","Hallmark Financial Services, Inc")</f>
        <v>0</v>
      </c>
      <c r="C1298" t="s">
        <v>3221</v>
      </c>
      <c r="D1298">
        <v>3.7</v>
      </c>
      <c r="E1298">
        <v>0</v>
      </c>
      <c r="H1298">
        <v>0</v>
      </c>
      <c r="I1298">
        <v>67.238128</v>
      </c>
      <c r="J1298">
        <v>7.467584173700578</v>
      </c>
      <c r="K1298">
        <v>0</v>
      </c>
      <c r="L1298">
        <v>1.008674445187058</v>
      </c>
      <c r="M1298">
        <v>5.7</v>
      </c>
      <c r="N1298">
        <v>3.27</v>
      </c>
    </row>
    <row r="1299" spans="1:14">
      <c r="A1299" s="1" t="s">
        <v>1311</v>
      </c>
      <c r="B1299">
        <f>HYPERLINK("https://www.suredividend.com/sure-analysis-research-database/","Halozyme Therapeutics Inc.")</f>
        <v>0</v>
      </c>
      <c r="C1299" t="s">
        <v>3217</v>
      </c>
      <c r="D1299">
        <v>42.27</v>
      </c>
      <c r="E1299">
        <v>0</v>
      </c>
      <c r="H1299">
        <v>0</v>
      </c>
      <c r="I1299">
        <v>5823.654143</v>
      </c>
      <c r="J1299">
        <v>14.4611609905391</v>
      </c>
      <c r="K1299">
        <v>0</v>
      </c>
      <c r="L1299">
        <v>1.127288849248557</v>
      </c>
      <c r="M1299">
        <v>51.57</v>
      </c>
      <c r="N1299">
        <v>31.36</v>
      </c>
    </row>
    <row r="1300" spans="1:14">
      <c r="A1300" s="1" t="s">
        <v>1312</v>
      </c>
      <c r="B1300">
        <f>HYPERLINK("https://www.suredividend.com/sure-analysis-HAS/","Hasbro, Inc.")</f>
        <v>0</v>
      </c>
      <c r="C1300" t="s">
        <v>3223</v>
      </c>
      <c r="D1300">
        <v>85.22</v>
      </c>
      <c r="E1300">
        <v>0.03285613705702887</v>
      </c>
      <c r="F1300">
        <v>0</v>
      </c>
      <c r="G1300">
        <v>0.0359214157823311</v>
      </c>
      <c r="H1300">
        <v>2.69054473781177</v>
      </c>
      <c r="I1300">
        <v>11842.151429</v>
      </c>
      <c r="J1300">
        <v>27.62339964767903</v>
      </c>
      <c r="K1300">
        <v>0.8651269253414051</v>
      </c>
      <c r="L1300">
        <v>0.920908599776433</v>
      </c>
      <c r="M1300">
        <v>105.13</v>
      </c>
      <c r="N1300">
        <v>81.16</v>
      </c>
    </row>
    <row r="1301" spans="1:14">
      <c r="A1301" s="1" t="s">
        <v>1313</v>
      </c>
      <c r="B1301">
        <f>HYPERLINK("https://www.suredividend.com/sure-analysis-HASI/","Hannon Armstrong Sustainable Infrastructure capital Inc")</f>
        <v>0</v>
      </c>
      <c r="C1301" t="s">
        <v>3224</v>
      </c>
      <c r="D1301">
        <v>43.58</v>
      </c>
      <c r="E1301">
        <v>0.03441945846718678</v>
      </c>
      <c r="F1301">
        <v>0.0714285714285714</v>
      </c>
      <c r="G1301">
        <v>0.02589630491023409</v>
      </c>
      <c r="H1301">
        <v>1.41445184791528</v>
      </c>
      <c r="I1301">
        <v>3780.797892</v>
      </c>
      <c r="J1301">
        <v>29.86907695210106</v>
      </c>
      <c r="K1301">
        <v>0.9822582277189444</v>
      </c>
      <c r="L1301">
        <v>1.130507436176221</v>
      </c>
      <c r="M1301">
        <v>65.22</v>
      </c>
      <c r="N1301">
        <v>34.39</v>
      </c>
    </row>
    <row r="1302" spans="1:14">
      <c r="A1302" s="1" t="s">
        <v>1314</v>
      </c>
      <c r="B1302">
        <f>HYPERLINK("https://www.suredividend.com/sure-analysis-research-database/","Haynes International Inc.")</f>
        <v>0</v>
      </c>
      <c r="C1302" t="s">
        <v>3220</v>
      </c>
      <c r="D1302">
        <v>44.78</v>
      </c>
      <c r="E1302">
        <v>0.019486237317906</v>
      </c>
      <c r="F1302">
        <v>0</v>
      </c>
      <c r="G1302">
        <v>0</v>
      </c>
      <c r="H1302">
        <v>0.8725937070958381</v>
      </c>
      <c r="I1302">
        <v>557.720929</v>
      </c>
      <c r="J1302">
        <v>139.3257378566076</v>
      </c>
      <c r="K1302">
        <v>2.730268169886853</v>
      </c>
      <c r="L1302">
        <v>1.049781640328472</v>
      </c>
      <c r="M1302">
        <v>49.76</v>
      </c>
      <c r="N1302">
        <v>26.79</v>
      </c>
    </row>
    <row r="1303" spans="1:14">
      <c r="A1303" s="1" t="s">
        <v>1315</v>
      </c>
      <c r="B1303">
        <f>HYPERLINK("https://www.suredividend.com/sure-analysis-HBAN/","Huntington Bancshares, Inc.")</f>
        <v>0</v>
      </c>
      <c r="C1303" t="s">
        <v>3221</v>
      </c>
      <c r="D1303">
        <v>13.36</v>
      </c>
      <c r="E1303">
        <v>0.04640718562874252</v>
      </c>
      <c r="F1303">
        <v>0.03333333333333344</v>
      </c>
      <c r="G1303">
        <v>0.1414275278508146</v>
      </c>
      <c r="H1303">
        <v>0.600983810683249</v>
      </c>
      <c r="I1303">
        <v>19302.88387</v>
      </c>
      <c r="J1303">
        <v>16.74144307920208</v>
      </c>
      <c r="K1303">
        <v>0.6706660090204766</v>
      </c>
      <c r="L1303">
        <v>1.205996706877638</v>
      </c>
      <c r="M1303">
        <v>17.61</v>
      </c>
      <c r="N1303">
        <v>12.62</v>
      </c>
    </row>
    <row r="1304" spans="1:14">
      <c r="A1304" s="1" t="s">
        <v>1316</v>
      </c>
      <c r="B1304">
        <f>HYPERLINK("https://www.suredividend.com/sure-analysis-research-database/","Hamilton Beach Brands Holding Co")</f>
        <v>0</v>
      </c>
      <c r="C1304" t="s">
        <v>3222</v>
      </c>
      <c r="D1304">
        <v>10.94</v>
      </c>
      <c r="E1304">
        <v>0.036198637446937</v>
      </c>
      <c r="H1304">
        <v>0.3960130936694951</v>
      </c>
      <c r="I1304">
        <v>108.582673</v>
      </c>
      <c r="J1304">
        <v>5.09634246691073</v>
      </c>
      <c r="K1304">
        <v>0.258832087365683</v>
      </c>
      <c r="L1304">
        <v>0.743551016154916</v>
      </c>
      <c r="M1304">
        <v>25.4</v>
      </c>
      <c r="N1304">
        <v>10.62</v>
      </c>
    </row>
    <row r="1305" spans="1:14">
      <c r="A1305" s="1" t="s">
        <v>1317</v>
      </c>
      <c r="B1305">
        <f>HYPERLINK("https://www.suredividend.com/sure-analysis-research-database/","Home Bancorp Inc")</f>
        <v>0</v>
      </c>
      <c r="C1305" t="s">
        <v>3221</v>
      </c>
      <c r="D1305">
        <v>40.14</v>
      </c>
      <c r="E1305">
        <v>0.022723898218731</v>
      </c>
      <c r="F1305">
        <v>0.04545454545454541</v>
      </c>
      <c r="G1305">
        <v>0.1043836287043816</v>
      </c>
      <c r="H1305">
        <v>0.912137274499867</v>
      </c>
      <c r="I1305">
        <v>340.47045</v>
      </c>
      <c r="J1305">
        <v>7.002539033750849</v>
      </c>
      <c r="K1305">
        <v>0.1580827165511035</v>
      </c>
      <c r="L1305">
        <v>0.5700076303518491</v>
      </c>
      <c r="M1305">
        <v>45.47</v>
      </c>
      <c r="N1305">
        <v>34.44</v>
      </c>
    </row>
    <row r="1306" spans="1:14">
      <c r="A1306" s="1" t="s">
        <v>1318</v>
      </c>
      <c r="B1306">
        <f>HYPERLINK("https://www.suredividend.com/sure-analysis-HBI/","Hanesbrands Inc")</f>
        <v>0</v>
      </c>
      <c r="C1306" t="s">
        <v>3223</v>
      </c>
      <c r="D1306">
        <v>14.08</v>
      </c>
      <c r="E1306">
        <v>0.04261363636363636</v>
      </c>
      <c r="F1306">
        <v>0</v>
      </c>
      <c r="G1306">
        <v>0</v>
      </c>
      <c r="H1306">
        <v>0.592037340523617</v>
      </c>
      <c r="I1306">
        <v>4908.988579</v>
      </c>
      <c r="J1306">
        <v>63.56817282917228</v>
      </c>
      <c r="K1306">
        <v>2.69966867543829</v>
      </c>
      <c r="L1306">
        <v>1.03086306962675</v>
      </c>
      <c r="M1306">
        <v>22.06</v>
      </c>
      <c r="N1306">
        <v>13.71</v>
      </c>
    </row>
    <row r="1307" spans="1:14">
      <c r="A1307" s="1" t="s">
        <v>1319</v>
      </c>
      <c r="B1307">
        <f>HYPERLINK("https://www.suredividend.com/sure-analysis-research-database/","Harvard Bioscience Inc.")</f>
        <v>0</v>
      </c>
      <c r="C1307" t="s">
        <v>3217</v>
      </c>
      <c r="D1307">
        <v>5.88</v>
      </c>
      <c r="E1307">
        <v>0</v>
      </c>
      <c r="H1307">
        <v>0</v>
      </c>
      <c r="I1307">
        <v>242.49972</v>
      </c>
      <c r="J1307">
        <v>0</v>
      </c>
      <c r="K1307" t="s">
        <v>3219</v>
      </c>
      <c r="L1307">
        <v>1.267740146675234</v>
      </c>
      <c r="M1307">
        <v>8.75</v>
      </c>
      <c r="N1307">
        <v>5</v>
      </c>
    </row>
    <row r="1308" spans="1:14">
      <c r="A1308" s="1" t="s">
        <v>1320</v>
      </c>
      <c r="B1308">
        <f>HYPERLINK("https://www.suredividend.com/sure-analysis-research-database/","Howard Bancorp Inc")</f>
        <v>0</v>
      </c>
      <c r="C1308" t="s">
        <v>3221</v>
      </c>
      <c r="D1308">
        <v>23.3</v>
      </c>
      <c r="E1308">
        <v>0</v>
      </c>
      <c r="H1308">
        <v>0</v>
      </c>
      <c r="I1308">
        <v>0</v>
      </c>
      <c r="J1308">
        <v>0</v>
      </c>
      <c r="K1308" t="s">
        <v>3219</v>
      </c>
    </row>
    <row r="1309" spans="1:14">
      <c r="A1309" s="1" t="s">
        <v>1321</v>
      </c>
      <c r="B1309">
        <f>HYPERLINK("https://www.suredividend.com/sure-analysis-research-database/","Horizon Bancorp Inc (IN)")</f>
        <v>0</v>
      </c>
      <c r="C1309" t="s">
        <v>3221</v>
      </c>
      <c r="D1309">
        <v>18.59</v>
      </c>
      <c r="E1309">
        <v>0.030848033533771</v>
      </c>
      <c r="F1309">
        <v>0.1538461538461537</v>
      </c>
      <c r="G1309">
        <v>0.02903366107118788</v>
      </c>
      <c r="H1309">
        <v>0.5734649433928091</v>
      </c>
      <c r="I1309">
        <v>809.844759</v>
      </c>
      <c r="J1309">
        <v>9.298834076770277</v>
      </c>
      <c r="K1309">
        <v>0.2896287592892975</v>
      </c>
      <c r="L1309">
        <v>0.8137763018671761</v>
      </c>
      <c r="M1309">
        <v>23.6</v>
      </c>
      <c r="N1309">
        <v>15.3</v>
      </c>
    </row>
    <row r="1310" spans="1:14">
      <c r="A1310" s="1" t="s">
        <v>1322</v>
      </c>
      <c r="B1310">
        <f>HYPERLINK("https://www.suredividend.com/sure-analysis-research-database/","Huttig Building Products, Inc.")</f>
        <v>0</v>
      </c>
      <c r="C1310" t="s">
        <v>3220</v>
      </c>
      <c r="D1310">
        <v>10.69</v>
      </c>
      <c r="E1310">
        <v>0</v>
      </c>
      <c r="H1310">
        <v>0</v>
      </c>
      <c r="I1310">
        <v>292.142071</v>
      </c>
      <c r="J1310">
        <v>0</v>
      </c>
      <c r="K1310" t="s">
        <v>3219</v>
      </c>
      <c r="L1310">
        <v>1.270910801484758</v>
      </c>
      <c r="M1310">
        <v>11.35</v>
      </c>
      <c r="N1310">
        <v>3.83</v>
      </c>
    </row>
    <row r="1311" spans="1:14">
      <c r="A1311" s="1" t="s">
        <v>1323</v>
      </c>
      <c r="B1311">
        <f>HYPERLINK("https://www.suredividend.com/sure-analysis-research-database/","HCA Healthcare Inc")</f>
        <v>0</v>
      </c>
      <c r="C1311" t="s">
        <v>3217</v>
      </c>
      <c r="D1311">
        <v>260.94</v>
      </c>
      <c r="E1311">
        <v>0.007642341498883</v>
      </c>
      <c r="H1311">
        <v>1.994192590718634</v>
      </c>
      <c r="I1311">
        <v>78808.680513</v>
      </c>
      <c r="J1311">
        <v>11.32959754358539</v>
      </c>
      <c r="K1311">
        <v>0.09424350617762921</v>
      </c>
      <c r="L1311">
        <v>0.853536803395171</v>
      </c>
      <c r="M1311">
        <v>271.69</v>
      </c>
      <c r="N1311">
        <v>190.62</v>
      </c>
    </row>
    <row r="1312" spans="1:14">
      <c r="A1312" s="1" t="s">
        <v>1324</v>
      </c>
      <c r="B1312">
        <f>HYPERLINK("https://www.suredividend.com/sure-analysis-research-database/","Warrior Met Coal Inc")</f>
        <v>0</v>
      </c>
      <c r="C1312" t="s">
        <v>3218</v>
      </c>
      <c r="D1312">
        <v>39.67</v>
      </c>
      <c r="E1312">
        <v>0.005278283151577</v>
      </c>
      <c r="F1312">
        <v>0.2</v>
      </c>
      <c r="G1312">
        <v>-0.6486749412491424</v>
      </c>
      <c r="H1312">
        <v>0.209389492623076</v>
      </c>
      <c r="I1312">
        <v>2047.412615</v>
      </c>
      <c r="J1312">
        <v>13.56971795448068</v>
      </c>
      <c r="K1312">
        <v>0.07146399065633993</v>
      </c>
      <c r="L1312">
        <v>0.693473102970345</v>
      </c>
      <c r="M1312">
        <v>42.95</v>
      </c>
      <c r="N1312">
        <v>14.97</v>
      </c>
    </row>
    <row r="1313" spans="1:14">
      <c r="A1313" s="1" t="s">
        <v>1325</v>
      </c>
      <c r="B1313">
        <f>HYPERLINK("https://www.suredividend.com/sure-analysis-research-database/","Heritage-Crystal Clean Inc")</f>
        <v>0</v>
      </c>
      <c r="C1313" t="s">
        <v>3220</v>
      </c>
      <c r="D1313">
        <v>28.7</v>
      </c>
      <c r="E1313">
        <v>0</v>
      </c>
      <c r="H1313">
        <v>0</v>
      </c>
      <c r="I1313">
        <v>694.590139</v>
      </c>
      <c r="J1313">
        <v>0</v>
      </c>
      <c r="K1313" t="s">
        <v>3219</v>
      </c>
      <c r="L1313">
        <v>1.173552903261287</v>
      </c>
      <c r="M1313">
        <v>36.29</v>
      </c>
      <c r="N1313">
        <v>26.01</v>
      </c>
    </row>
    <row r="1314" spans="1:14">
      <c r="A1314" s="1" t="s">
        <v>1326</v>
      </c>
      <c r="B1314">
        <f>HYPERLINK("https://www.suredividend.com/sure-analysis-research-database/","HC2 Holdings Inc")</f>
        <v>0</v>
      </c>
      <c r="C1314" t="s">
        <v>3228</v>
      </c>
      <c r="D1314">
        <v>3.68</v>
      </c>
      <c r="E1314">
        <v>0</v>
      </c>
      <c r="H1314">
        <v>0</v>
      </c>
      <c r="I1314">
        <v>286.376798</v>
      </c>
      <c r="J1314">
        <v>0</v>
      </c>
      <c r="K1314" t="s">
        <v>3219</v>
      </c>
      <c r="L1314">
        <v>1.077262531562803</v>
      </c>
      <c r="M1314">
        <v>4.75</v>
      </c>
      <c r="N1314">
        <v>2.06</v>
      </c>
    </row>
    <row r="1315" spans="1:14">
      <c r="A1315" s="1" t="s">
        <v>1327</v>
      </c>
      <c r="B1315">
        <f>HYPERLINK("https://www.suredividend.com/sure-analysis-research-database/","HCI Group Inc")</f>
        <v>0</v>
      </c>
      <c r="C1315" t="s">
        <v>3221</v>
      </c>
      <c r="D1315">
        <v>67.51000000000001</v>
      </c>
      <c r="E1315">
        <v>0.023534330781553</v>
      </c>
      <c r="F1315">
        <v>0</v>
      </c>
      <c r="G1315">
        <v>0.02706608708935176</v>
      </c>
      <c r="H1315">
        <v>1.588802671062708</v>
      </c>
      <c r="I1315">
        <v>697.002539</v>
      </c>
      <c r="J1315">
        <v>380.4599013864629</v>
      </c>
      <c r="K1315">
        <v>7.441698693502144</v>
      </c>
      <c r="L1315">
        <v>0.9154368837233491</v>
      </c>
      <c r="M1315">
        <v>138.52</v>
      </c>
      <c r="N1315">
        <v>57.51</v>
      </c>
    </row>
    <row r="1316" spans="1:14">
      <c r="A1316" s="1" t="s">
        <v>1328</v>
      </c>
      <c r="B1316">
        <f>HYPERLINK("https://www.suredividend.com/sure-analysis-research-database/","Hackett Group Inc (The)")</f>
        <v>0</v>
      </c>
      <c r="C1316" t="s">
        <v>3222</v>
      </c>
      <c r="D1316">
        <v>23.68</v>
      </c>
      <c r="E1316">
        <v>0.017188980723175</v>
      </c>
      <c r="H1316">
        <v>0.407035063524785</v>
      </c>
      <c r="I1316">
        <v>748.165574</v>
      </c>
      <c r="J1316">
        <v>18.00855877722951</v>
      </c>
      <c r="K1316">
        <v>0.3230437012101469</v>
      </c>
      <c r="L1316">
        <v>0.594756530197989</v>
      </c>
      <c r="M1316">
        <v>24.08</v>
      </c>
      <c r="N1316">
        <v>15.5</v>
      </c>
    </row>
    <row r="1317" spans="1:14">
      <c r="A1317" s="1" t="s">
        <v>1329</v>
      </c>
      <c r="B1317">
        <f>HYPERLINK("https://www.suredividend.com/sure-analysis-research-database/","HashiCorp Inc")</f>
        <v>0</v>
      </c>
      <c r="C1317" t="s">
        <v>3219</v>
      </c>
      <c r="D1317">
        <v>56.07</v>
      </c>
      <c r="E1317">
        <v>0</v>
      </c>
      <c r="H1317">
        <v>0</v>
      </c>
      <c r="I1317">
        <v>1784.209245</v>
      </c>
      <c r="J1317" t="s">
        <v>3219</v>
      </c>
      <c r="K1317">
        <v>-0</v>
      </c>
      <c r="M1317">
        <v>102.95</v>
      </c>
      <c r="N1317">
        <v>31.36</v>
      </c>
    </row>
    <row r="1318" spans="1:14">
      <c r="A1318" s="1" t="s">
        <v>1330</v>
      </c>
      <c r="B1318">
        <f>HYPERLINK("https://www.suredividend.com/sure-analysis-research-database/","Healthcare Services Group, Inc.")</f>
        <v>0</v>
      </c>
      <c r="C1318" t="s">
        <v>3217</v>
      </c>
      <c r="D1318">
        <v>17.11</v>
      </c>
      <c r="E1318">
        <v>0.048096193245271</v>
      </c>
      <c r="F1318">
        <v>0.02424242424242418</v>
      </c>
      <c r="G1318">
        <v>0.02413943482153691</v>
      </c>
      <c r="H1318">
        <v>0.82292586642659</v>
      </c>
      <c r="I1318">
        <v>1266.12289</v>
      </c>
      <c r="J1318">
        <v>27.6066303992325</v>
      </c>
      <c r="K1318">
        <v>1.345089680331138</v>
      </c>
      <c r="L1318">
        <v>0.7034412307786441</v>
      </c>
      <c r="M1318">
        <v>31.89</v>
      </c>
      <c r="N1318">
        <v>14.6</v>
      </c>
    </row>
    <row r="1319" spans="1:14">
      <c r="A1319" s="1" t="s">
        <v>1331</v>
      </c>
      <c r="B1319">
        <f>HYPERLINK("https://www.suredividend.com/sure-analysis-HD/","Home Depot, Inc.")</f>
        <v>0</v>
      </c>
      <c r="C1319" t="s">
        <v>3223</v>
      </c>
      <c r="D1319">
        <v>304.52</v>
      </c>
      <c r="E1319">
        <v>0.02495730986470511</v>
      </c>
      <c r="F1319">
        <v>0.1515151515151516</v>
      </c>
      <c r="G1319">
        <v>0.1637849024059355</v>
      </c>
      <c r="H1319">
        <v>6.798533958178899</v>
      </c>
      <c r="I1319">
        <v>314680.51931</v>
      </c>
      <c r="J1319">
        <v>19.14930440636281</v>
      </c>
      <c r="K1319">
        <v>0.4377678015569156</v>
      </c>
      <c r="L1319">
        <v>0.8821658197586181</v>
      </c>
      <c r="M1319">
        <v>418.09</v>
      </c>
      <c r="N1319">
        <v>293.59</v>
      </c>
    </row>
    <row r="1320" spans="1:14">
      <c r="A1320" s="1" t="s">
        <v>1332</v>
      </c>
      <c r="B1320">
        <f>HYPERLINK("https://www.suredividend.com/sure-analysis-research-database/","HD Supply Holdings Inc")</f>
        <v>0</v>
      </c>
      <c r="C1320" t="s">
        <v>3220</v>
      </c>
      <c r="D1320">
        <v>55.99</v>
      </c>
      <c r="E1320">
        <v>0</v>
      </c>
      <c r="H1320">
        <v>0</v>
      </c>
      <c r="I1320">
        <v>0</v>
      </c>
      <c r="J1320">
        <v>0</v>
      </c>
      <c r="K1320">
        <v>0</v>
      </c>
    </row>
    <row r="1321" spans="1:14">
      <c r="A1321" s="1" t="s">
        <v>1333</v>
      </c>
      <c r="B1321">
        <f>HYPERLINK("https://www.suredividend.com/sure-analysis-research-database/","Hudson Technologies, Inc.")</f>
        <v>0</v>
      </c>
      <c r="C1321" t="s">
        <v>3218</v>
      </c>
      <c r="D1321">
        <v>6.82</v>
      </c>
      <c r="E1321">
        <v>0</v>
      </c>
      <c r="H1321">
        <v>0</v>
      </c>
      <c r="I1321">
        <v>305.60703</v>
      </c>
      <c r="J1321">
        <v>0</v>
      </c>
      <c r="K1321" t="s">
        <v>3219</v>
      </c>
      <c r="L1321">
        <v>1.832963934406785</v>
      </c>
      <c r="M1321">
        <v>6.84</v>
      </c>
      <c r="N1321">
        <v>1.83</v>
      </c>
    </row>
    <row r="1322" spans="1:14">
      <c r="A1322" s="1" t="s">
        <v>1334</v>
      </c>
      <c r="B1322">
        <f>HYPERLINK("https://www.suredividend.com/sure-analysis-HE/","Hawaiian Electric Industries, Inc.")</f>
        <v>0</v>
      </c>
      <c r="C1322" t="s">
        <v>3227</v>
      </c>
      <c r="D1322">
        <v>43.88</v>
      </c>
      <c r="E1322">
        <v>0.03190519598906107</v>
      </c>
      <c r="F1322">
        <v>0.02941176470588247</v>
      </c>
      <c r="G1322">
        <v>0.02456913836308061</v>
      </c>
      <c r="H1322">
        <v>1.352918612905449</v>
      </c>
      <c r="I1322">
        <v>4801.847462</v>
      </c>
      <c r="J1322">
        <v>19.50654218080482</v>
      </c>
      <c r="K1322">
        <v>0.6012971612913106</v>
      </c>
      <c r="L1322">
        <v>0.336177311270394</v>
      </c>
      <c r="M1322">
        <v>44.5</v>
      </c>
      <c r="N1322">
        <v>37.61</v>
      </c>
    </row>
    <row r="1323" spans="1:14">
      <c r="A1323" s="1" t="s">
        <v>1335</v>
      </c>
      <c r="B1323">
        <f>HYPERLINK("https://www.suredividend.com/sure-analysis-research-database/","Turtle Beach Corp")</f>
        <v>0</v>
      </c>
      <c r="C1323" t="s">
        <v>3222</v>
      </c>
      <c r="D1323">
        <v>19.24</v>
      </c>
      <c r="E1323">
        <v>0</v>
      </c>
      <c r="H1323">
        <v>0</v>
      </c>
      <c r="I1323">
        <v>311.089482</v>
      </c>
      <c r="J1323">
        <v>17.55484916652559</v>
      </c>
      <c r="K1323">
        <v>0</v>
      </c>
      <c r="L1323">
        <v>1.347220816118577</v>
      </c>
      <c r="M1323">
        <v>38.7</v>
      </c>
      <c r="N1323">
        <v>17.03</v>
      </c>
    </row>
    <row r="1324" spans="1:14">
      <c r="A1324" s="1" t="s">
        <v>1336</v>
      </c>
      <c r="B1324">
        <f>HYPERLINK("https://www.suredividend.com/sure-analysis-research-database/","H&amp;E Equipment Services Inc")</f>
        <v>0</v>
      </c>
      <c r="C1324" t="s">
        <v>3220</v>
      </c>
      <c r="D1324">
        <v>39.64</v>
      </c>
      <c r="E1324">
        <v>0.027471569502327</v>
      </c>
      <c r="F1324">
        <v>0</v>
      </c>
      <c r="G1324">
        <v>0</v>
      </c>
      <c r="H1324">
        <v>1.088973015072245</v>
      </c>
      <c r="I1324">
        <v>1433.146304</v>
      </c>
      <c r="J1324">
        <v>13.97646093387946</v>
      </c>
      <c r="K1324">
        <v>0.3875348808086281</v>
      </c>
      <c r="L1324">
        <v>1.599821136950786</v>
      </c>
      <c r="M1324">
        <v>50.05</v>
      </c>
      <c r="N1324">
        <v>27.69</v>
      </c>
    </row>
    <row r="1325" spans="1:14">
      <c r="A1325" s="1" t="s">
        <v>1337</v>
      </c>
      <c r="B1325">
        <f>HYPERLINK("https://www.suredividend.com/sure-analysis-research-database/","Heico Corp.")</f>
        <v>0</v>
      </c>
      <c r="C1325" t="s">
        <v>3220</v>
      </c>
      <c r="D1325">
        <v>147.79</v>
      </c>
      <c r="E1325">
        <v>0.001217572720893</v>
      </c>
      <c r="H1325">
        <v>0.17994507242078</v>
      </c>
      <c r="I1325">
        <v>18015.26159</v>
      </c>
      <c r="J1325">
        <v>56.20197348125848</v>
      </c>
      <c r="K1325">
        <v>0.07756253121585345</v>
      </c>
      <c r="L1325">
        <v>0.944643278476699</v>
      </c>
      <c r="M1325">
        <v>159.29</v>
      </c>
      <c r="N1325">
        <v>122.87</v>
      </c>
    </row>
    <row r="1326" spans="1:14">
      <c r="A1326" s="1" t="s">
        <v>1338</v>
      </c>
      <c r="B1326">
        <f>HYPERLINK("https://www.suredividend.com/sure-analysis-research-database/","Helen of Troy Ltd")</f>
        <v>0</v>
      </c>
      <c r="C1326" t="s">
        <v>3225</v>
      </c>
      <c r="D1326">
        <v>204.62</v>
      </c>
      <c r="E1326">
        <v>0</v>
      </c>
      <c r="H1326">
        <v>0</v>
      </c>
      <c r="I1326">
        <v>4938.92624</v>
      </c>
      <c r="J1326">
        <v>23.95885477146821</v>
      </c>
      <c r="K1326">
        <v>0</v>
      </c>
      <c r="L1326">
        <v>0.732089367558541</v>
      </c>
      <c r="M1326">
        <v>256.26</v>
      </c>
      <c r="N1326">
        <v>189.65</v>
      </c>
    </row>
    <row r="1327" spans="1:14">
      <c r="A1327" s="1" t="s">
        <v>1339</v>
      </c>
      <c r="B1327">
        <f>HYPERLINK("https://www.suredividend.com/sure-analysis-research-database/","Hepion Pharmaceuticals Inc")</f>
        <v>0</v>
      </c>
      <c r="C1327" t="s">
        <v>3217</v>
      </c>
      <c r="D1327">
        <v>1.05</v>
      </c>
      <c r="E1327">
        <v>0</v>
      </c>
      <c r="H1327">
        <v>0</v>
      </c>
      <c r="I1327">
        <v>80.04105</v>
      </c>
      <c r="J1327">
        <v>0</v>
      </c>
      <c r="K1327" t="s">
        <v>3219</v>
      </c>
      <c r="L1327">
        <v>1.054890905793457</v>
      </c>
      <c r="M1327">
        <v>2.32</v>
      </c>
      <c r="N1327">
        <v>0.862</v>
      </c>
    </row>
    <row r="1328" spans="1:14">
      <c r="A1328" s="1" t="s">
        <v>1340</v>
      </c>
      <c r="B1328">
        <f>HYPERLINK("https://www.suredividend.com/sure-analysis-research-database/","Hess Corporation")</f>
        <v>0</v>
      </c>
      <c r="C1328" t="s">
        <v>3226</v>
      </c>
      <c r="D1328">
        <v>114.72</v>
      </c>
      <c r="E1328">
        <v>0.009759835851358001</v>
      </c>
      <c r="F1328">
        <v>0.5</v>
      </c>
      <c r="G1328">
        <v>0.08447177119769855</v>
      </c>
      <c r="H1328">
        <v>1.119648368867873</v>
      </c>
      <c r="I1328">
        <v>35708.039392</v>
      </c>
      <c r="J1328">
        <v>63.87842467234347</v>
      </c>
      <c r="K1328">
        <v>0.6185902590430238</v>
      </c>
      <c r="L1328">
        <v>0.9296912840048681</v>
      </c>
      <c r="M1328">
        <v>116.33</v>
      </c>
      <c r="N1328">
        <v>61.28</v>
      </c>
    </row>
    <row r="1329" spans="1:14">
      <c r="A1329" s="1" t="s">
        <v>1341</v>
      </c>
      <c r="B1329">
        <f>HYPERLINK("https://www.suredividend.com/sure-analysis-research-database/","Home Federal Bancorp Inc (Louisiana)")</f>
        <v>0</v>
      </c>
      <c r="C1329" t="s">
        <v>3221</v>
      </c>
      <c r="D1329">
        <v>21.5</v>
      </c>
      <c r="E1329">
        <v>0.017725436756176</v>
      </c>
      <c r="F1329">
        <v>-0.3939393939393939</v>
      </c>
      <c r="G1329">
        <v>0.02129568760013512</v>
      </c>
      <c r="H1329">
        <v>0.3810968902578</v>
      </c>
      <c r="I1329">
        <v>73.507705</v>
      </c>
      <c r="J1329">
        <v>0</v>
      </c>
      <c r="K1329" t="s">
        <v>3219</v>
      </c>
      <c r="M1329">
        <v>23.55</v>
      </c>
      <c r="N1329">
        <v>15.01</v>
      </c>
    </row>
    <row r="1330" spans="1:14">
      <c r="A1330" s="1" t="s">
        <v>1342</v>
      </c>
      <c r="B1330">
        <f>HYPERLINK("https://www.suredividend.com/sure-analysis-research-database/","Heritage Financial Corp.")</f>
        <v>0</v>
      </c>
      <c r="C1330" t="s">
        <v>3221</v>
      </c>
      <c r="D1330">
        <v>24.23</v>
      </c>
      <c r="E1330">
        <v>0.033430237153999</v>
      </c>
      <c r="F1330">
        <v>0.04999999999999982</v>
      </c>
      <c r="G1330">
        <v>0.1006650808520966</v>
      </c>
      <c r="H1330">
        <v>0.8100146462413961</v>
      </c>
      <c r="I1330">
        <v>849.147571</v>
      </c>
      <c r="J1330">
        <v>8.661677671647881</v>
      </c>
      <c r="K1330">
        <v>0.296708661626885</v>
      </c>
      <c r="L1330">
        <v>0.6377680727765911</v>
      </c>
      <c r="M1330">
        <v>29.07</v>
      </c>
      <c r="N1330">
        <v>20.78</v>
      </c>
    </row>
    <row r="1331" spans="1:14">
      <c r="A1331" s="1" t="s">
        <v>1343</v>
      </c>
      <c r="B1331">
        <f>HYPERLINK("https://www.suredividend.com/sure-analysis-research-database/","Hilton Grand Vacations Inc")</f>
        <v>0</v>
      </c>
      <c r="C1331" t="s">
        <v>3223</v>
      </c>
      <c r="D1331">
        <v>49.28</v>
      </c>
      <c r="E1331">
        <v>0</v>
      </c>
      <c r="H1331">
        <v>0</v>
      </c>
      <c r="I1331">
        <v>5919.901581</v>
      </c>
      <c r="J1331">
        <v>33.63580444</v>
      </c>
      <c r="K1331">
        <v>0</v>
      </c>
      <c r="L1331">
        <v>1.498385280698891</v>
      </c>
      <c r="M1331">
        <v>56.33</v>
      </c>
      <c r="N1331">
        <v>36.95</v>
      </c>
    </row>
    <row r="1332" spans="1:14">
      <c r="A1332" s="1" t="s">
        <v>1344</v>
      </c>
      <c r="B1332">
        <f>HYPERLINK("https://www.suredividend.com/sure-analysis-research-database/","Howard Hughes Corporation")</f>
        <v>0</v>
      </c>
      <c r="C1332" t="s">
        <v>3224</v>
      </c>
      <c r="D1332">
        <v>100.54</v>
      </c>
      <c r="E1332">
        <v>0</v>
      </c>
      <c r="H1332">
        <v>0</v>
      </c>
      <c r="I1332">
        <v>5275.927891</v>
      </c>
      <c r="J1332">
        <v>94.04506044313726</v>
      </c>
      <c r="K1332">
        <v>0</v>
      </c>
      <c r="L1332">
        <v>1.080329555801938</v>
      </c>
      <c r="M1332">
        <v>113.2</v>
      </c>
      <c r="N1332">
        <v>81.98999999999999</v>
      </c>
    </row>
    <row r="1333" spans="1:14">
      <c r="A1333" s="1" t="s">
        <v>1345</v>
      </c>
      <c r="B1333">
        <f>HYPERLINK("https://www.suredividend.com/sure-analysis-research-database/","Harte-Hanks, Inc.")</f>
        <v>0</v>
      </c>
      <c r="C1333" t="s">
        <v>3228</v>
      </c>
      <c r="D1333">
        <v>7.7</v>
      </c>
      <c r="E1333">
        <v>0</v>
      </c>
      <c r="H1333">
        <v>0</v>
      </c>
      <c r="I1333">
        <v>53.754324</v>
      </c>
      <c r="J1333">
        <v>4.2604679163034</v>
      </c>
      <c r="K1333">
        <v>0</v>
      </c>
      <c r="M1333">
        <v>8.699999999999999</v>
      </c>
      <c r="N1333">
        <v>6.34</v>
      </c>
    </row>
    <row r="1334" spans="1:14">
      <c r="A1334" s="1" t="s">
        <v>1346</v>
      </c>
      <c r="B1334">
        <f>HYPERLINK("https://www.suredividend.com/sure-analysis-research-database/","Hillenbrand Inc")</f>
        <v>0</v>
      </c>
      <c r="C1334" t="s">
        <v>3220</v>
      </c>
      <c r="D1334">
        <v>41.62</v>
      </c>
      <c r="E1334">
        <v>0.020634767348604</v>
      </c>
      <c r="F1334">
        <v>0.01162790697674421</v>
      </c>
      <c r="G1334">
        <v>0.01190811802509373</v>
      </c>
      <c r="H1334">
        <v>0.8588190170489061</v>
      </c>
      <c r="I1334">
        <v>3030.515142</v>
      </c>
      <c r="J1334">
        <v>13.62029277438202</v>
      </c>
      <c r="K1334">
        <v>0.2891646522050189</v>
      </c>
      <c r="L1334">
        <v>1.004870822439568</v>
      </c>
      <c r="M1334">
        <v>53.88</v>
      </c>
      <c r="N1334">
        <v>39.92</v>
      </c>
    </row>
    <row r="1335" spans="1:14">
      <c r="A1335" s="1" t="s">
        <v>1347</v>
      </c>
      <c r="B1335">
        <f>HYPERLINK("https://www.suredividend.com/sure-analysis-research-database/","Hibbett Inc")</f>
        <v>0</v>
      </c>
      <c r="C1335" t="s">
        <v>3223</v>
      </c>
      <c r="D1335">
        <v>45.29</v>
      </c>
      <c r="E1335">
        <v>0.021939827917665</v>
      </c>
      <c r="H1335">
        <v>0.9936548063910551</v>
      </c>
      <c r="I1335">
        <v>595.0817960000001</v>
      </c>
      <c r="J1335">
        <v>3.413869278596548</v>
      </c>
      <c r="K1335">
        <v>0.08879846348445533</v>
      </c>
      <c r="L1335">
        <v>1.73201960113653</v>
      </c>
      <c r="M1335">
        <v>100.78</v>
      </c>
      <c r="N1335">
        <v>40.09</v>
      </c>
    </row>
    <row r="1336" spans="1:14">
      <c r="A1336" s="1" t="s">
        <v>1348</v>
      </c>
      <c r="B1336">
        <f>HYPERLINK("https://www.suredividend.com/sure-analysis-research-database/","Hingham Institution For Savings")</f>
        <v>0</v>
      </c>
      <c r="C1336" t="s">
        <v>3221</v>
      </c>
      <c r="D1336">
        <v>341.87</v>
      </c>
      <c r="E1336">
        <v>0.004644635550177001</v>
      </c>
      <c r="F1336">
        <v>0.1224489795918369</v>
      </c>
      <c r="G1336">
        <v>0.1009732178211216</v>
      </c>
      <c r="H1336">
        <v>1.587861555539235</v>
      </c>
      <c r="I1336">
        <v>719.97822</v>
      </c>
      <c r="J1336">
        <v>0</v>
      </c>
      <c r="K1336" t="s">
        <v>3219</v>
      </c>
      <c r="M1336">
        <v>432.19</v>
      </c>
      <c r="N1336">
        <v>278.3</v>
      </c>
    </row>
    <row r="1337" spans="1:14">
      <c r="A1337" s="1" t="s">
        <v>1349</v>
      </c>
      <c r="B1337">
        <f>HYPERLINK("https://www.suredividend.com/sure-analysis-HIG/","Hartford Financial Services Group Inc.")</f>
        <v>0</v>
      </c>
      <c r="C1337" t="s">
        <v>3221</v>
      </c>
      <c r="D1337">
        <v>74.95</v>
      </c>
      <c r="E1337">
        <v>0.02054703135423616</v>
      </c>
      <c r="F1337">
        <v>0.09999999999999987</v>
      </c>
      <c r="G1337">
        <v>0.1085277738139814</v>
      </c>
      <c r="H1337">
        <v>1.458380790806444</v>
      </c>
      <c r="I1337">
        <v>24786.623211</v>
      </c>
      <c r="J1337">
        <v>10.5744979568686</v>
      </c>
      <c r="K1337">
        <v>0.2202992131127559</v>
      </c>
      <c r="L1337">
        <v>0.826220729428204</v>
      </c>
      <c r="M1337">
        <v>77.31</v>
      </c>
      <c r="N1337">
        <v>58.89</v>
      </c>
    </row>
    <row r="1338" spans="1:14">
      <c r="A1338" s="1" t="s">
        <v>1350</v>
      </c>
      <c r="B1338">
        <f>HYPERLINK("https://www.suredividend.com/sure-analysis-HII/","Huntington Ingalls Industries Inc")</f>
        <v>0</v>
      </c>
      <c r="C1338" t="s">
        <v>3220</v>
      </c>
      <c r="D1338">
        <v>222.67</v>
      </c>
      <c r="E1338">
        <v>0.02290384874477927</v>
      </c>
      <c r="F1338">
        <v>0.0350877192982455</v>
      </c>
      <c r="G1338">
        <v>0.1448435755676265</v>
      </c>
      <c r="H1338">
        <v>4.5978598706618</v>
      </c>
      <c r="I1338">
        <v>8921.71889</v>
      </c>
      <c r="J1338">
        <v>16.40021854779412</v>
      </c>
      <c r="K1338">
        <v>0.3405822126416148</v>
      </c>
      <c r="L1338">
        <v>0.464508520693813</v>
      </c>
      <c r="M1338">
        <v>228.66</v>
      </c>
      <c r="N1338">
        <v>174.39</v>
      </c>
    </row>
    <row r="1339" spans="1:14">
      <c r="A1339" s="1" t="s">
        <v>1351</v>
      </c>
      <c r="B1339">
        <f>HYPERLINK("https://www.suredividend.com/sure-analysis-research-database/","Hill International Inc")</f>
        <v>0</v>
      </c>
      <c r="C1339" t="s">
        <v>3220</v>
      </c>
      <c r="D1339">
        <v>1.32</v>
      </c>
      <c r="E1339">
        <v>0</v>
      </c>
      <c r="H1339">
        <v>0</v>
      </c>
      <c r="I1339">
        <v>75.428422</v>
      </c>
      <c r="J1339" t="s">
        <v>3219</v>
      </c>
      <c r="K1339">
        <v>-0</v>
      </c>
      <c r="L1339">
        <v>0.444231934654962</v>
      </c>
      <c r="M1339">
        <v>2.9</v>
      </c>
      <c r="N1339">
        <v>1.31</v>
      </c>
    </row>
    <row r="1340" spans="1:14">
      <c r="A1340" s="1" t="s">
        <v>1352</v>
      </c>
      <c r="B1340">
        <f>HYPERLINK("https://www.suredividend.com/sure-analysis-HIW/","Highwoods Properties, Inc.")</f>
        <v>0</v>
      </c>
      <c r="C1340" t="s">
        <v>3224</v>
      </c>
      <c r="D1340">
        <v>43.67</v>
      </c>
      <c r="E1340">
        <v>0.04579803068468056</v>
      </c>
      <c r="F1340">
        <v>0.04166666666666674</v>
      </c>
      <c r="G1340">
        <v>0.02589630491023409</v>
      </c>
      <c r="H1340">
        <v>1.947791272233284</v>
      </c>
      <c r="I1340">
        <v>4580.667703</v>
      </c>
      <c r="J1340">
        <v>14.73873986891512</v>
      </c>
      <c r="K1340">
        <v>0.6716521628390635</v>
      </c>
      <c r="L1340">
        <v>0.765662673082939</v>
      </c>
      <c r="M1340">
        <v>47.39</v>
      </c>
      <c r="N1340">
        <v>40.39</v>
      </c>
    </row>
    <row r="1341" spans="1:14">
      <c r="A1341" s="1" t="s">
        <v>1353</v>
      </c>
      <c r="B1341">
        <f>HYPERLINK("https://www.suredividend.com/sure-analysis-research-database/","Hecla Mining Co.")</f>
        <v>0</v>
      </c>
      <c r="C1341" t="s">
        <v>3218</v>
      </c>
      <c r="D1341">
        <v>7.15</v>
      </c>
      <c r="E1341">
        <v>0.004885174313483001</v>
      </c>
      <c r="F1341">
        <v>-0.2857142857142857</v>
      </c>
      <c r="G1341">
        <v>0.2011244339814313</v>
      </c>
      <c r="H1341">
        <v>0.03492899634140401</v>
      </c>
      <c r="I1341">
        <v>3853.180996</v>
      </c>
      <c r="J1341">
        <v>111.5473756173465</v>
      </c>
      <c r="K1341">
        <v>0.5483358923297331</v>
      </c>
      <c r="L1341">
        <v>0.619638430394845</v>
      </c>
      <c r="M1341">
        <v>9.4</v>
      </c>
      <c r="N1341">
        <v>4.5</v>
      </c>
    </row>
    <row r="1342" spans="1:14">
      <c r="A1342" s="1" t="s">
        <v>1354</v>
      </c>
      <c r="B1342">
        <f>HYPERLINK("https://www.suredividend.com/sure-analysis-research-database/","Herbalife Nutrition Ltd")</f>
        <v>0</v>
      </c>
      <c r="C1342" t="s">
        <v>3225</v>
      </c>
      <c r="D1342">
        <v>29.72</v>
      </c>
      <c r="E1342">
        <v>0</v>
      </c>
      <c r="H1342">
        <v>0</v>
      </c>
      <c r="I1342">
        <v>3265.227565</v>
      </c>
      <c r="J1342">
        <v>7.301492766905187</v>
      </c>
      <c r="K1342">
        <v>0</v>
      </c>
      <c r="L1342">
        <v>0.478219542314363</v>
      </c>
      <c r="M1342">
        <v>55.78</v>
      </c>
      <c r="N1342">
        <v>28.73</v>
      </c>
    </row>
    <row r="1343" spans="1:14">
      <c r="A1343" s="1" t="s">
        <v>1355</v>
      </c>
      <c r="B1343">
        <f>HYPERLINK("https://www.suredividend.com/sure-analysis-research-database/","Houlihan Lokey Inc")</f>
        <v>0</v>
      </c>
      <c r="C1343" t="s">
        <v>3221</v>
      </c>
      <c r="D1343">
        <v>82.16</v>
      </c>
      <c r="E1343">
        <v>0.020803082643628</v>
      </c>
      <c r="F1343">
        <v>0.303030303030303</v>
      </c>
      <c r="G1343">
        <v>0.1654340216704255</v>
      </c>
      <c r="H1343">
        <v>1.709181270000536</v>
      </c>
      <c r="I1343">
        <v>4160.836192</v>
      </c>
      <c r="J1343">
        <v>8.816376926584509</v>
      </c>
      <c r="K1343">
        <v>0.2484275101744965</v>
      </c>
      <c r="L1343">
        <v>1.030177305394163</v>
      </c>
      <c r="M1343">
        <v>122.11</v>
      </c>
      <c r="N1343">
        <v>64.19</v>
      </c>
    </row>
    <row r="1344" spans="1:14">
      <c r="A1344" s="1" t="s">
        <v>1356</v>
      </c>
      <c r="B1344">
        <f>HYPERLINK("https://www.suredividend.com/sure-analysis-research-database/","Helios Technologies Inc")</f>
        <v>0</v>
      </c>
      <c r="C1344" t="s">
        <v>3220</v>
      </c>
      <c r="D1344">
        <v>74.3</v>
      </c>
      <c r="E1344">
        <v>0.002421226510554</v>
      </c>
      <c r="F1344">
        <v>0</v>
      </c>
      <c r="G1344">
        <v>0</v>
      </c>
      <c r="H1344">
        <v>0.1798971297342</v>
      </c>
      <c r="I1344">
        <v>2409.143025</v>
      </c>
      <c r="J1344">
        <v>23.03284088110444</v>
      </c>
      <c r="K1344">
        <v>0.0558686738304969</v>
      </c>
      <c r="L1344">
        <v>1.206827076776398</v>
      </c>
      <c r="M1344">
        <v>114.66</v>
      </c>
      <c r="N1344">
        <v>68.77</v>
      </c>
    </row>
    <row r="1345" spans="1:14">
      <c r="A1345" s="1" t="s">
        <v>1357</v>
      </c>
      <c r="B1345">
        <f>HYPERLINK("https://www.suredividend.com/sure-analysis-research-database/","Harmonic, Inc.")</f>
        <v>0</v>
      </c>
      <c r="C1345" t="s">
        <v>3222</v>
      </c>
      <c r="D1345">
        <v>8.539999999999999</v>
      </c>
      <c r="E1345">
        <v>0</v>
      </c>
      <c r="H1345">
        <v>0</v>
      </c>
      <c r="I1345">
        <v>885.911076</v>
      </c>
      <c r="J1345">
        <v>66.8410348875811</v>
      </c>
      <c r="K1345">
        <v>0</v>
      </c>
      <c r="L1345">
        <v>1.41539072167897</v>
      </c>
      <c r="M1345">
        <v>12.22</v>
      </c>
      <c r="N1345">
        <v>6.69</v>
      </c>
    </row>
    <row r="1346" spans="1:14">
      <c r="A1346" s="1" t="s">
        <v>1358</v>
      </c>
      <c r="B1346">
        <f>HYPERLINK("https://www.suredividend.com/sure-analysis-research-database/","Hamilton Lane Inc")</f>
        <v>0</v>
      </c>
      <c r="C1346" t="s">
        <v>3221</v>
      </c>
      <c r="D1346">
        <v>73.48</v>
      </c>
      <c r="E1346">
        <v>0.018936080590808</v>
      </c>
      <c r="F1346">
        <v>0.1200000000000001</v>
      </c>
      <c r="G1346">
        <v>0.1486983549970351</v>
      </c>
      <c r="H1346">
        <v>1.391423201812612</v>
      </c>
      <c r="I1346">
        <v>2733.040397</v>
      </c>
      <c r="J1346">
        <v>16.33762977625011</v>
      </c>
      <c r="K1346">
        <v>0.3352826992319547</v>
      </c>
      <c r="L1346">
        <v>1.388458271431532</v>
      </c>
      <c r="M1346">
        <v>115.08</v>
      </c>
      <c r="N1346">
        <v>70.14</v>
      </c>
    </row>
    <row r="1347" spans="1:14">
      <c r="A1347" s="1" t="s">
        <v>1359</v>
      </c>
      <c r="B1347">
        <f>HYPERLINK("https://www.suredividend.com/sure-analysis-research-database/","Hilton Worldwide Holdings Inc")</f>
        <v>0</v>
      </c>
      <c r="C1347" t="s">
        <v>3223</v>
      </c>
      <c r="D1347">
        <v>155.58</v>
      </c>
      <c r="E1347">
        <v>0</v>
      </c>
      <c r="H1347">
        <v>0</v>
      </c>
      <c r="I1347">
        <v>43441.354559</v>
      </c>
      <c r="J1347">
        <v>105.9545233154634</v>
      </c>
      <c r="K1347">
        <v>0</v>
      </c>
      <c r="L1347">
        <v>1.223483326319344</v>
      </c>
      <c r="M1347">
        <v>160.96</v>
      </c>
      <c r="N1347">
        <v>114.7</v>
      </c>
    </row>
    <row r="1348" spans="1:14">
      <c r="A1348" s="1" t="s">
        <v>1360</v>
      </c>
      <c r="B1348">
        <f>HYPERLINK("https://www.suredividend.com/sure-analysis-research-database/","Helix Energy Solutions Group Inc")</f>
        <v>0</v>
      </c>
      <c r="C1348" t="s">
        <v>3226</v>
      </c>
      <c r="D1348">
        <v>5.16</v>
      </c>
      <c r="E1348">
        <v>0</v>
      </c>
      <c r="H1348">
        <v>0</v>
      </c>
      <c r="I1348">
        <v>782.445238</v>
      </c>
      <c r="J1348" t="s">
        <v>3219</v>
      </c>
      <c r="K1348">
        <v>-0</v>
      </c>
      <c r="L1348">
        <v>0.9076645272522371</v>
      </c>
      <c r="M1348">
        <v>6.7</v>
      </c>
      <c r="N1348">
        <v>2.88</v>
      </c>
    </row>
    <row r="1349" spans="1:14">
      <c r="A1349" s="1" t="s">
        <v>1361</v>
      </c>
      <c r="B1349">
        <f>HYPERLINK("https://www.suredividend.com/sure-analysis-research-database/","Houghton Mifflin Harcourt Co")</f>
        <v>0</v>
      </c>
      <c r="C1349" t="s">
        <v>3225</v>
      </c>
      <c r="D1349">
        <v>21.03</v>
      </c>
      <c r="E1349">
        <v>0</v>
      </c>
      <c r="H1349">
        <v>0</v>
      </c>
      <c r="I1349">
        <v>0</v>
      </c>
      <c r="J1349">
        <v>0</v>
      </c>
      <c r="K1349" t="s">
        <v>3219</v>
      </c>
    </row>
    <row r="1350" spans="1:14">
      <c r="A1350" s="1" t="s">
        <v>1362</v>
      </c>
      <c r="B1350">
        <f>HYPERLINK("https://www.suredividend.com/sure-analysis-research-database/","Horace Mann Educators Corp.")</f>
        <v>0</v>
      </c>
      <c r="C1350" t="s">
        <v>3221</v>
      </c>
      <c r="D1350">
        <v>40.6</v>
      </c>
      <c r="E1350">
        <v>0.03794149204548401</v>
      </c>
      <c r="F1350">
        <v>0.032258064516129</v>
      </c>
      <c r="G1350">
        <v>0.03077400337593272</v>
      </c>
      <c r="H1350">
        <v>1.540424577046663</v>
      </c>
      <c r="I1350">
        <v>1679.993774</v>
      </c>
      <c r="J1350">
        <v>11.76466228431373</v>
      </c>
      <c r="K1350">
        <v>0.455746916285995</v>
      </c>
      <c r="L1350">
        <v>0.522511778996396</v>
      </c>
      <c r="M1350">
        <v>42.62</v>
      </c>
      <c r="N1350">
        <v>35.72</v>
      </c>
    </row>
    <row r="1351" spans="1:14">
      <c r="A1351" s="1" t="s">
        <v>1363</v>
      </c>
      <c r="B1351">
        <f>HYPERLINK("https://www.suredividend.com/sure-analysis-research-database/","HMN Financial Inc.")</f>
        <v>0</v>
      </c>
      <c r="C1351" t="s">
        <v>3221</v>
      </c>
      <c r="D1351">
        <v>24.42</v>
      </c>
      <c r="E1351">
        <v>0.002457002402084</v>
      </c>
      <c r="H1351">
        <v>0.05999999865889501</v>
      </c>
      <c r="I1351">
        <v>111.598179</v>
      </c>
      <c r="J1351">
        <v>0</v>
      </c>
      <c r="K1351" t="s">
        <v>3219</v>
      </c>
      <c r="M1351">
        <v>25.95</v>
      </c>
      <c r="N1351">
        <v>19.83</v>
      </c>
    </row>
    <row r="1352" spans="1:14">
      <c r="A1352" s="1" t="s">
        <v>1364</v>
      </c>
      <c r="B1352">
        <f>HYPERLINK("https://www.suredividend.com/sure-analysis-research-database/","HomeStreet Inc")</f>
        <v>0</v>
      </c>
      <c r="C1352" t="s">
        <v>3221</v>
      </c>
      <c r="D1352">
        <v>44.51</v>
      </c>
      <c r="E1352">
        <v>0.024502306962074</v>
      </c>
      <c r="H1352">
        <v>1.090597682881922</v>
      </c>
      <c r="I1352">
        <v>910.230034</v>
      </c>
      <c r="J1352">
        <v>7.886105197622636</v>
      </c>
      <c r="K1352">
        <v>0.1997431653629894</v>
      </c>
      <c r="L1352">
        <v>0.722842654834541</v>
      </c>
      <c r="M1352">
        <v>56.99</v>
      </c>
      <c r="N1352">
        <v>35.61</v>
      </c>
    </row>
    <row r="1353" spans="1:14">
      <c r="A1353" s="1" t="s">
        <v>1365</v>
      </c>
      <c r="B1353">
        <f>HYPERLINK("https://www.suredividend.com/sure-analysis-research-database/","HMS Holdings Corp")</f>
        <v>0</v>
      </c>
      <c r="C1353" t="s">
        <v>3217</v>
      </c>
      <c r="D1353">
        <v>36.975</v>
      </c>
      <c r="E1353">
        <v>0</v>
      </c>
      <c r="H1353">
        <v>0</v>
      </c>
      <c r="I1353">
        <v>0</v>
      </c>
      <c r="J1353">
        <v>0</v>
      </c>
      <c r="K1353">
        <v>0</v>
      </c>
    </row>
    <row r="1354" spans="1:14">
      <c r="A1354" s="1" t="s">
        <v>1366</v>
      </c>
      <c r="B1354">
        <f>HYPERLINK("https://www.suredividend.com/sure-analysis-research-database/","Hemisphere Media Group Inc")</f>
        <v>0</v>
      </c>
      <c r="C1354" t="s">
        <v>3228</v>
      </c>
      <c r="D1354">
        <v>4.22</v>
      </c>
      <c r="E1354">
        <v>0</v>
      </c>
      <c r="H1354">
        <v>0</v>
      </c>
      <c r="I1354">
        <v>87.429226</v>
      </c>
      <c r="J1354">
        <v>0</v>
      </c>
      <c r="K1354" t="s">
        <v>3219</v>
      </c>
      <c r="L1354">
        <v>1.273683084819941</v>
      </c>
      <c r="M1354">
        <v>14.04</v>
      </c>
      <c r="N1354">
        <v>3.86</v>
      </c>
    </row>
    <row r="1355" spans="1:14">
      <c r="A1355" s="1" t="s">
        <v>1367</v>
      </c>
      <c r="B1355">
        <f>HYPERLINK("https://www.suredividend.com/sure-analysis-research-database/","Hanger Inc")</f>
        <v>0</v>
      </c>
      <c r="C1355" t="s">
        <v>3217</v>
      </c>
      <c r="D1355">
        <v>19.38</v>
      </c>
      <c r="E1355">
        <v>0</v>
      </c>
      <c r="H1355">
        <v>0</v>
      </c>
      <c r="I1355">
        <v>756.375082</v>
      </c>
      <c r="J1355">
        <v>18.01665194511934</v>
      </c>
      <c r="K1355">
        <v>0</v>
      </c>
      <c r="L1355">
        <v>0.8753682631591611</v>
      </c>
      <c r="M1355">
        <v>26.69</v>
      </c>
      <c r="N1355">
        <v>16.16</v>
      </c>
    </row>
    <row r="1356" spans="1:14">
      <c r="A1356" s="1" t="s">
        <v>1368</v>
      </c>
      <c r="B1356">
        <f>HYPERLINK("https://www.suredividend.com/sure-analysis-HNI/","HNI Corp.")</f>
        <v>0</v>
      </c>
      <c r="C1356" t="s">
        <v>3220</v>
      </c>
      <c r="D1356">
        <v>35.77</v>
      </c>
      <c r="E1356">
        <v>0.03466592116298574</v>
      </c>
      <c r="F1356">
        <v>0.01639344262295084</v>
      </c>
      <c r="G1356">
        <v>0.01695881881786532</v>
      </c>
      <c r="H1356">
        <v>1.225928133393068</v>
      </c>
      <c r="I1356">
        <v>1514.457982</v>
      </c>
      <c r="J1356">
        <v>25.31945667820243</v>
      </c>
      <c r="K1356">
        <v>0.9014177451419619</v>
      </c>
      <c r="L1356">
        <v>0.8651805641269761</v>
      </c>
      <c r="M1356">
        <v>45.85</v>
      </c>
      <c r="N1356">
        <v>34.32</v>
      </c>
    </row>
    <row r="1357" spans="1:14">
      <c r="A1357" s="1" t="s">
        <v>1369</v>
      </c>
      <c r="B1357">
        <f>HYPERLINK("https://www.suredividend.com/sure-analysis-research-database/","Hallador Energy Co")</f>
        <v>0</v>
      </c>
      <c r="C1357" t="s">
        <v>3226</v>
      </c>
      <c r="D1357">
        <v>5.22</v>
      </c>
      <c r="E1357">
        <v>0</v>
      </c>
      <c r="H1357">
        <v>0</v>
      </c>
      <c r="I1357">
        <v>160.69805</v>
      </c>
      <c r="J1357" t="s">
        <v>3219</v>
      </c>
      <c r="K1357">
        <v>-0</v>
      </c>
      <c r="L1357">
        <v>0.8873656962820571</v>
      </c>
      <c r="M1357">
        <v>5.65</v>
      </c>
      <c r="N1357">
        <v>1.85</v>
      </c>
    </row>
    <row r="1358" spans="1:14">
      <c r="A1358" s="1" t="s">
        <v>1370</v>
      </c>
      <c r="B1358">
        <f>HYPERLINK("https://www.suredividend.com/sure-analysis-research-database/","Hooker Furnishings Corporation")</f>
        <v>0</v>
      </c>
      <c r="C1358" t="s">
        <v>3223</v>
      </c>
      <c r="D1358">
        <v>18.24</v>
      </c>
      <c r="E1358">
        <v>0.04113715168635</v>
      </c>
      <c r="F1358">
        <v>0.1111111111111112</v>
      </c>
      <c r="G1358">
        <v>0.1075663432482901</v>
      </c>
      <c r="H1358">
        <v>0.750341646759035</v>
      </c>
      <c r="I1358">
        <v>217.463007</v>
      </c>
      <c r="J1358">
        <v>9.002442762046694</v>
      </c>
      <c r="K1358">
        <v>0.3696264269748941</v>
      </c>
      <c r="L1358">
        <v>0.7917680195661241</v>
      </c>
      <c r="M1358">
        <v>41.65</v>
      </c>
      <c r="N1358">
        <v>17.59</v>
      </c>
    </row>
    <row r="1359" spans="1:14">
      <c r="A1359" s="1" t="s">
        <v>1371</v>
      </c>
      <c r="B1359">
        <f>HYPERLINK("https://www.suredividend.com/sure-analysis-HOG/","Harley-Davidson, Inc.")</f>
        <v>0</v>
      </c>
      <c r="C1359" t="s">
        <v>3223</v>
      </c>
      <c r="D1359">
        <v>38.2</v>
      </c>
      <c r="E1359">
        <v>0.01649214659685864</v>
      </c>
      <c r="F1359">
        <v>0.05000000000000004</v>
      </c>
      <c r="G1359">
        <v>-0.15472594525363</v>
      </c>
      <c r="H1359">
        <v>0.603942776349225</v>
      </c>
      <c r="I1359">
        <v>5796.155104</v>
      </c>
      <c r="J1359">
        <v>8.91683246126297</v>
      </c>
      <c r="K1359">
        <v>0.1441390874341826</v>
      </c>
      <c r="L1359">
        <v>1.227556138564989</v>
      </c>
      <c r="M1359">
        <v>51.28</v>
      </c>
      <c r="N1359">
        <v>32</v>
      </c>
    </row>
    <row r="1360" spans="1:14">
      <c r="A1360" s="1" t="s">
        <v>1372</v>
      </c>
      <c r="B1360">
        <f>HYPERLINK("https://www.suredividend.com/sure-analysis-research-database/","Hologic, Inc.")</f>
        <v>0</v>
      </c>
      <c r="C1360" t="s">
        <v>3217</v>
      </c>
      <c r="D1360">
        <v>76.33</v>
      </c>
      <c r="E1360">
        <v>0</v>
      </c>
      <c r="H1360">
        <v>0</v>
      </c>
      <c r="I1360">
        <v>19081.287574</v>
      </c>
      <c r="J1360">
        <v>11.11768780182952</v>
      </c>
      <c r="K1360">
        <v>0</v>
      </c>
      <c r="L1360">
        <v>0.395033110382947</v>
      </c>
      <c r="M1360">
        <v>81.04000000000001</v>
      </c>
      <c r="N1360">
        <v>60.1</v>
      </c>
    </row>
    <row r="1361" spans="1:14">
      <c r="A1361" s="1" t="s">
        <v>1373</v>
      </c>
      <c r="B1361">
        <f>HYPERLINK("https://www.suredividend.com/sure-analysis-research-database/","Home Bancshares Inc")</f>
        <v>0</v>
      </c>
      <c r="C1361" t="s">
        <v>3221</v>
      </c>
      <c r="D1361">
        <v>22.11</v>
      </c>
      <c r="E1361">
        <v>0.007462686863704</v>
      </c>
      <c r="F1361">
        <v>0.1785714285714286</v>
      </c>
      <c r="G1361">
        <v>0.1288813207301975</v>
      </c>
      <c r="H1361">
        <v>0.16500000655651</v>
      </c>
      <c r="I1361">
        <v>3622.623961</v>
      </c>
      <c r="J1361">
        <v>11.3554404279969</v>
      </c>
      <c r="K1361">
        <v>0.08505154977139691</v>
      </c>
      <c r="L1361">
        <v>1.051611446869184</v>
      </c>
      <c r="M1361">
        <v>29.06</v>
      </c>
      <c r="N1361">
        <v>20.3</v>
      </c>
    </row>
    <row r="1362" spans="1:14">
      <c r="A1362" s="1" t="s">
        <v>1374</v>
      </c>
      <c r="B1362">
        <f>HYPERLINK("https://www.suredividend.com/sure-analysis-research-database/","At Home Group Inc")</f>
        <v>0</v>
      </c>
      <c r="C1362" t="s">
        <v>3223</v>
      </c>
      <c r="D1362">
        <v>36.99</v>
      </c>
      <c r="E1362">
        <v>0</v>
      </c>
      <c r="H1362">
        <v>0</v>
      </c>
      <c r="I1362">
        <v>2425.539093</v>
      </c>
      <c r="J1362">
        <v>9.134501885507051</v>
      </c>
      <c r="K1362">
        <v>0</v>
      </c>
      <c r="M1362">
        <v>38.06</v>
      </c>
      <c r="N1362">
        <v>8.359999999999999</v>
      </c>
    </row>
    <row r="1363" spans="1:14">
      <c r="A1363" s="1" t="s">
        <v>1375</v>
      </c>
      <c r="B1363">
        <f>HYPERLINK("https://www.suredividend.com/sure-analysis-HON/","Honeywell International Inc")</f>
        <v>0</v>
      </c>
      <c r="C1363" t="s">
        <v>3220</v>
      </c>
      <c r="D1363">
        <v>195.19</v>
      </c>
      <c r="E1363">
        <v>0.02008299605512577</v>
      </c>
      <c r="F1363">
        <v>0.05376344086021501</v>
      </c>
      <c r="G1363">
        <v>0.08063961960040023</v>
      </c>
      <c r="H1363">
        <v>0.9172702994366281</v>
      </c>
      <c r="I1363">
        <v>133799.173804</v>
      </c>
      <c r="J1363">
        <v>24.14275961814507</v>
      </c>
      <c r="K1363">
        <v>0.1159633754028607</v>
      </c>
      <c r="L1363">
        <v>0.9189744242526111</v>
      </c>
      <c r="M1363">
        <v>233.62</v>
      </c>
      <c r="N1363">
        <v>174.42</v>
      </c>
    </row>
    <row r="1364" spans="1:14">
      <c r="A1364" s="1" t="s">
        <v>1376</v>
      </c>
      <c r="B1364">
        <f>HYPERLINK("https://www.suredividend.com/sure-analysis-research-database/","HarborOne Bancorp Inc.")</f>
        <v>0</v>
      </c>
      <c r="C1364" t="s">
        <v>3221</v>
      </c>
      <c r="D1364">
        <v>13.74</v>
      </c>
      <c r="E1364">
        <v>0.015918128414967</v>
      </c>
      <c r="H1364">
        <v>0.218715084421653</v>
      </c>
      <c r="I1364">
        <v>704.25913</v>
      </c>
      <c r="J1364">
        <v>12.03512022181588</v>
      </c>
      <c r="K1364">
        <v>0.1918553372119763</v>
      </c>
      <c r="L1364">
        <v>0.72538260292027</v>
      </c>
      <c r="M1364">
        <v>15.37</v>
      </c>
      <c r="N1364">
        <v>12.83</v>
      </c>
    </row>
    <row r="1365" spans="1:14">
      <c r="A1365" s="1" t="s">
        <v>1377</v>
      </c>
      <c r="B1365">
        <f>HYPERLINK("https://www.suredividend.com/sure-analysis-research-database/","Hope Bancorp Inc")</f>
        <v>0</v>
      </c>
      <c r="C1365" t="s">
        <v>3221</v>
      </c>
      <c r="D1365">
        <v>15.56</v>
      </c>
      <c r="E1365">
        <v>0.035504787669601</v>
      </c>
      <c r="H1365">
        <v>0.552454496139001</v>
      </c>
      <c r="I1365">
        <v>1868.976703</v>
      </c>
      <c r="J1365">
        <v>9.136033782922397</v>
      </c>
      <c r="K1365">
        <v>0.3328039133367476</v>
      </c>
      <c r="L1365">
        <v>0.7464215680041071</v>
      </c>
      <c r="M1365">
        <v>17.53</v>
      </c>
      <c r="N1365">
        <v>12.13</v>
      </c>
    </row>
    <row r="1366" spans="1:14">
      <c r="A1366" s="1" t="s">
        <v>1378</v>
      </c>
      <c r="B1366">
        <f>HYPERLINK("https://www.suredividend.com/sure-analysis-research-database/","Hovnanian Enterprises, Inc.")</f>
        <v>0</v>
      </c>
      <c r="C1366" t="s">
        <v>3223</v>
      </c>
      <c r="D1366">
        <v>50.51</v>
      </c>
      <c r="E1366">
        <v>0</v>
      </c>
      <c r="H1366">
        <v>0</v>
      </c>
      <c r="I1366">
        <v>283.686586</v>
      </c>
      <c r="J1366">
        <v>0.51122069206372</v>
      </c>
      <c r="K1366">
        <v>0</v>
      </c>
      <c r="L1366">
        <v>1.99522723900176</v>
      </c>
      <c r="M1366">
        <v>146.34</v>
      </c>
      <c r="N1366">
        <v>50.15</v>
      </c>
    </row>
    <row r="1367" spans="1:14">
      <c r="A1367" s="1" t="s">
        <v>1379</v>
      </c>
      <c r="B1367">
        <f>HYPERLINK("https://www.suredividend.com/sure-analysis-HP/","Helmerich &amp; Payne, Inc.")</f>
        <v>0</v>
      </c>
      <c r="C1367" t="s">
        <v>3226</v>
      </c>
      <c r="D1367">
        <v>48.87</v>
      </c>
      <c r="E1367">
        <v>0.02046245140167792</v>
      </c>
      <c r="F1367">
        <v>0</v>
      </c>
      <c r="G1367">
        <v>-0.1861049751822067</v>
      </c>
      <c r="H1367">
        <v>0.9869997575142631</v>
      </c>
      <c r="I1367">
        <v>5156.012001</v>
      </c>
      <c r="J1367" t="s">
        <v>3219</v>
      </c>
      <c r="K1367" t="s">
        <v>3219</v>
      </c>
      <c r="L1367">
        <v>0.851773263423874</v>
      </c>
      <c r="M1367">
        <v>49.17</v>
      </c>
      <c r="N1367">
        <v>20.77</v>
      </c>
    </row>
    <row r="1368" spans="1:14">
      <c r="A1368" s="1" t="s">
        <v>1380</v>
      </c>
      <c r="B1368">
        <f>HYPERLINK("https://www.suredividend.com/sure-analysis-HPE/","Hewlett Packard Enterprise Co")</f>
        <v>0</v>
      </c>
      <c r="C1368" t="s">
        <v>3222</v>
      </c>
      <c r="D1368">
        <v>15.38</v>
      </c>
      <c r="E1368">
        <v>0.03120936280884265</v>
      </c>
      <c r="F1368">
        <v>0</v>
      </c>
      <c r="G1368">
        <v>0.1304557777866477</v>
      </c>
      <c r="H1368">
        <v>0.5927618496732211</v>
      </c>
      <c r="I1368">
        <v>19996.087681</v>
      </c>
      <c r="J1368">
        <v>5.379630799354318</v>
      </c>
      <c r="K1368">
        <v>0.2124594443273194</v>
      </c>
      <c r="L1368">
        <v>0.9513429626649291</v>
      </c>
      <c r="M1368">
        <v>17.66</v>
      </c>
      <c r="N1368">
        <v>12.8</v>
      </c>
    </row>
    <row r="1369" spans="1:14">
      <c r="A1369" s="1" t="s">
        <v>1381</v>
      </c>
      <c r="B1369">
        <f>HYPERLINK("https://www.suredividend.com/sure-analysis-research-database/","Hudson Pacific Properties Inc")</f>
        <v>0</v>
      </c>
      <c r="C1369" t="s">
        <v>3224</v>
      </c>
      <c r="D1369">
        <v>25.49</v>
      </c>
      <c r="E1369">
        <v>0.03866955488470501</v>
      </c>
      <c r="F1369">
        <v>0</v>
      </c>
      <c r="G1369">
        <v>0</v>
      </c>
      <c r="H1369">
        <v>0.985686954011135</v>
      </c>
      <c r="I1369">
        <v>3684.813192</v>
      </c>
      <c r="J1369">
        <v>607.6538905540897</v>
      </c>
      <c r="K1369">
        <v>24.7039336844896</v>
      </c>
      <c r="L1369">
        <v>0.9156131725072991</v>
      </c>
      <c r="M1369">
        <v>29.23</v>
      </c>
      <c r="N1369">
        <v>21.77</v>
      </c>
    </row>
    <row r="1370" spans="1:14">
      <c r="A1370" s="1" t="s">
        <v>1382</v>
      </c>
      <c r="B1370">
        <f>HYPERLINK("https://www.suredividend.com/sure-analysis-HPQ/","HP Inc")</f>
        <v>0</v>
      </c>
      <c r="C1370" t="s">
        <v>3222</v>
      </c>
      <c r="D1370">
        <v>37.47</v>
      </c>
      <c r="E1370">
        <v>0.02668801708033093</v>
      </c>
      <c r="F1370">
        <v>0.2899896800825594</v>
      </c>
      <c r="G1370">
        <v>0.1350469268316703</v>
      </c>
      <c r="H1370">
        <v>0.8805246860490371</v>
      </c>
      <c r="I1370">
        <v>39469.616526</v>
      </c>
      <c r="J1370">
        <v>6.052693839288453</v>
      </c>
      <c r="K1370">
        <v>0.1580834265797194</v>
      </c>
      <c r="L1370">
        <v>1.203319020047099</v>
      </c>
      <c r="M1370">
        <v>41.47</v>
      </c>
      <c r="N1370">
        <v>25.75</v>
      </c>
    </row>
    <row r="1371" spans="1:14">
      <c r="A1371" s="1" t="s">
        <v>1383</v>
      </c>
      <c r="B1371">
        <f>HYPERLINK("https://www.suredividend.com/sure-analysis-research-database/","HighPoint Resources Corp")</f>
        <v>0</v>
      </c>
      <c r="C1371" t="s">
        <v>3226</v>
      </c>
      <c r="D1371">
        <v>4.73</v>
      </c>
      <c r="E1371">
        <v>0</v>
      </c>
      <c r="H1371">
        <v>0</v>
      </c>
      <c r="I1371">
        <v>20.282652</v>
      </c>
      <c r="J1371" t="s">
        <v>3219</v>
      </c>
      <c r="K1371">
        <v>-0</v>
      </c>
      <c r="L1371">
        <v>1.895637497269702</v>
      </c>
      <c r="M1371">
        <v>37.5</v>
      </c>
      <c r="N1371">
        <v>2.8</v>
      </c>
    </row>
    <row r="1372" spans="1:14">
      <c r="A1372" s="1" t="s">
        <v>1384</v>
      </c>
      <c r="B1372">
        <f>HYPERLINK("https://www.suredividend.com/sure-analysis-research-database/","Healthequity Inc")</f>
        <v>0</v>
      </c>
      <c r="C1372" t="s">
        <v>3217</v>
      </c>
      <c r="D1372">
        <v>70.01000000000001</v>
      </c>
      <c r="E1372">
        <v>0</v>
      </c>
      <c r="H1372">
        <v>0</v>
      </c>
      <c r="I1372">
        <v>5868.361698</v>
      </c>
      <c r="J1372" t="s">
        <v>3219</v>
      </c>
      <c r="K1372">
        <v>-0</v>
      </c>
      <c r="L1372">
        <v>0.6825706514541861</v>
      </c>
      <c r="M1372">
        <v>84.78</v>
      </c>
      <c r="N1372">
        <v>36.81</v>
      </c>
    </row>
    <row r="1373" spans="1:14">
      <c r="A1373" s="1" t="s">
        <v>1385</v>
      </c>
      <c r="B1373">
        <f>HYPERLINK("https://www.suredividend.com/sure-analysis-HR/","Healthcare Realty Trust, Inc.")</f>
        <v>0</v>
      </c>
      <c r="C1373" t="s">
        <v>3224</v>
      </c>
      <c r="D1373">
        <v>27.52</v>
      </c>
      <c r="E1373">
        <v>0.04505813953488372</v>
      </c>
      <c r="F1373">
        <v>0.02479338842975198</v>
      </c>
      <c r="G1373">
        <v>0.006579515097667965</v>
      </c>
      <c r="H1373">
        <v>1.199649780188531</v>
      </c>
      <c r="I1373">
        <v>4151.806864</v>
      </c>
      <c r="J1373">
        <v>62.28426565054981</v>
      </c>
      <c r="K1373">
        <v>2.568293256665663</v>
      </c>
      <c r="L1373">
        <v>0.4987041751446361</v>
      </c>
      <c r="M1373">
        <v>33.11</v>
      </c>
      <c r="N1373">
        <v>25.61</v>
      </c>
    </row>
    <row r="1374" spans="1:14">
      <c r="A1374" s="1" t="s">
        <v>1386</v>
      </c>
      <c r="B1374">
        <f>HYPERLINK("https://www.suredividend.com/sure-analysis-HRB/","H&amp;R Block Inc.")</f>
        <v>0</v>
      </c>
      <c r="C1374" t="s">
        <v>3223</v>
      </c>
      <c r="D1374">
        <v>26.78</v>
      </c>
      <c r="E1374">
        <v>0.04032860343539955</v>
      </c>
      <c r="F1374">
        <v>0.03846153846153855</v>
      </c>
      <c r="G1374">
        <v>0.02383625553960966</v>
      </c>
      <c r="H1374">
        <v>1.062663579913979</v>
      </c>
      <c r="I1374">
        <v>4406.332648</v>
      </c>
      <c r="J1374">
        <v>11.85377497245268</v>
      </c>
      <c r="K1374">
        <v>0.5158561067543587</v>
      </c>
      <c r="L1374">
        <v>0.686902017078144</v>
      </c>
      <c r="M1374">
        <v>27.33</v>
      </c>
      <c r="N1374">
        <v>20.81</v>
      </c>
    </row>
    <row r="1375" spans="1:14">
      <c r="A1375" s="1" t="s">
        <v>1387</v>
      </c>
      <c r="B1375">
        <f>HYPERLINK("https://www.suredividend.com/sure-analysis-research-database/","Hill-Rom Holdings Inc")</f>
        <v>0</v>
      </c>
      <c r="C1375" t="s">
        <v>3217</v>
      </c>
      <c r="D1375">
        <v>155.96</v>
      </c>
      <c r="E1375">
        <v>0.006010700319219</v>
      </c>
      <c r="H1375">
        <v>0.937428821785482</v>
      </c>
      <c r="I1375">
        <v>10301.22943</v>
      </c>
      <c r="J1375">
        <v>20.72681977802817</v>
      </c>
      <c r="K1375">
        <v>0.1261680783022183</v>
      </c>
      <c r="L1375">
        <v>0.565333202876887</v>
      </c>
      <c r="M1375">
        <v>156.22</v>
      </c>
      <c r="N1375">
        <v>92.79000000000001</v>
      </c>
    </row>
    <row r="1376" spans="1:14">
      <c r="A1376" s="1" t="s">
        <v>1388</v>
      </c>
      <c r="B1376">
        <f>HYPERLINK("https://www.suredividend.com/sure-analysis-research-database/","Herc Holdings Inc")</f>
        <v>0</v>
      </c>
      <c r="C1376" t="s">
        <v>3220</v>
      </c>
      <c r="D1376">
        <v>145.8</v>
      </c>
      <c r="E1376">
        <v>0.007373113772833</v>
      </c>
      <c r="H1376">
        <v>1.074999988079071</v>
      </c>
      <c r="I1376">
        <v>4330.262187</v>
      </c>
      <c r="J1376">
        <v>19.32290132530121</v>
      </c>
      <c r="K1376">
        <v>0.1458615994679879</v>
      </c>
      <c r="L1376">
        <v>1.799233928914895</v>
      </c>
      <c r="M1376">
        <v>203.14</v>
      </c>
      <c r="N1376">
        <v>90.62</v>
      </c>
    </row>
    <row r="1377" spans="1:14">
      <c r="A1377" s="1" t="s">
        <v>1389</v>
      </c>
      <c r="B1377">
        <f>HYPERLINK("https://www.suredividend.com/sure-analysis-HRL/","Hormel Foods Corp.")</f>
        <v>0</v>
      </c>
      <c r="C1377" t="s">
        <v>3225</v>
      </c>
      <c r="D1377">
        <v>53.43</v>
      </c>
      <c r="E1377">
        <v>0.0194647201946472</v>
      </c>
      <c r="F1377">
        <v>0.06122448979591844</v>
      </c>
      <c r="G1377">
        <v>0.08869163325077611</v>
      </c>
      <c r="H1377">
        <v>1.002367566257624</v>
      </c>
      <c r="I1377">
        <v>29119.222302</v>
      </c>
      <c r="J1377">
        <v>31.4419321564969</v>
      </c>
      <c r="K1377">
        <v>0.5931169031110201</v>
      </c>
      <c r="L1377">
        <v>-0.027351247539559</v>
      </c>
      <c r="M1377">
        <v>53.84</v>
      </c>
      <c r="N1377">
        <v>39.84</v>
      </c>
    </row>
    <row r="1378" spans="1:14">
      <c r="A1378" s="1" t="s">
        <v>1390</v>
      </c>
      <c r="B1378">
        <f>HYPERLINK("https://www.suredividend.com/sure-analysis-research-database/","Harrow Health Inc")</f>
        <v>0</v>
      </c>
      <c r="C1378" t="s">
        <v>3217</v>
      </c>
      <c r="D1378">
        <v>7.06</v>
      </c>
      <c r="E1378">
        <v>0</v>
      </c>
      <c r="H1378">
        <v>0</v>
      </c>
      <c r="I1378">
        <v>190.832697</v>
      </c>
      <c r="J1378">
        <v>0</v>
      </c>
      <c r="K1378" t="s">
        <v>3219</v>
      </c>
      <c r="L1378">
        <v>0.4874090033465691</v>
      </c>
      <c r="M1378">
        <v>12.99</v>
      </c>
      <c r="N1378">
        <v>6.58</v>
      </c>
    </row>
    <row r="1379" spans="1:14">
      <c r="A1379" s="1" t="s">
        <v>1391</v>
      </c>
      <c r="B1379">
        <f>HYPERLINK("https://www.suredividend.com/sure-analysis-research-database/","Heritage Insurance Holdings Inc.")</f>
        <v>0</v>
      </c>
      <c r="C1379" t="s">
        <v>3221</v>
      </c>
      <c r="D1379">
        <v>6.21</v>
      </c>
      <c r="E1379">
        <v>0.038099271585533</v>
      </c>
      <c r="F1379">
        <v>0</v>
      </c>
      <c r="G1379">
        <v>0</v>
      </c>
      <c r="H1379">
        <v>0.236596476546164</v>
      </c>
      <c r="I1379">
        <v>166.52382</v>
      </c>
      <c r="J1379">
        <v>0</v>
      </c>
      <c r="K1379" t="s">
        <v>3219</v>
      </c>
      <c r="L1379">
        <v>0.587814379049706</v>
      </c>
      <c r="M1379">
        <v>10.47</v>
      </c>
      <c r="N1379">
        <v>5.25</v>
      </c>
    </row>
    <row r="1380" spans="1:14">
      <c r="A1380" s="1" t="s">
        <v>1392</v>
      </c>
      <c r="B1380">
        <f>HYPERLINK("https://www.suredividend.com/sure-analysis-research-database/","Heron Therapeutics Inc")</f>
        <v>0</v>
      </c>
      <c r="C1380" t="s">
        <v>3217</v>
      </c>
      <c r="D1380">
        <v>5.87</v>
      </c>
      <c r="E1380">
        <v>0</v>
      </c>
      <c r="H1380">
        <v>0</v>
      </c>
      <c r="I1380">
        <v>599.565621</v>
      </c>
      <c r="J1380">
        <v>0</v>
      </c>
      <c r="K1380" t="s">
        <v>3219</v>
      </c>
      <c r="L1380">
        <v>1.286293198788254</v>
      </c>
      <c r="M1380">
        <v>18.99</v>
      </c>
      <c r="N1380">
        <v>4.58</v>
      </c>
    </row>
    <row r="1381" spans="1:14">
      <c r="A1381" s="1" t="s">
        <v>1393</v>
      </c>
      <c r="B1381">
        <f>HYPERLINK("https://www.suredividend.com/sure-analysis-research-database/","Harsco Corp.")</f>
        <v>0</v>
      </c>
      <c r="C1381" t="s">
        <v>3220</v>
      </c>
      <c r="D1381">
        <v>11.33</v>
      </c>
      <c r="E1381">
        <v>0</v>
      </c>
      <c r="H1381">
        <v>0</v>
      </c>
      <c r="I1381">
        <v>897.6237139999999</v>
      </c>
      <c r="J1381" t="s">
        <v>3219</v>
      </c>
      <c r="K1381">
        <v>-0</v>
      </c>
      <c r="L1381">
        <v>0.8406761889765531</v>
      </c>
      <c r="M1381">
        <v>23.73</v>
      </c>
      <c r="N1381">
        <v>10.42</v>
      </c>
    </row>
    <row r="1382" spans="1:14">
      <c r="A1382" s="1" t="s">
        <v>1394</v>
      </c>
      <c r="B1382">
        <f>HYPERLINK("https://www.suredividend.com/sure-analysis-research-database/","Helius Medical Technologies Inc")</f>
        <v>0</v>
      </c>
      <c r="C1382" t="s">
        <v>3217</v>
      </c>
      <c r="D1382">
        <v>3.1101</v>
      </c>
      <c r="E1382">
        <v>0</v>
      </c>
      <c r="H1382">
        <v>0</v>
      </c>
      <c r="I1382">
        <v>11.800556</v>
      </c>
      <c r="J1382">
        <v>0</v>
      </c>
      <c r="K1382" t="s">
        <v>3219</v>
      </c>
      <c r="M1382">
        <v>17.87</v>
      </c>
      <c r="N1382">
        <v>2.8</v>
      </c>
    </row>
    <row r="1383" spans="1:14">
      <c r="A1383" s="1" t="s">
        <v>1395</v>
      </c>
      <c r="B1383">
        <f>HYPERLINK("https://www.suredividend.com/sure-analysis-research-database/","Henry Schein Inc.")</f>
        <v>0</v>
      </c>
      <c r="C1383" t="s">
        <v>3217</v>
      </c>
      <c r="D1383">
        <v>91.36</v>
      </c>
      <c r="E1383">
        <v>0</v>
      </c>
      <c r="H1383">
        <v>0</v>
      </c>
      <c r="I1383">
        <v>12612.055139</v>
      </c>
      <c r="J1383">
        <v>19.98006301809794</v>
      </c>
      <c r="K1383">
        <v>0</v>
      </c>
      <c r="L1383">
        <v>0.6399884588546201</v>
      </c>
      <c r="M1383">
        <v>92.68000000000001</v>
      </c>
      <c r="N1383">
        <v>70.01000000000001</v>
      </c>
    </row>
    <row r="1384" spans="1:14">
      <c r="A1384" s="1" t="s">
        <v>1396</v>
      </c>
      <c r="B1384">
        <f>HYPERLINK("https://www.suredividend.com/sure-analysis-research-database/","Heidrick &amp; Struggles International, Inc.")</f>
        <v>0</v>
      </c>
      <c r="C1384" t="s">
        <v>3220</v>
      </c>
      <c r="D1384">
        <v>39.46</v>
      </c>
      <c r="E1384">
        <v>0.015126212379061</v>
      </c>
      <c r="F1384">
        <v>0</v>
      </c>
      <c r="G1384">
        <v>0.02903366107118788</v>
      </c>
      <c r="H1384">
        <v>0.5968803404777611</v>
      </c>
      <c r="I1384">
        <v>773.081655</v>
      </c>
      <c r="J1384">
        <v>10.65261609739293</v>
      </c>
      <c r="K1384">
        <v>0.1667263520887601</v>
      </c>
      <c r="L1384">
        <v>1.023358327137582</v>
      </c>
      <c r="M1384">
        <v>49.69</v>
      </c>
      <c r="N1384">
        <v>35.4</v>
      </c>
    </row>
    <row r="1385" spans="1:14">
      <c r="A1385" s="1" t="s">
        <v>1397</v>
      </c>
      <c r="B1385">
        <f>HYPERLINK("https://www.suredividend.com/sure-analysis-research-database/","Heska Corp.")</f>
        <v>0</v>
      </c>
      <c r="C1385" t="s">
        <v>3217</v>
      </c>
      <c r="D1385">
        <v>135.94</v>
      </c>
      <c r="E1385">
        <v>0</v>
      </c>
      <c r="H1385">
        <v>0</v>
      </c>
      <c r="I1385">
        <v>1466.290981</v>
      </c>
      <c r="J1385" t="s">
        <v>3219</v>
      </c>
      <c r="K1385">
        <v>-0</v>
      </c>
      <c r="L1385">
        <v>1.014407489180323</v>
      </c>
      <c r="M1385">
        <v>275.94</v>
      </c>
      <c r="N1385">
        <v>119.63</v>
      </c>
    </row>
    <row r="1386" spans="1:14">
      <c r="A1386" s="1" t="s">
        <v>1398</v>
      </c>
      <c r="B1386">
        <f>HYPERLINK("https://www.suredividend.com/sure-analysis-research-database/","Hudson Global Inc")</f>
        <v>0</v>
      </c>
      <c r="C1386" t="s">
        <v>3220</v>
      </c>
      <c r="D1386">
        <v>35.56</v>
      </c>
      <c r="E1386">
        <v>0</v>
      </c>
      <c r="H1386">
        <v>0</v>
      </c>
      <c r="I1386">
        <v>96.681026</v>
      </c>
      <c r="J1386">
        <v>29.96003279826464</v>
      </c>
      <c r="K1386">
        <v>0</v>
      </c>
      <c r="M1386">
        <v>42.09</v>
      </c>
      <c r="N1386">
        <v>15.46</v>
      </c>
    </row>
    <row r="1387" spans="1:14">
      <c r="A1387" s="1" t="s">
        <v>1399</v>
      </c>
      <c r="B1387">
        <f>HYPERLINK("https://www.suredividend.com/sure-analysis-research-database/","Host Hotels &amp; Resorts Inc")</f>
        <v>0</v>
      </c>
      <c r="C1387" t="s">
        <v>3224</v>
      </c>
      <c r="D1387">
        <v>19.58</v>
      </c>
      <c r="E1387">
        <v>0.001532175655232</v>
      </c>
      <c r="H1387">
        <v>0.029999999329447</v>
      </c>
      <c r="I1387">
        <v>13983.05888</v>
      </c>
      <c r="J1387" t="s">
        <v>3219</v>
      </c>
      <c r="K1387" t="s">
        <v>3219</v>
      </c>
      <c r="L1387">
        <v>1.224946577643471</v>
      </c>
      <c r="M1387">
        <v>20.25</v>
      </c>
      <c r="N1387">
        <v>14.65</v>
      </c>
    </row>
    <row r="1388" spans="1:14">
      <c r="A1388" s="1" t="s">
        <v>1400</v>
      </c>
      <c r="B1388">
        <f>HYPERLINK("https://www.suredividend.com/sure-analysis-research-database/","Healthstream Inc")</f>
        <v>0</v>
      </c>
      <c r="C1388" t="s">
        <v>3217</v>
      </c>
      <c r="D1388">
        <v>19.9</v>
      </c>
      <c r="E1388">
        <v>0</v>
      </c>
      <c r="H1388">
        <v>0</v>
      </c>
      <c r="I1388">
        <v>608.0812550000001</v>
      </c>
      <c r="J1388">
        <v>104.0344320444825</v>
      </c>
      <c r="K1388">
        <v>0</v>
      </c>
      <c r="L1388">
        <v>0.729097598660014</v>
      </c>
      <c r="M1388">
        <v>31.11</v>
      </c>
      <c r="N1388">
        <v>18.51</v>
      </c>
    </row>
    <row r="1389" spans="1:14">
      <c r="A1389" s="1" t="s">
        <v>1401</v>
      </c>
      <c r="B1389">
        <f>HYPERLINK("https://www.suredividend.com/sure-analysis-HSY/","Hershey Company")</f>
        <v>0</v>
      </c>
      <c r="C1389" t="s">
        <v>3225</v>
      </c>
      <c r="D1389">
        <v>225.98</v>
      </c>
      <c r="E1389">
        <v>0.01593061332861315</v>
      </c>
      <c r="F1389">
        <v>0.1206467661691542</v>
      </c>
      <c r="G1389">
        <v>0.078319013965505</v>
      </c>
      <c r="H1389">
        <v>3.482886109065687</v>
      </c>
      <c r="I1389">
        <v>47035.92916</v>
      </c>
      <c r="J1389">
        <v>31.83454967540026</v>
      </c>
      <c r="K1389">
        <v>0.4898573993060037</v>
      </c>
      <c r="L1389">
        <v>0.179939725157376</v>
      </c>
      <c r="M1389">
        <v>228.46</v>
      </c>
      <c r="N1389">
        <v>154.94</v>
      </c>
    </row>
    <row r="1390" spans="1:14">
      <c r="A1390" s="1" t="s">
        <v>1402</v>
      </c>
      <c r="B1390">
        <f>HYPERLINK("https://www.suredividend.com/sure-analysis-research-database/","Hersha Hospitality Trust")</f>
        <v>0</v>
      </c>
      <c r="C1390" t="s">
        <v>3224</v>
      </c>
      <c r="D1390">
        <v>9.49</v>
      </c>
      <c r="E1390">
        <v>0</v>
      </c>
      <c r="H1390">
        <v>0</v>
      </c>
      <c r="I1390">
        <v>373.139493</v>
      </c>
      <c r="J1390" t="s">
        <v>3219</v>
      </c>
      <c r="K1390">
        <v>-0</v>
      </c>
      <c r="L1390">
        <v>1.568520567831405</v>
      </c>
      <c r="M1390">
        <v>12.42</v>
      </c>
      <c r="N1390">
        <v>7.92</v>
      </c>
    </row>
    <row r="1391" spans="1:14">
      <c r="A1391" s="1" t="s">
        <v>1403</v>
      </c>
      <c r="B1391">
        <f>HYPERLINK("https://www.suredividend.com/sure-analysis-HTA/","Healthcare Trust of America Inc")</f>
        <v>0</v>
      </c>
      <c r="C1391" t="s">
        <v>3224</v>
      </c>
      <c r="D1391">
        <v>31.33</v>
      </c>
      <c r="E1391">
        <v>0.04181295882540696</v>
      </c>
      <c r="F1391">
        <v>0.015625</v>
      </c>
      <c r="G1391">
        <v>0.01613736474159566</v>
      </c>
      <c r="H1391">
        <v>1.275291660653322</v>
      </c>
      <c r="I1391">
        <v>7175.411806</v>
      </c>
      <c r="J1391">
        <v>73.20653572651403</v>
      </c>
      <c r="K1391">
        <v>2.916952563250965</v>
      </c>
      <c r="L1391">
        <v>0.4969062750170251</v>
      </c>
      <c r="M1391">
        <v>34.13</v>
      </c>
      <c r="N1391">
        <v>25.55</v>
      </c>
    </row>
    <row r="1392" spans="1:14">
      <c r="A1392" s="1" t="s">
        <v>1404</v>
      </c>
      <c r="B1392">
        <f>HYPERLINK("https://www.suredividend.com/sure-analysis-research-database/","HomeTrust Bancshares Inc")</f>
        <v>0</v>
      </c>
      <c r="C1392" t="s">
        <v>3221</v>
      </c>
      <c r="D1392">
        <v>28.86</v>
      </c>
      <c r="E1392">
        <v>0.011731863940354</v>
      </c>
      <c r="H1392">
        <v>0.33858159331862</v>
      </c>
      <c r="I1392">
        <v>468.885621</v>
      </c>
      <c r="J1392">
        <v>0</v>
      </c>
      <c r="K1392" t="s">
        <v>3219</v>
      </c>
      <c r="L1392">
        <v>0.502558672967607</v>
      </c>
      <c r="M1392">
        <v>32.51</v>
      </c>
      <c r="N1392">
        <v>20.59</v>
      </c>
    </row>
    <row r="1393" spans="1:14">
      <c r="A1393" s="1" t="s">
        <v>1405</v>
      </c>
      <c r="B1393">
        <f>HYPERLINK("https://www.suredividend.com/sure-analysis-research-database/","Heritage Commerce Corp.")</f>
        <v>0</v>
      </c>
      <c r="C1393" t="s">
        <v>3221</v>
      </c>
      <c r="D1393">
        <v>11.37</v>
      </c>
      <c r="E1393">
        <v>0.04501378608044</v>
      </c>
      <c r="F1393">
        <v>0</v>
      </c>
      <c r="G1393">
        <v>0.05387395206178347</v>
      </c>
      <c r="H1393">
        <v>0.511806747734607</v>
      </c>
      <c r="I1393">
        <v>686.837209</v>
      </c>
      <c r="J1393">
        <v>14.39910291446541</v>
      </c>
      <c r="K1393">
        <v>0.6511536230720191</v>
      </c>
      <c r="L1393">
        <v>0.8778889263699671</v>
      </c>
      <c r="M1393">
        <v>12.81</v>
      </c>
      <c r="N1393">
        <v>10.22</v>
      </c>
    </row>
    <row r="1394" spans="1:14">
      <c r="A1394" s="1" t="s">
        <v>1406</v>
      </c>
      <c r="B1394">
        <f>HYPERLINK("https://www.suredividend.com/sure-analysis-research-database/","Heat Biologics Inc")</f>
        <v>0</v>
      </c>
      <c r="C1394" t="s">
        <v>3217</v>
      </c>
      <c r="D1394">
        <v>2.8</v>
      </c>
      <c r="E1394">
        <v>0</v>
      </c>
      <c r="H1394">
        <v>0</v>
      </c>
      <c r="I1394">
        <v>71.819507</v>
      </c>
      <c r="J1394">
        <v>0</v>
      </c>
      <c r="K1394" t="s">
        <v>3219</v>
      </c>
      <c r="L1394">
        <v>0.962278650244459</v>
      </c>
      <c r="M1394">
        <v>10.85</v>
      </c>
      <c r="N1394">
        <v>2.07</v>
      </c>
    </row>
    <row r="1395" spans="1:14">
      <c r="A1395" s="1" t="s">
        <v>1407</v>
      </c>
      <c r="B1395">
        <f>HYPERLINK("https://www.suredividend.com/sure-analysis-research-database/","HTG Molecular Diagnostics Inc")</f>
        <v>0</v>
      </c>
      <c r="C1395" t="s">
        <v>3217</v>
      </c>
      <c r="D1395">
        <v>1.09</v>
      </c>
      <c r="E1395">
        <v>0</v>
      </c>
      <c r="H1395">
        <v>0</v>
      </c>
      <c r="I1395">
        <v>8.273899</v>
      </c>
      <c r="J1395">
        <v>0</v>
      </c>
      <c r="K1395" t="s">
        <v>3219</v>
      </c>
      <c r="L1395">
        <v>1.39655833772266</v>
      </c>
      <c r="M1395">
        <v>6.98</v>
      </c>
      <c r="N1395">
        <v>0.9500000000000001</v>
      </c>
    </row>
    <row r="1396" spans="1:14">
      <c r="A1396" s="1" t="s">
        <v>1408</v>
      </c>
      <c r="B1396">
        <f>HYPERLINK("https://www.suredividend.com/sure-analysis-research-database/","Hilltop Holdings Inc")</f>
        <v>0</v>
      </c>
      <c r="C1396" t="s">
        <v>3221</v>
      </c>
      <c r="D1396">
        <v>27.97</v>
      </c>
      <c r="E1396">
        <v>0.018133074413017</v>
      </c>
      <c r="F1396">
        <v>0.25</v>
      </c>
      <c r="G1396">
        <v>0.2011244339814313</v>
      </c>
      <c r="H1396">
        <v>0.507182091332087</v>
      </c>
      <c r="I1396">
        <v>2208.682824</v>
      </c>
      <c r="J1396">
        <v>5.897763184875632</v>
      </c>
      <c r="K1396">
        <v>0.1100178072303876</v>
      </c>
      <c r="L1396">
        <v>0.824622552383909</v>
      </c>
      <c r="M1396">
        <v>38.7</v>
      </c>
      <c r="N1396">
        <v>27.7</v>
      </c>
    </row>
    <row r="1397" spans="1:14">
      <c r="A1397" s="1" t="s">
        <v>1409</v>
      </c>
      <c r="B1397">
        <f>HYPERLINK("https://www.suredividend.com/sure-analysis-research-database/","Heartland Express, Inc.")</f>
        <v>0</v>
      </c>
      <c r="C1397" t="s">
        <v>3220</v>
      </c>
      <c r="D1397">
        <v>13.16</v>
      </c>
      <c r="E1397">
        <v>0.006067394683463001</v>
      </c>
      <c r="F1397">
        <v>0</v>
      </c>
      <c r="G1397">
        <v>0</v>
      </c>
      <c r="H1397">
        <v>0.079846914034382</v>
      </c>
      <c r="I1397">
        <v>1038.713431</v>
      </c>
      <c r="J1397">
        <v>13.10233019312032</v>
      </c>
      <c r="K1397">
        <v>0.08018368551353887</v>
      </c>
      <c r="L1397">
        <v>0.5760140239678251</v>
      </c>
      <c r="M1397">
        <v>19.83</v>
      </c>
      <c r="N1397">
        <v>12.78</v>
      </c>
    </row>
    <row r="1398" spans="1:14">
      <c r="A1398" s="1" t="s">
        <v>1410</v>
      </c>
      <c r="B1398">
        <f>HYPERLINK("https://www.suredividend.com/sure-analysis-research-database/","Heartland Financial USA, Inc.")</f>
        <v>0</v>
      </c>
      <c r="C1398" t="s">
        <v>3221</v>
      </c>
      <c r="D1398">
        <v>46.12</v>
      </c>
      <c r="E1398">
        <v>0.021738341555435</v>
      </c>
      <c r="F1398">
        <v>0.2272727272727273</v>
      </c>
      <c r="G1398">
        <v>0.1967245924901726</v>
      </c>
      <c r="H1398">
        <v>1.002572312536694</v>
      </c>
      <c r="I1398">
        <v>1949.863528</v>
      </c>
      <c r="J1398">
        <v>9.202982577487456</v>
      </c>
      <c r="K1398">
        <v>0.2005144625073388</v>
      </c>
      <c r="L1398">
        <v>0.8498712194729281</v>
      </c>
      <c r="M1398">
        <v>53.7</v>
      </c>
      <c r="N1398">
        <v>42.17</v>
      </c>
    </row>
    <row r="1399" spans="1:14">
      <c r="A1399" s="1" t="s">
        <v>1411</v>
      </c>
      <c r="B1399">
        <f>HYPERLINK("https://www.suredividend.com/sure-analysis-research-database/","Hertz Global Holdings Inc.")</f>
        <v>0</v>
      </c>
      <c r="C1399" t="s">
        <v>3220</v>
      </c>
      <c r="D1399">
        <v>22.33</v>
      </c>
      <c r="E1399">
        <v>0</v>
      </c>
      <c r="H1399">
        <v>0</v>
      </c>
      <c r="I1399">
        <v>9313.726995999999</v>
      </c>
      <c r="J1399" t="s">
        <v>3219</v>
      </c>
      <c r="K1399">
        <v>-0</v>
      </c>
      <c r="M1399">
        <v>28</v>
      </c>
      <c r="N1399">
        <v>15</v>
      </c>
    </row>
    <row r="1400" spans="1:14">
      <c r="A1400" s="1" t="s">
        <v>1412</v>
      </c>
      <c r="B1400">
        <f>HYPERLINK("https://www.suredividend.com/sure-analysis-research-database/","Hubbell Inc.")</f>
        <v>0</v>
      </c>
      <c r="C1400" t="s">
        <v>3220</v>
      </c>
      <c r="D1400">
        <v>185</v>
      </c>
      <c r="E1400">
        <v>0.021770039652978</v>
      </c>
      <c r="F1400">
        <v>0.0714285714285714</v>
      </c>
      <c r="G1400">
        <v>0.08447177119769855</v>
      </c>
      <c r="H1400">
        <v>4.027457335800986</v>
      </c>
      <c r="I1400">
        <v>10026.27443</v>
      </c>
      <c r="J1400">
        <v>25.17266992216922</v>
      </c>
      <c r="K1400">
        <v>0.5532221615111245</v>
      </c>
      <c r="L1400">
        <v>0.9687503042310681</v>
      </c>
      <c r="M1400">
        <v>210.59</v>
      </c>
      <c r="N1400">
        <v>169.74</v>
      </c>
    </row>
    <row r="1401" spans="1:14">
      <c r="A1401" s="1" t="s">
        <v>1413</v>
      </c>
      <c r="B1401">
        <f>HYPERLINK("https://www.suredividend.com/sure-analysis-research-database/","Hub Group, Inc.")</f>
        <v>0</v>
      </c>
      <c r="C1401" t="s">
        <v>3220</v>
      </c>
      <c r="D1401">
        <v>62.33</v>
      </c>
      <c r="E1401">
        <v>0</v>
      </c>
      <c r="H1401">
        <v>0</v>
      </c>
      <c r="I1401">
        <v>2118.272023</v>
      </c>
      <c r="J1401">
        <v>12.35331317301748</v>
      </c>
      <c r="K1401">
        <v>0</v>
      </c>
      <c r="L1401">
        <v>1.067356190799699</v>
      </c>
      <c r="M1401">
        <v>87.20999999999999</v>
      </c>
      <c r="N1401">
        <v>60.81</v>
      </c>
    </row>
    <row r="1402" spans="1:14">
      <c r="A1402" s="1" t="s">
        <v>1414</v>
      </c>
      <c r="B1402">
        <f>HYPERLINK("https://www.suredividend.com/sure-analysis-research-database/","HubSpot Inc")</f>
        <v>0</v>
      </c>
      <c r="C1402" t="s">
        <v>3222</v>
      </c>
      <c r="D1402">
        <v>445.47</v>
      </c>
      <c r="E1402">
        <v>0</v>
      </c>
      <c r="H1402">
        <v>0</v>
      </c>
      <c r="I1402">
        <v>21048.411617</v>
      </c>
      <c r="J1402" t="s">
        <v>3219</v>
      </c>
      <c r="K1402">
        <v>-0</v>
      </c>
      <c r="L1402">
        <v>2.009118735974064</v>
      </c>
      <c r="M1402">
        <v>866</v>
      </c>
      <c r="N1402">
        <v>378.88</v>
      </c>
    </row>
    <row r="1403" spans="1:14">
      <c r="A1403" s="1" t="s">
        <v>1415</v>
      </c>
      <c r="B1403">
        <f>HYPERLINK("https://www.suredividend.com/sure-analysis-research-database/","Humana Inc.")</f>
        <v>0</v>
      </c>
      <c r="C1403" t="s">
        <v>3217</v>
      </c>
      <c r="D1403">
        <v>460.56</v>
      </c>
      <c r="E1403">
        <v>0.006254147979759</v>
      </c>
      <c r="F1403">
        <v>0.125</v>
      </c>
      <c r="G1403">
        <v>0.1450860244617913</v>
      </c>
      <c r="H1403">
        <v>2.880410393557952</v>
      </c>
      <c r="I1403">
        <v>58372.885958</v>
      </c>
      <c r="J1403">
        <v>19.90210908896011</v>
      </c>
      <c r="K1403">
        <v>0.1270582440916609</v>
      </c>
      <c r="L1403">
        <v>0.5162235078820581</v>
      </c>
      <c r="M1403">
        <v>472.29</v>
      </c>
      <c r="N1403">
        <v>350.57</v>
      </c>
    </row>
    <row r="1404" spans="1:14">
      <c r="A1404" s="1" t="s">
        <v>1416</v>
      </c>
      <c r="B1404">
        <f>HYPERLINK("https://www.suredividend.com/sure-analysis-HUN/","Huntsman Corp")</f>
        <v>0</v>
      </c>
      <c r="C1404" t="s">
        <v>3218</v>
      </c>
      <c r="D1404">
        <v>34.04</v>
      </c>
      <c r="E1404">
        <v>0.02497062279670975</v>
      </c>
      <c r="F1404">
        <v>0.3076923076923077</v>
      </c>
      <c r="G1404">
        <v>0.111961585938579</v>
      </c>
      <c r="H1404">
        <v>0.7683988484023651</v>
      </c>
      <c r="I1404">
        <v>7302.470759</v>
      </c>
      <c r="J1404">
        <v>6.988010295425838</v>
      </c>
      <c r="K1404">
        <v>0.1627963661869418</v>
      </c>
      <c r="L1404">
        <v>1.003091902261408</v>
      </c>
      <c r="M1404">
        <v>41.42</v>
      </c>
      <c r="N1404">
        <v>23.66</v>
      </c>
    </row>
    <row r="1405" spans="1:14">
      <c r="A1405" s="1" t="s">
        <v>1417</v>
      </c>
      <c r="B1405">
        <f>HYPERLINK("https://www.suredividend.com/sure-analysis-research-database/","Hurco Companies, Inc.")</f>
        <v>0</v>
      </c>
      <c r="C1405" t="s">
        <v>3220</v>
      </c>
      <c r="D1405">
        <v>29.91</v>
      </c>
      <c r="E1405">
        <v>0.018927631329654</v>
      </c>
      <c r="F1405">
        <v>0.0714285714285714</v>
      </c>
      <c r="G1405">
        <v>0.08447177119769855</v>
      </c>
      <c r="H1405">
        <v>0.5661254530699671</v>
      </c>
      <c r="I1405">
        <v>197.815737</v>
      </c>
      <c r="J1405">
        <v>20.75933855493756</v>
      </c>
      <c r="K1405">
        <v>0.3931426757430327</v>
      </c>
      <c r="L1405">
        <v>0.5081070827959661</v>
      </c>
      <c r="M1405">
        <v>38.11</v>
      </c>
      <c r="N1405">
        <v>27.54</v>
      </c>
    </row>
    <row r="1406" spans="1:14">
      <c r="A1406" s="1" t="s">
        <v>1418</v>
      </c>
      <c r="B1406">
        <f>HYPERLINK("https://www.suredividend.com/sure-analysis-research-database/","Huron Consulting Group Inc")</f>
        <v>0</v>
      </c>
      <c r="C1406" t="s">
        <v>3220</v>
      </c>
      <c r="D1406">
        <v>53.74</v>
      </c>
      <c r="E1406">
        <v>0</v>
      </c>
      <c r="H1406">
        <v>0</v>
      </c>
      <c r="I1406">
        <v>1146.341697</v>
      </c>
      <c r="J1406">
        <v>18.19965544382174</v>
      </c>
      <c r="K1406">
        <v>0</v>
      </c>
      <c r="L1406">
        <v>0.7777453039390391</v>
      </c>
      <c r="M1406">
        <v>59.09</v>
      </c>
      <c r="N1406">
        <v>42.66</v>
      </c>
    </row>
    <row r="1407" spans="1:14">
      <c r="A1407" s="1" t="s">
        <v>1419</v>
      </c>
      <c r="B1407">
        <f>HYPERLINK("https://www.suredividend.com/sure-analysis-research-database/","Houston American Energy Corp")</f>
        <v>0</v>
      </c>
      <c r="C1407" t="s">
        <v>3226</v>
      </c>
      <c r="D1407">
        <v>4.86</v>
      </c>
      <c r="E1407">
        <v>0</v>
      </c>
      <c r="H1407">
        <v>0</v>
      </c>
      <c r="I1407">
        <v>48.251723</v>
      </c>
      <c r="J1407" t="s">
        <v>3219</v>
      </c>
      <c r="K1407">
        <v>-0</v>
      </c>
      <c r="L1407">
        <v>-6.323262989605323</v>
      </c>
      <c r="M1407">
        <v>16.61</v>
      </c>
      <c r="N1407">
        <v>1.07</v>
      </c>
    </row>
    <row r="1408" spans="1:14">
      <c r="A1408" s="1" t="s">
        <v>1420</v>
      </c>
      <c r="B1408">
        <f>HYPERLINK("https://www.suredividend.com/sure-analysis-research-database/","Haverty Furniture Cos., Inc.")</f>
        <v>0</v>
      </c>
      <c r="C1408" t="s">
        <v>3223</v>
      </c>
      <c r="D1408">
        <v>26.99</v>
      </c>
      <c r="E1408">
        <v>0.036609798203152</v>
      </c>
      <c r="F1408">
        <v>0</v>
      </c>
      <c r="G1408">
        <v>0.06790716584560208</v>
      </c>
      <c r="H1408">
        <v>0.9880984535030851</v>
      </c>
      <c r="I1408">
        <v>463.810698</v>
      </c>
      <c r="J1408">
        <v>5.107878568108983</v>
      </c>
      <c r="K1408">
        <v>0.2016527456128745</v>
      </c>
      <c r="L1408">
        <v>1.070159718540985</v>
      </c>
      <c r="M1408">
        <v>51.63</v>
      </c>
      <c r="N1408">
        <v>25.55</v>
      </c>
    </row>
    <row r="1409" spans="1:14">
      <c r="A1409" s="1" t="s">
        <v>1421</v>
      </c>
      <c r="B1409">
        <f>HYPERLINK("https://www.suredividend.com/sure-analysis-research-database/","Hawthorn Bancshares Inc")</f>
        <v>0</v>
      </c>
      <c r="C1409" t="s">
        <v>3221</v>
      </c>
      <c r="D1409">
        <v>26.88</v>
      </c>
      <c r="E1409">
        <v>0.02211898381347</v>
      </c>
      <c r="F1409">
        <v>0.1538461538461537</v>
      </c>
      <c r="G1409">
        <v>0.1646586157796568</v>
      </c>
      <c r="H1409">
        <v>0.5945582849060861</v>
      </c>
      <c r="I1409">
        <v>177.323946</v>
      </c>
      <c r="J1409">
        <v>7.875114191055646</v>
      </c>
      <c r="K1409">
        <v>0.1748700837959077</v>
      </c>
      <c r="M1409">
        <v>27.3</v>
      </c>
      <c r="N1409">
        <v>19.69</v>
      </c>
    </row>
    <row r="1410" spans="1:14">
      <c r="A1410" s="1" t="s">
        <v>1422</v>
      </c>
      <c r="B1410">
        <f>HYPERLINK("https://www.suredividend.com/sure-analysis-research-database/","Hancock Whitney Corp.")</f>
        <v>0</v>
      </c>
      <c r="C1410" t="s">
        <v>3221</v>
      </c>
      <c r="D1410">
        <v>48.46</v>
      </c>
      <c r="E1410">
        <v>0.022111716956694</v>
      </c>
      <c r="F1410">
        <v>0</v>
      </c>
      <c r="G1410">
        <v>0.02383625553960966</v>
      </c>
      <c r="H1410">
        <v>1.071533803721407</v>
      </c>
      <c r="I1410">
        <v>4198.263917</v>
      </c>
      <c r="J1410">
        <v>9.245627799401428</v>
      </c>
      <c r="K1410">
        <v>0.2052746750424151</v>
      </c>
      <c r="L1410">
        <v>1.209901600172246</v>
      </c>
      <c r="M1410">
        <v>59.53</v>
      </c>
      <c r="N1410">
        <v>38.44</v>
      </c>
    </row>
    <row r="1411" spans="1:14">
      <c r="A1411" s="1" t="s">
        <v>1423</v>
      </c>
      <c r="B1411">
        <f>HYPERLINK("https://www.suredividend.com/sure-analysis-research-database/","Houston Wire &amp; Cable Company")</f>
        <v>0</v>
      </c>
      <c r="C1411" t="s">
        <v>3220</v>
      </c>
      <c r="D1411">
        <v>5.3</v>
      </c>
      <c r="E1411">
        <v>0</v>
      </c>
      <c r="H1411">
        <v>0</v>
      </c>
      <c r="I1411">
        <v>0</v>
      </c>
      <c r="J1411">
        <v>0</v>
      </c>
      <c r="K1411">
        <v>-0</v>
      </c>
    </row>
    <row r="1412" spans="1:14">
      <c r="A1412" s="1" t="s">
        <v>1424</v>
      </c>
      <c r="B1412">
        <f>HYPERLINK("https://www.suredividend.com/sure-analysis-research-database/","Hawkins Inc")</f>
        <v>0</v>
      </c>
      <c r="C1412" t="s">
        <v>3218</v>
      </c>
      <c r="D1412">
        <v>41.56</v>
      </c>
      <c r="E1412">
        <v>0.01251039320167</v>
      </c>
      <c r="H1412">
        <v>0.5199319414614291</v>
      </c>
      <c r="I1412">
        <v>877.599953</v>
      </c>
      <c r="J1412">
        <v>17.53586606162331</v>
      </c>
      <c r="K1412">
        <v>0.2203101446870462</v>
      </c>
      <c r="L1412">
        <v>0.701777499307343</v>
      </c>
      <c r="M1412">
        <v>48.12</v>
      </c>
      <c r="N1412">
        <v>29.62</v>
      </c>
    </row>
    <row r="1413" spans="1:14">
      <c r="A1413" s="1" t="s">
        <v>1425</v>
      </c>
      <c r="B1413">
        <f>HYPERLINK("https://www.suredividend.com/sure-analysis-research-database/","Hexcel Corp.")</f>
        <v>0</v>
      </c>
      <c r="C1413" t="s">
        <v>3220</v>
      </c>
      <c r="D1413">
        <v>56.22</v>
      </c>
      <c r="E1413">
        <v>0.001778726458379</v>
      </c>
      <c r="H1413">
        <v>0.100000001490116</v>
      </c>
      <c r="I1413">
        <v>4724.486323</v>
      </c>
      <c r="J1413">
        <v>293.4463554745341</v>
      </c>
      <c r="K1413">
        <v>0.5254860824493747</v>
      </c>
      <c r="L1413">
        <v>1.375513999929917</v>
      </c>
      <c r="M1413">
        <v>64.87</v>
      </c>
      <c r="N1413">
        <v>46.68</v>
      </c>
    </row>
    <row r="1414" spans="1:14">
      <c r="A1414" s="1" t="s">
        <v>1426</v>
      </c>
      <c r="B1414">
        <f>HYPERLINK("https://www.suredividend.com/sure-analysis-research-database/","Hyster-Yale Materials Handling Inc")</f>
        <v>0</v>
      </c>
      <c r="C1414" t="s">
        <v>3220</v>
      </c>
      <c r="D1414">
        <v>32.4</v>
      </c>
      <c r="E1414">
        <v>0.03933605507658201</v>
      </c>
      <c r="F1414">
        <v>0.01574803149606296</v>
      </c>
      <c r="G1414">
        <v>0.01288669872745452</v>
      </c>
      <c r="H1414">
        <v>1.274488184481272</v>
      </c>
      <c r="I1414">
        <v>424.560172</v>
      </c>
      <c r="J1414">
        <v>0</v>
      </c>
      <c r="K1414" t="s">
        <v>3219</v>
      </c>
      <c r="L1414">
        <v>1.277299155526391</v>
      </c>
      <c r="M1414">
        <v>84.02</v>
      </c>
      <c r="N1414">
        <v>31.19</v>
      </c>
    </row>
    <row r="1415" spans="1:14">
      <c r="A1415" s="1" t="s">
        <v>1427</v>
      </c>
      <c r="B1415">
        <f>HYPERLINK("https://www.suredividend.com/sure-analysis-research-database/","Horizon Global Corp")</f>
        <v>0</v>
      </c>
      <c r="C1415" t="s">
        <v>3223</v>
      </c>
      <c r="D1415">
        <v>5.2</v>
      </c>
      <c r="E1415">
        <v>0</v>
      </c>
      <c r="H1415">
        <v>0</v>
      </c>
      <c r="I1415">
        <v>142.389166</v>
      </c>
      <c r="J1415">
        <v>0</v>
      </c>
      <c r="K1415" t="s">
        <v>3219</v>
      </c>
      <c r="L1415">
        <v>1.003139843273532</v>
      </c>
      <c r="M1415">
        <v>10.14</v>
      </c>
      <c r="N1415">
        <v>4.2</v>
      </c>
    </row>
    <row r="1416" spans="1:14">
      <c r="A1416" s="1" t="s">
        <v>1428</v>
      </c>
      <c r="B1416">
        <f>HYPERLINK("https://www.suredividend.com/sure-analysis-research-database/","Horizon Therapeutics Plc")</f>
        <v>0</v>
      </c>
      <c r="C1416" t="s">
        <v>3217</v>
      </c>
      <c r="D1416">
        <v>116.36</v>
      </c>
      <c r="E1416">
        <v>0</v>
      </c>
      <c r="H1416">
        <v>0</v>
      </c>
      <c r="I1416">
        <v>26665.902257</v>
      </c>
      <c r="J1416">
        <v>49.89027365706813</v>
      </c>
      <c r="K1416">
        <v>0</v>
      </c>
      <c r="L1416">
        <v>0.585937987613485</v>
      </c>
      <c r="M1416">
        <v>120.54</v>
      </c>
      <c r="N1416">
        <v>83.42</v>
      </c>
    </row>
    <row r="1417" spans="1:14">
      <c r="A1417" s="1" t="s">
        <v>1429</v>
      </c>
      <c r="B1417">
        <f>HYPERLINK("https://www.suredividend.com/sure-analysis-research-database/","Marinemax, Inc.")</f>
        <v>0</v>
      </c>
      <c r="C1417" t="s">
        <v>3223</v>
      </c>
      <c r="D1417">
        <v>40.22</v>
      </c>
      <c r="E1417">
        <v>0</v>
      </c>
      <c r="H1417">
        <v>0</v>
      </c>
      <c r="I1417">
        <v>881.58958</v>
      </c>
      <c r="J1417">
        <v>5.268820480749692</v>
      </c>
      <c r="K1417">
        <v>0</v>
      </c>
      <c r="L1417">
        <v>1.719276252470541</v>
      </c>
      <c r="M1417">
        <v>70.89</v>
      </c>
      <c r="N1417">
        <v>37.27</v>
      </c>
    </row>
    <row r="1418" spans="1:14">
      <c r="A1418" s="1" t="s">
        <v>1430</v>
      </c>
      <c r="B1418">
        <f>HYPERLINK("https://www.suredividend.com/sure-analysis-research-database/","IAA Inc")</f>
        <v>0</v>
      </c>
      <c r="C1418" t="s">
        <v>3220</v>
      </c>
      <c r="D1418">
        <v>36.78</v>
      </c>
      <c r="E1418">
        <v>0</v>
      </c>
      <c r="H1418">
        <v>0</v>
      </c>
      <c r="I1418">
        <v>4942.700124</v>
      </c>
      <c r="J1418">
        <v>16.78906292262228</v>
      </c>
      <c r="K1418">
        <v>0</v>
      </c>
      <c r="L1418">
        <v>1.549958792059335</v>
      </c>
      <c r="M1418">
        <v>64.55</v>
      </c>
      <c r="N1418">
        <v>31.32</v>
      </c>
    </row>
    <row r="1419" spans="1:14">
      <c r="A1419" s="1" t="s">
        <v>1431</v>
      </c>
      <c r="B1419">
        <f>HYPERLINK("https://www.suredividend.com/sure-analysis-research-database/","IAC InterActiveCorp.")</f>
        <v>0</v>
      </c>
      <c r="C1419" t="s">
        <v>3228</v>
      </c>
      <c r="D1419">
        <v>95.95</v>
      </c>
      <c r="E1419">
        <v>0</v>
      </c>
      <c r="H1419">
        <v>0</v>
      </c>
      <c r="I1419">
        <v>8038.445464</v>
      </c>
      <c r="J1419">
        <v>13.88246234076983</v>
      </c>
      <c r="K1419">
        <v>0</v>
      </c>
      <c r="M1419">
        <v>179.12</v>
      </c>
      <c r="N1419">
        <v>93.59999999999999</v>
      </c>
    </row>
    <row r="1420" spans="1:14">
      <c r="A1420" s="1" t="s">
        <v>1432</v>
      </c>
      <c r="B1420">
        <f>HYPERLINK("https://www.suredividend.com/sure-analysis-research-database/","Integra Lifesciences Holdings Corp")</f>
        <v>0</v>
      </c>
      <c r="C1420" t="s">
        <v>3217</v>
      </c>
      <c r="D1420">
        <v>62.68</v>
      </c>
      <c r="E1420">
        <v>0</v>
      </c>
      <c r="H1420">
        <v>0</v>
      </c>
      <c r="I1420">
        <v>5210.785967</v>
      </c>
      <c r="J1420">
        <v>30.81937582351028</v>
      </c>
      <c r="K1420">
        <v>0</v>
      </c>
      <c r="L1420">
        <v>0.7918198809935371</v>
      </c>
      <c r="M1420">
        <v>77.40000000000001</v>
      </c>
      <c r="N1420">
        <v>61.5</v>
      </c>
    </row>
    <row r="1421" spans="1:14">
      <c r="A1421" s="1" t="s">
        <v>1433</v>
      </c>
      <c r="B1421">
        <f>HYPERLINK("https://www.suredividend.com/sure-analysis-research-database/","Independent Bank Corporation (Ionia, MI)")</f>
        <v>0</v>
      </c>
      <c r="C1421" t="s">
        <v>3221</v>
      </c>
      <c r="D1421">
        <v>21.14</v>
      </c>
      <c r="E1421">
        <v>0.039665297879545</v>
      </c>
      <c r="H1421">
        <v>0.8385243971736001</v>
      </c>
      <c r="I1421">
        <v>449.795759</v>
      </c>
      <c r="J1421">
        <v>0</v>
      </c>
      <c r="K1421" t="s">
        <v>3219</v>
      </c>
      <c r="L1421">
        <v>0.700779998941327</v>
      </c>
      <c r="M1421">
        <v>25.76</v>
      </c>
      <c r="N1421">
        <v>19.06</v>
      </c>
    </row>
    <row r="1422" spans="1:14">
      <c r="A1422" s="1" t="s">
        <v>1434</v>
      </c>
      <c r="B1422">
        <f>HYPERLINK("https://www.suredividend.com/sure-analysis-research-database/","iBio Inc")</f>
        <v>0</v>
      </c>
      <c r="C1422" t="s">
        <v>3217</v>
      </c>
      <c r="D1422">
        <v>0.3675</v>
      </c>
      <c r="E1422">
        <v>0</v>
      </c>
      <c r="H1422">
        <v>0</v>
      </c>
      <c r="I1422">
        <v>80.09941600000001</v>
      </c>
      <c r="J1422">
        <v>0</v>
      </c>
      <c r="K1422" t="s">
        <v>3219</v>
      </c>
      <c r="L1422">
        <v>1.588644002401758</v>
      </c>
      <c r="M1422">
        <v>1.95</v>
      </c>
      <c r="N1422">
        <v>0.275</v>
      </c>
    </row>
    <row r="1423" spans="1:14">
      <c r="A1423" s="1" t="s">
        <v>1435</v>
      </c>
      <c r="B1423">
        <f>HYPERLINK("https://www.suredividend.com/sure-analysis-research-database/","Interactive Brokers Group Inc")</f>
        <v>0</v>
      </c>
      <c r="C1423" t="s">
        <v>3221</v>
      </c>
      <c r="D1423">
        <v>65.29000000000001</v>
      </c>
      <c r="E1423">
        <v>0.006113377256127</v>
      </c>
      <c r="H1423">
        <v>0.399142401052588</v>
      </c>
      <c r="I1423">
        <v>6416.711908</v>
      </c>
      <c r="J1423">
        <v>20.83348021935065</v>
      </c>
      <c r="K1423">
        <v>0.1231920990903049</v>
      </c>
      <c r="L1423">
        <v>1.194606313272417</v>
      </c>
      <c r="M1423">
        <v>82.70999999999999</v>
      </c>
      <c r="N1423">
        <v>56.95</v>
      </c>
    </row>
    <row r="1424" spans="1:14">
      <c r="A1424" s="1" t="s">
        <v>1436</v>
      </c>
      <c r="B1424">
        <f>HYPERLINK("https://www.suredividend.com/sure-analysis-IBM/","International Business Machines Corp.")</f>
        <v>0</v>
      </c>
      <c r="C1424" t="s">
        <v>3222</v>
      </c>
      <c r="D1424">
        <v>126.56</v>
      </c>
      <c r="E1424">
        <v>0.05238621997471555</v>
      </c>
      <c r="F1424">
        <v>0.006134969325153561</v>
      </c>
      <c r="G1424">
        <v>0.01800642219262572</v>
      </c>
      <c r="H1424">
        <v>6.440561527479105</v>
      </c>
      <c r="I1424">
        <v>113816.671828</v>
      </c>
      <c r="J1424">
        <v>19.81833045936967</v>
      </c>
      <c r="K1424">
        <v>1.014261657870725</v>
      </c>
      <c r="L1424">
        <v>0.449153395565363</v>
      </c>
      <c r="M1424">
        <v>147.34</v>
      </c>
      <c r="N1424">
        <v>113.2</v>
      </c>
    </row>
    <row r="1425" spans="1:14">
      <c r="A1425" s="1" t="s">
        <v>1437</v>
      </c>
      <c r="B1425">
        <f>HYPERLINK("https://www.suredividend.com/sure-analysis-research-database/","International Bancshares Corp.")</f>
        <v>0</v>
      </c>
      <c r="C1425" t="s">
        <v>3221</v>
      </c>
      <c r="D1425">
        <v>40.39</v>
      </c>
      <c r="E1425">
        <v>0.02950299785667</v>
      </c>
      <c r="H1425">
        <v>1.191626083430925</v>
      </c>
      <c r="I1425">
        <v>2559.758296</v>
      </c>
      <c r="J1425">
        <v>10.08088427150858</v>
      </c>
      <c r="K1425">
        <v>0.2979065208577313</v>
      </c>
      <c r="L1425">
        <v>0.8977284212864781</v>
      </c>
      <c r="M1425">
        <v>48.98</v>
      </c>
      <c r="N1425">
        <v>36.66</v>
      </c>
    </row>
    <row r="1426" spans="1:14">
      <c r="A1426" s="1" t="s">
        <v>1438</v>
      </c>
      <c r="B1426">
        <f>HYPERLINK("https://www.suredividend.com/sure-analysis-research-database/","Installed Building Products Inc")</f>
        <v>0</v>
      </c>
      <c r="C1426" t="s">
        <v>3220</v>
      </c>
      <c r="D1426">
        <v>80.45</v>
      </c>
      <c r="E1426">
        <v>0.026228752983989</v>
      </c>
      <c r="H1426">
        <v>2.110103177561915</v>
      </c>
      <c r="I1426">
        <v>2355.221376</v>
      </c>
      <c r="J1426">
        <v>19.83127216725748</v>
      </c>
      <c r="K1426">
        <v>0.526210268718682</v>
      </c>
      <c r="L1426">
        <v>1.319079912069324</v>
      </c>
      <c r="M1426">
        <v>140.98</v>
      </c>
      <c r="N1426">
        <v>75.95</v>
      </c>
    </row>
    <row r="1427" spans="1:14">
      <c r="A1427" s="1" t="s">
        <v>1439</v>
      </c>
      <c r="B1427">
        <f>HYPERLINK("https://www.suredividend.com/sure-analysis-research-database/","Independent Bank Group Inc")</f>
        <v>0</v>
      </c>
      <c r="C1427" t="s">
        <v>3221</v>
      </c>
      <c r="D1427">
        <v>70</v>
      </c>
      <c r="E1427">
        <v>0.019862199756479</v>
      </c>
      <c r="F1427">
        <v>0.2666666666666664</v>
      </c>
      <c r="G1427">
        <v>0.3060407249698005</v>
      </c>
      <c r="H1427">
        <v>1.390353982953551</v>
      </c>
      <c r="I1427">
        <v>3005.5522</v>
      </c>
      <c r="J1427">
        <v>13.49960564139418</v>
      </c>
      <c r="K1427">
        <v>0.2668625687050962</v>
      </c>
      <c r="L1427">
        <v>0.8823730411969071</v>
      </c>
      <c r="M1427">
        <v>79.28</v>
      </c>
      <c r="N1427">
        <v>62.21</v>
      </c>
    </row>
    <row r="1428" spans="1:14">
      <c r="A1428" s="1" t="s">
        <v>1440</v>
      </c>
      <c r="B1428">
        <f>HYPERLINK("https://www.suredividend.com/sure-analysis-research-database/","Icad Inc")</f>
        <v>0</v>
      </c>
      <c r="C1428" t="s">
        <v>3217</v>
      </c>
      <c r="D1428">
        <v>3.6</v>
      </c>
      <c r="E1428">
        <v>0</v>
      </c>
      <c r="H1428">
        <v>0</v>
      </c>
      <c r="I1428">
        <v>90.620968</v>
      </c>
      <c r="J1428" t="s">
        <v>3219</v>
      </c>
      <c r="K1428">
        <v>-0</v>
      </c>
      <c r="L1428">
        <v>1.473180652495099</v>
      </c>
      <c r="M1428">
        <v>19</v>
      </c>
      <c r="N1428">
        <v>3.55</v>
      </c>
    </row>
    <row r="1429" spans="1:14">
      <c r="A1429" s="1" t="s">
        <v>1441</v>
      </c>
      <c r="B1429">
        <f>HYPERLINK("https://www.suredividend.com/sure-analysis-research-database/","County Bancorp Inc")</f>
        <v>0</v>
      </c>
      <c r="C1429" t="s">
        <v>3221</v>
      </c>
      <c r="D1429">
        <v>35.25</v>
      </c>
      <c r="E1429">
        <v>0</v>
      </c>
      <c r="H1429">
        <v>0.400000005960464</v>
      </c>
      <c r="I1429">
        <v>0</v>
      </c>
      <c r="J1429">
        <v>0</v>
      </c>
      <c r="K1429" t="s">
        <v>3219</v>
      </c>
    </row>
    <row r="1430" spans="1:14">
      <c r="A1430" s="1" t="s">
        <v>1442</v>
      </c>
      <c r="B1430">
        <f>HYPERLINK("https://www.suredividend.com/sure-analysis-research-database/","Immucell Corp.")</f>
        <v>0</v>
      </c>
      <c r="C1430" t="s">
        <v>3217</v>
      </c>
      <c r="D1430">
        <v>8.949999999999999</v>
      </c>
      <c r="E1430">
        <v>0</v>
      </c>
      <c r="H1430">
        <v>0</v>
      </c>
      <c r="I1430">
        <v>69.298633</v>
      </c>
      <c r="J1430" t="s">
        <v>3219</v>
      </c>
      <c r="K1430">
        <v>-0</v>
      </c>
      <c r="L1430">
        <v>-0.169258330282405</v>
      </c>
      <c r="M1430">
        <v>11.06</v>
      </c>
      <c r="N1430">
        <v>7.3</v>
      </c>
    </row>
    <row r="1431" spans="1:14">
      <c r="A1431" s="1" t="s">
        <v>1443</v>
      </c>
      <c r="B1431">
        <f>HYPERLINK("https://www.suredividend.com/sure-analysis-research-database/","Independence Contract Drilling Inc")</f>
        <v>0</v>
      </c>
      <c r="C1431" t="s">
        <v>3226</v>
      </c>
      <c r="D1431">
        <v>4.6</v>
      </c>
      <c r="E1431">
        <v>0</v>
      </c>
      <c r="H1431">
        <v>0</v>
      </c>
      <c r="I1431">
        <v>62.638223</v>
      </c>
      <c r="J1431">
        <v>0</v>
      </c>
      <c r="K1431" t="s">
        <v>3219</v>
      </c>
      <c r="L1431">
        <v>0.387471841677587</v>
      </c>
      <c r="M1431">
        <v>7.4</v>
      </c>
      <c r="N1431">
        <v>2.42</v>
      </c>
    </row>
    <row r="1432" spans="1:14">
      <c r="A1432" s="1" t="s">
        <v>1444</v>
      </c>
      <c r="B1432">
        <f>HYPERLINK("https://www.suredividend.com/sure-analysis-ICE/","Intercontinental Exchange Inc")</f>
        <v>0</v>
      </c>
      <c r="C1432" t="s">
        <v>3221</v>
      </c>
      <c r="D1432">
        <v>124.53</v>
      </c>
      <c r="E1432">
        <v>0.0122058941620493</v>
      </c>
      <c r="F1432">
        <v>0.1515151515151514</v>
      </c>
      <c r="G1432">
        <v>0.1369744888101381</v>
      </c>
      <c r="H1432">
        <v>1.364596565687902</v>
      </c>
      <c r="I1432">
        <v>69791.08474400001</v>
      </c>
      <c r="J1432">
        <v>17.19839446624199</v>
      </c>
      <c r="K1432">
        <v>0.1900552319899585</v>
      </c>
      <c r="L1432">
        <v>0.7134947621866241</v>
      </c>
      <c r="M1432">
        <v>139.04</v>
      </c>
      <c r="N1432">
        <v>107.84</v>
      </c>
    </row>
    <row r="1433" spans="1:14">
      <c r="A1433" s="1" t="s">
        <v>1445</v>
      </c>
      <c r="B1433">
        <f>HYPERLINK("https://www.suredividend.com/sure-analysis-research-database/","ICF International, Inc")</f>
        <v>0</v>
      </c>
      <c r="C1433" t="s">
        <v>3220</v>
      </c>
      <c r="D1433">
        <v>99.20999999999999</v>
      </c>
      <c r="E1433">
        <v>0.005632209541954001</v>
      </c>
      <c r="H1433">
        <v>0.558771508657347</v>
      </c>
      <c r="I1433">
        <v>1861.840041</v>
      </c>
      <c r="J1433">
        <v>26.17443683532025</v>
      </c>
      <c r="K1433">
        <v>0.1502073948003621</v>
      </c>
      <c r="L1433">
        <v>0.7524325421415551</v>
      </c>
      <c r="M1433">
        <v>107.92</v>
      </c>
      <c r="N1433">
        <v>84.55</v>
      </c>
    </row>
    <row r="1434" spans="1:14">
      <c r="A1434" s="1" t="s">
        <v>1446</v>
      </c>
      <c r="B1434">
        <f>HYPERLINK("https://www.suredividend.com/sure-analysis-research-database/","Ichor Holdings Ltd")</f>
        <v>0</v>
      </c>
      <c r="C1434" t="s">
        <v>3222</v>
      </c>
      <c r="D1434">
        <v>29.21</v>
      </c>
      <c r="E1434">
        <v>0</v>
      </c>
      <c r="H1434">
        <v>0</v>
      </c>
      <c r="I1434">
        <v>836.104323</v>
      </c>
      <c r="J1434">
        <v>11.79289303756048</v>
      </c>
      <c r="K1434">
        <v>0</v>
      </c>
      <c r="L1434">
        <v>2.198110152221935</v>
      </c>
      <c r="M1434">
        <v>61.36</v>
      </c>
      <c r="N1434">
        <v>29.21</v>
      </c>
    </row>
    <row r="1435" spans="1:14">
      <c r="A1435" s="1" t="s">
        <v>1447</v>
      </c>
      <c r="B1435">
        <f>HYPERLINK("https://www.suredividend.com/sure-analysis-research-database/","Iconix Brand Group, Inc.")</f>
        <v>0</v>
      </c>
      <c r="C1435" t="s">
        <v>3223</v>
      </c>
      <c r="D1435">
        <v>3.15</v>
      </c>
      <c r="E1435">
        <v>0</v>
      </c>
      <c r="H1435">
        <v>0</v>
      </c>
      <c r="I1435">
        <v>0</v>
      </c>
      <c r="J1435">
        <v>0</v>
      </c>
      <c r="K1435">
        <v>0</v>
      </c>
    </row>
    <row r="1436" spans="1:14">
      <c r="A1436" s="1" t="s">
        <v>1448</v>
      </c>
      <c r="B1436">
        <f>HYPERLINK("https://www.suredividend.com/sure-analysis-research-database/","Intercept Pharmaceuticals Inc")</f>
        <v>0</v>
      </c>
      <c r="C1436" t="s">
        <v>3217</v>
      </c>
      <c r="D1436">
        <v>16.47</v>
      </c>
      <c r="E1436">
        <v>0</v>
      </c>
      <c r="H1436">
        <v>0</v>
      </c>
      <c r="I1436">
        <v>489.03699</v>
      </c>
      <c r="J1436" t="s">
        <v>3219</v>
      </c>
      <c r="K1436">
        <v>-0</v>
      </c>
      <c r="L1436">
        <v>1.338549681462859</v>
      </c>
      <c r="M1436">
        <v>22.36</v>
      </c>
      <c r="N1436">
        <v>11.6</v>
      </c>
    </row>
    <row r="1437" spans="1:14">
      <c r="A1437" s="1" t="s">
        <v>1449</v>
      </c>
      <c r="B1437">
        <f>HYPERLINK("https://www.suredividend.com/sure-analysis-research-database/","ICU Medical, Inc.")</f>
        <v>0</v>
      </c>
      <c r="C1437" t="s">
        <v>3217</v>
      </c>
      <c r="D1437">
        <v>223.54</v>
      </c>
      <c r="E1437">
        <v>0</v>
      </c>
      <c r="H1437">
        <v>0</v>
      </c>
      <c r="I1437">
        <v>5338.786819</v>
      </c>
      <c r="J1437">
        <v>51.76503436369806</v>
      </c>
      <c r="K1437">
        <v>0</v>
      </c>
      <c r="L1437">
        <v>0.6842245702769351</v>
      </c>
      <c r="M1437">
        <v>282</v>
      </c>
      <c r="N1437">
        <v>183.39</v>
      </c>
    </row>
    <row r="1438" spans="1:14">
      <c r="A1438" s="1" t="s">
        <v>1450</v>
      </c>
      <c r="B1438">
        <f>HYPERLINK("https://www.suredividend.com/sure-analysis-research-database/","Idacorp, Inc.")</f>
        <v>0</v>
      </c>
      <c r="C1438" t="s">
        <v>3227</v>
      </c>
      <c r="D1438">
        <v>114.07</v>
      </c>
      <c r="E1438">
        <v>0.025337801119269</v>
      </c>
      <c r="F1438">
        <v>0.05633802816901423</v>
      </c>
      <c r="G1438">
        <v>0.06399531281508364</v>
      </c>
      <c r="H1438">
        <v>2.890282973675073</v>
      </c>
      <c r="I1438">
        <v>5767.273571</v>
      </c>
      <c r="J1438">
        <v>23.48716583661169</v>
      </c>
      <c r="K1438">
        <v>0.5959346337474378</v>
      </c>
      <c r="L1438">
        <v>0.243602791564164</v>
      </c>
      <c r="M1438">
        <v>118.92</v>
      </c>
      <c r="N1438">
        <v>93.93000000000001</v>
      </c>
    </row>
    <row r="1439" spans="1:14">
      <c r="A1439" s="1" t="s">
        <v>1451</v>
      </c>
      <c r="B1439">
        <f>HYPERLINK("https://www.suredividend.com/sure-analysis-research-database/","Interdigital Inc")</f>
        <v>0</v>
      </c>
      <c r="C1439" t="s">
        <v>3228</v>
      </c>
      <c r="D1439">
        <v>60.91</v>
      </c>
      <c r="E1439">
        <v>0.022797870455647</v>
      </c>
      <c r="F1439">
        <v>0</v>
      </c>
      <c r="G1439">
        <v>0.03131030647754507</v>
      </c>
      <c r="H1439">
        <v>1.388618289453508</v>
      </c>
      <c r="I1439">
        <v>1869.329057</v>
      </c>
      <c r="J1439">
        <v>33.80647540084998</v>
      </c>
      <c r="K1439">
        <v>0.7845301070358802</v>
      </c>
      <c r="L1439">
        <v>1.033165559350381</v>
      </c>
      <c r="M1439">
        <v>83.97</v>
      </c>
      <c r="N1439">
        <v>59.37</v>
      </c>
    </row>
    <row r="1440" spans="1:14">
      <c r="A1440" s="1" t="s">
        <v>1452</v>
      </c>
      <c r="B1440">
        <f>HYPERLINK("https://www.suredividend.com/sure-analysis-research-database/","Intellicheck Inc")</f>
        <v>0</v>
      </c>
      <c r="C1440" t="s">
        <v>3222</v>
      </c>
      <c r="D1440">
        <v>2.17</v>
      </c>
      <c r="E1440">
        <v>0</v>
      </c>
      <c r="H1440">
        <v>0</v>
      </c>
      <c r="I1440">
        <v>40.725722</v>
      </c>
      <c r="J1440">
        <v>0</v>
      </c>
      <c r="K1440" t="s">
        <v>3219</v>
      </c>
      <c r="L1440">
        <v>1.705041493850322</v>
      </c>
      <c r="M1440">
        <v>10.66</v>
      </c>
      <c r="N1440">
        <v>2.16</v>
      </c>
    </row>
    <row r="1441" spans="1:14">
      <c r="A1441" s="1" t="s">
        <v>1453</v>
      </c>
      <c r="B1441">
        <f>HYPERLINK("https://www.suredividend.com/sure-analysis-research-database/","Idera Pharmaceuticals, Inc.")</f>
        <v>0</v>
      </c>
      <c r="C1441" t="s">
        <v>3217</v>
      </c>
      <c r="D1441">
        <v>0.46</v>
      </c>
      <c r="E1441">
        <v>0</v>
      </c>
      <c r="H1441">
        <v>0</v>
      </c>
      <c r="I1441">
        <v>24.34544</v>
      </c>
      <c r="J1441" t="s">
        <v>3219</v>
      </c>
      <c r="K1441">
        <v>-0</v>
      </c>
      <c r="L1441">
        <v>0.8507694453386641</v>
      </c>
      <c r="M1441">
        <v>1.71</v>
      </c>
      <c r="N1441">
        <v>0.402</v>
      </c>
    </row>
    <row r="1442" spans="1:14">
      <c r="A1442" s="1" t="s">
        <v>1454</v>
      </c>
      <c r="B1442">
        <f>HYPERLINK("https://www.suredividend.com/sure-analysis-research-database/","IDT Corp.")</f>
        <v>0</v>
      </c>
      <c r="C1442" t="s">
        <v>3228</v>
      </c>
      <c r="D1442">
        <v>30.95</v>
      </c>
      <c r="E1442">
        <v>0</v>
      </c>
      <c r="H1442">
        <v>0</v>
      </c>
      <c r="I1442">
        <v>753.0184829999999</v>
      </c>
      <c r="J1442">
        <v>9.402388409624413</v>
      </c>
      <c r="K1442">
        <v>0</v>
      </c>
      <c r="L1442">
        <v>2.197939454388487</v>
      </c>
      <c r="M1442">
        <v>67.3</v>
      </c>
      <c r="N1442">
        <v>21.35</v>
      </c>
    </row>
    <row r="1443" spans="1:14">
      <c r="A1443" s="1" t="s">
        <v>1455</v>
      </c>
      <c r="B1443">
        <f>HYPERLINK("https://www.suredividend.com/sure-analysis-research-database/","Interpace Biosciences Inc")</f>
        <v>0</v>
      </c>
      <c r="C1443" t="s">
        <v>3217</v>
      </c>
      <c r="D1443">
        <v>4.24</v>
      </c>
      <c r="E1443">
        <v>0</v>
      </c>
      <c r="H1443">
        <v>0</v>
      </c>
      <c r="I1443">
        <v>17.920029</v>
      </c>
      <c r="J1443" t="s">
        <v>3219</v>
      </c>
      <c r="K1443">
        <v>-0</v>
      </c>
      <c r="M1443">
        <v>10.51</v>
      </c>
      <c r="N1443">
        <v>3.55</v>
      </c>
    </row>
    <row r="1444" spans="1:14">
      <c r="A1444" s="1" t="s">
        <v>1456</v>
      </c>
      <c r="B1444">
        <f>HYPERLINK("https://www.suredividend.com/sure-analysis-research-database/","Idexx Laboratories, Inc.")</f>
        <v>0</v>
      </c>
      <c r="C1444" t="s">
        <v>3217</v>
      </c>
      <c r="D1444">
        <v>496.78</v>
      </c>
      <c r="E1444">
        <v>0</v>
      </c>
      <c r="H1444">
        <v>0</v>
      </c>
      <c r="I1444">
        <v>41853.260446</v>
      </c>
      <c r="J1444">
        <v>56.19056373648209</v>
      </c>
      <c r="K1444">
        <v>0</v>
      </c>
      <c r="L1444">
        <v>1.245996198099102</v>
      </c>
      <c r="M1444">
        <v>706.95</v>
      </c>
      <c r="N1444">
        <v>460.36</v>
      </c>
    </row>
    <row r="1445" spans="1:14">
      <c r="A1445" s="1" t="s">
        <v>1457</v>
      </c>
      <c r="B1445">
        <f>HYPERLINK("https://www.suredividend.com/sure-analysis-research-database/","IEC Electronics Corp.")</f>
        <v>0</v>
      </c>
      <c r="C1445" t="s">
        <v>3222</v>
      </c>
      <c r="D1445">
        <v>15.34</v>
      </c>
      <c r="E1445">
        <v>0</v>
      </c>
      <c r="H1445">
        <v>0</v>
      </c>
      <c r="I1445">
        <v>0</v>
      </c>
      <c r="J1445">
        <v>0</v>
      </c>
      <c r="K1445" t="s">
        <v>3219</v>
      </c>
    </row>
    <row r="1446" spans="1:14">
      <c r="A1446" s="1" t="s">
        <v>1458</v>
      </c>
      <c r="B1446">
        <f>HYPERLINK("https://www.suredividend.com/sure-analysis-research-database/","IES Holdings Inc")</f>
        <v>0</v>
      </c>
      <c r="C1446" t="s">
        <v>3220</v>
      </c>
      <c r="D1446">
        <v>38.64</v>
      </c>
      <c r="E1446">
        <v>0</v>
      </c>
      <c r="H1446">
        <v>0</v>
      </c>
      <c r="I1446">
        <v>803.151643</v>
      </c>
      <c r="J1446">
        <v>11.63583163421419</v>
      </c>
      <c r="K1446">
        <v>0</v>
      </c>
      <c r="L1446">
        <v>0.8821435178761871</v>
      </c>
      <c r="M1446">
        <v>56.24</v>
      </c>
      <c r="N1446">
        <v>37.11</v>
      </c>
    </row>
    <row r="1447" spans="1:14">
      <c r="A1447" s="1" t="s">
        <v>1459</v>
      </c>
      <c r="B1447">
        <f>HYPERLINK("https://www.suredividend.com/sure-analysis-research-database/","Idex Corporation")</f>
        <v>0</v>
      </c>
      <c r="C1447" t="s">
        <v>3220</v>
      </c>
      <c r="D1447">
        <v>190.56</v>
      </c>
      <c r="E1447">
        <v>0.011293153219087</v>
      </c>
      <c r="F1447">
        <v>0.08000000000000007</v>
      </c>
      <c r="G1447">
        <v>0.07854534102504562</v>
      </c>
      <c r="H1447">
        <v>2.152023277429367</v>
      </c>
      <c r="I1447">
        <v>14502.520969</v>
      </c>
      <c r="J1447">
        <v>32.27085217943925</v>
      </c>
      <c r="K1447">
        <v>0.3659903533043141</v>
      </c>
      <c r="L1447">
        <v>0.878628168600967</v>
      </c>
      <c r="M1447">
        <v>239.76</v>
      </c>
      <c r="N1447">
        <v>181.66</v>
      </c>
    </row>
    <row r="1448" spans="1:14">
      <c r="A1448" s="1" t="s">
        <v>1460</v>
      </c>
      <c r="B1448">
        <f>HYPERLINK("https://www.suredividend.com/sure-analysis-IFF/","International Flavors &amp; Fragrances Inc.")</f>
        <v>0</v>
      </c>
      <c r="C1448" t="s">
        <v>3218</v>
      </c>
      <c r="D1448">
        <v>125.43</v>
      </c>
      <c r="E1448">
        <v>0.0251933349278482</v>
      </c>
      <c r="F1448">
        <v>0.02597402597402598</v>
      </c>
      <c r="G1448">
        <v>0.04301228432069748</v>
      </c>
      <c r="H1448">
        <v>3.120722751126712</v>
      </c>
      <c r="I1448">
        <v>31952.630355</v>
      </c>
      <c r="J1448">
        <v>119.2262326680224</v>
      </c>
      <c r="K1448">
        <v>2.837020682842466</v>
      </c>
      <c r="L1448">
        <v>0.91578848807261</v>
      </c>
      <c r="M1448">
        <v>155.17</v>
      </c>
      <c r="N1448">
        <v>112.69</v>
      </c>
    </row>
    <row r="1449" spans="1:14">
      <c r="A1449" s="1" t="s">
        <v>1461</v>
      </c>
      <c r="B1449">
        <f>HYPERLINK("https://www.suredividend.com/sure-analysis-research-database/","Independence Holding Co.")</f>
        <v>0</v>
      </c>
      <c r="C1449" t="s">
        <v>3221</v>
      </c>
      <c r="D1449">
        <v>57.01</v>
      </c>
      <c r="E1449">
        <v>0.008747307487165</v>
      </c>
      <c r="H1449">
        <v>0.498683999843319</v>
      </c>
      <c r="I1449">
        <v>841.470108</v>
      </c>
      <c r="J1449">
        <v>8.01820104283196</v>
      </c>
      <c r="K1449">
        <v>0.06994165495698725</v>
      </c>
      <c r="L1449">
        <v>0.294151584909396</v>
      </c>
      <c r="M1449">
        <v>57.2</v>
      </c>
      <c r="N1449">
        <v>36.63</v>
      </c>
    </row>
    <row r="1450" spans="1:14">
      <c r="A1450" s="1" t="s">
        <v>1462</v>
      </c>
      <c r="B1450">
        <f>HYPERLINK("https://www.suredividend.com/sure-analysis-research-database/","Information Services Group Inc.")</f>
        <v>0</v>
      </c>
      <c r="C1450" t="s">
        <v>3222</v>
      </c>
      <c r="D1450">
        <v>6.68</v>
      </c>
      <c r="E1450">
        <v>0.017854995793508</v>
      </c>
      <c r="H1450">
        <v>0.119271371900638</v>
      </c>
      <c r="I1450">
        <v>322.947613</v>
      </c>
      <c r="J1450">
        <v>0</v>
      </c>
      <c r="K1450" t="s">
        <v>3219</v>
      </c>
      <c r="L1450">
        <v>1.298167203634564</v>
      </c>
      <c r="M1450">
        <v>9.619999999999999</v>
      </c>
      <c r="N1450">
        <v>4.16</v>
      </c>
    </row>
    <row r="1451" spans="1:14">
      <c r="A1451" s="1" t="s">
        <v>1463</v>
      </c>
      <c r="B1451">
        <f>HYPERLINK("https://www.suredividend.com/sure-analysis-research-database/","Insteel Industries, Inc.")</f>
        <v>0</v>
      </c>
      <c r="C1451" t="s">
        <v>3220</v>
      </c>
      <c r="D1451">
        <v>37.11</v>
      </c>
      <c r="E1451">
        <v>0.003229950112949</v>
      </c>
      <c r="F1451">
        <v>0</v>
      </c>
      <c r="G1451">
        <v>-0.5040655803587168</v>
      </c>
      <c r="H1451">
        <v>0.119863448691567</v>
      </c>
      <c r="I1451">
        <v>720.439512</v>
      </c>
      <c r="J1451">
        <v>8.829348404578655</v>
      </c>
      <c r="K1451">
        <v>0.02874423230013597</v>
      </c>
      <c r="L1451">
        <v>1.088331187157734</v>
      </c>
      <c r="M1451">
        <v>46.43</v>
      </c>
      <c r="N1451">
        <v>30.05</v>
      </c>
    </row>
    <row r="1452" spans="1:14">
      <c r="A1452" s="1" t="s">
        <v>1464</v>
      </c>
      <c r="B1452">
        <f>HYPERLINK("https://www.suredividend.com/sure-analysis-research-database/","i3 Verticals Inc")</f>
        <v>0</v>
      </c>
      <c r="C1452" t="s">
        <v>3222</v>
      </c>
      <c r="D1452">
        <v>26.63</v>
      </c>
      <c r="E1452">
        <v>0</v>
      </c>
      <c r="H1452">
        <v>0</v>
      </c>
      <c r="I1452">
        <v>587.678163</v>
      </c>
      <c r="J1452" t="s">
        <v>3219</v>
      </c>
      <c r="K1452">
        <v>-0</v>
      </c>
      <c r="L1452">
        <v>1.66877131407174</v>
      </c>
      <c r="M1452">
        <v>34.51</v>
      </c>
      <c r="N1452">
        <v>17.8</v>
      </c>
    </row>
    <row r="1453" spans="1:14">
      <c r="A1453" s="1" t="s">
        <v>1465</v>
      </c>
      <c r="B1453">
        <f>HYPERLINK("https://www.suredividend.com/sure-analysis-research-database/","IntriCon Corporation")</f>
        <v>0</v>
      </c>
      <c r="C1453" t="s">
        <v>3217</v>
      </c>
      <c r="D1453">
        <v>23.96</v>
      </c>
      <c r="E1453">
        <v>0</v>
      </c>
      <c r="H1453">
        <v>0</v>
      </c>
      <c r="I1453">
        <v>222.177246</v>
      </c>
      <c r="J1453" t="s">
        <v>3219</v>
      </c>
      <c r="K1453">
        <v>-0</v>
      </c>
      <c r="L1453">
        <v>0.6762263969174831</v>
      </c>
      <c r="M1453">
        <v>26.66</v>
      </c>
      <c r="N1453">
        <v>12.47</v>
      </c>
    </row>
    <row r="1454" spans="1:14">
      <c r="A1454" s="1" t="s">
        <v>1466</v>
      </c>
      <c r="B1454">
        <f>HYPERLINK("https://www.suredividend.com/sure-analysis-IIPR/","Innovative Industrial Properties Inc")</f>
        <v>0</v>
      </c>
      <c r="C1454" t="s">
        <v>3224</v>
      </c>
      <c r="D1454">
        <v>169.68</v>
      </c>
      <c r="E1454">
        <v>0.04125412541254125</v>
      </c>
      <c r="F1454">
        <v>0.3257575757575757</v>
      </c>
      <c r="G1454">
        <v>0.6345166840512457</v>
      </c>
      <c r="H1454">
        <v>6.088050414979969</v>
      </c>
      <c r="I1454">
        <v>4677.293678</v>
      </c>
      <c r="J1454">
        <v>41.73136997707016</v>
      </c>
      <c r="K1454">
        <v>1.425772930908658</v>
      </c>
      <c r="L1454">
        <v>1.54001506051046</v>
      </c>
      <c r="M1454">
        <v>283.98</v>
      </c>
      <c r="N1454">
        <v>158.36</v>
      </c>
    </row>
    <row r="1455" spans="1:14">
      <c r="A1455" s="1" t="s">
        <v>1467</v>
      </c>
      <c r="B1455">
        <f>HYPERLINK("https://www.suredividend.com/sure-analysis-research-database/","Ii-Vi Inc.")</f>
        <v>0</v>
      </c>
      <c r="C1455" t="s">
        <v>3222</v>
      </c>
      <c r="D1455">
        <v>61.98</v>
      </c>
      <c r="E1455">
        <v>0</v>
      </c>
      <c r="H1455">
        <v>0</v>
      </c>
      <c r="I1455">
        <v>6590.58882</v>
      </c>
      <c r="J1455">
        <v>26.59307681274739</v>
      </c>
      <c r="K1455">
        <v>0</v>
      </c>
      <c r="L1455">
        <v>1.592330771206979</v>
      </c>
      <c r="M1455">
        <v>81.61</v>
      </c>
      <c r="N1455">
        <v>54.35</v>
      </c>
    </row>
    <row r="1456" spans="1:14">
      <c r="A1456" s="1" t="s">
        <v>1468</v>
      </c>
      <c r="B1456">
        <f>HYPERLINK("https://www.suredividend.com/sure-analysis-research-database/","Illumina Inc")</f>
        <v>0</v>
      </c>
      <c r="C1456" t="s">
        <v>3217</v>
      </c>
      <c r="D1456">
        <v>336.49</v>
      </c>
      <c r="E1456">
        <v>0</v>
      </c>
      <c r="H1456">
        <v>0</v>
      </c>
      <c r="I1456">
        <v>52854.319853</v>
      </c>
      <c r="J1456">
        <v>69.36262447893701</v>
      </c>
      <c r="K1456">
        <v>0</v>
      </c>
      <c r="L1456">
        <v>1.220534940011778</v>
      </c>
      <c r="M1456">
        <v>526</v>
      </c>
      <c r="N1456">
        <v>302.79</v>
      </c>
    </row>
    <row r="1457" spans="1:14">
      <c r="A1457" s="1" t="s">
        <v>1469</v>
      </c>
      <c r="B1457">
        <f>HYPERLINK("https://www.suredividend.com/sure-analysis-ILPT/","Industrial Logistics Properties Trust")</f>
        <v>0</v>
      </c>
      <c r="C1457" t="s">
        <v>3224</v>
      </c>
      <c r="D1457">
        <v>20.04</v>
      </c>
      <c r="E1457">
        <v>0.0658682634730539</v>
      </c>
      <c r="H1457">
        <v>1.294387857769257</v>
      </c>
      <c r="I1457">
        <v>1310.708024</v>
      </c>
      <c r="J1457">
        <v>10.95158857372036</v>
      </c>
      <c r="K1457">
        <v>0.703471661831118</v>
      </c>
      <c r="L1457">
        <v>0.7121081233020671</v>
      </c>
      <c r="M1457">
        <v>28.25</v>
      </c>
      <c r="N1457">
        <v>20.04</v>
      </c>
    </row>
    <row r="1458" spans="1:14">
      <c r="A1458" s="1" t="s">
        <v>1470</v>
      </c>
      <c r="B1458">
        <f>HYPERLINK("https://www.suredividend.com/sure-analysis-research-database/","iMedia Brands Inc")</f>
        <v>0</v>
      </c>
      <c r="C1458" t="s">
        <v>3223</v>
      </c>
      <c r="D1458">
        <v>4.72</v>
      </c>
      <c r="E1458">
        <v>0</v>
      </c>
      <c r="H1458">
        <v>0</v>
      </c>
      <c r="I1458">
        <v>101.765626</v>
      </c>
      <c r="J1458" t="s">
        <v>3219</v>
      </c>
      <c r="K1458">
        <v>-0</v>
      </c>
      <c r="L1458">
        <v>0.9798545791996741</v>
      </c>
      <c r="M1458">
        <v>10.48</v>
      </c>
      <c r="N1458">
        <v>4.6</v>
      </c>
    </row>
    <row r="1459" spans="1:14">
      <c r="A1459" s="1" t="s">
        <v>1471</v>
      </c>
      <c r="B1459">
        <f>HYPERLINK("https://www.suredividend.com/sure-analysis-research-database/","Immunogen, Inc.")</f>
        <v>0</v>
      </c>
      <c r="C1459" t="s">
        <v>3217</v>
      </c>
      <c r="D1459">
        <v>5.35</v>
      </c>
      <c r="E1459">
        <v>0</v>
      </c>
      <c r="H1459">
        <v>0</v>
      </c>
      <c r="I1459">
        <v>1179.84031</v>
      </c>
      <c r="J1459" t="s">
        <v>3219</v>
      </c>
      <c r="K1459">
        <v>-0</v>
      </c>
      <c r="L1459">
        <v>1.354187371005802</v>
      </c>
      <c r="M1459">
        <v>8.24</v>
      </c>
      <c r="N1459">
        <v>3.83</v>
      </c>
    </row>
    <row r="1460" spans="1:14">
      <c r="A1460" s="1" t="s">
        <v>1472</v>
      </c>
      <c r="B1460">
        <f>HYPERLINK("https://www.suredividend.com/sure-analysis-research-database/","Impac Mortgage Holdings, Inc.")</f>
        <v>0</v>
      </c>
      <c r="C1460" t="s">
        <v>3221</v>
      </c>
      <c r="D1460">
        <v>0.6950000000000001</v>
      </c>
      <c r="E1460">
        <v>0</v>
      </c>
      <c r="H1460">
        <v>0</v>
      </c>
      <c r="I1460">
        <v>14.911343</v>
      </c>
      <c r="J1460" t="s">
        <v>3219</v>
      </c>
      <c r="K1460">
        <v>-0</v>
      </c>
      <c r="L1460">
        <v>1.18162661309727</v>
      </c>
      <c r="M1460">
        <v>2.78</v>
      </c>
      <c r="N1460">
        <v>0.66</v>
      </c>
    </row>
    <row r="1461" spans="1:14">
      <c r="A1461" s="1" t="s">
        <v>1473</v>
      </c>
      <c r="B1461">
        <f>HYPERLINK("https://www.suredividend.com/sure-analysis-research-database/","Ingles Markets, Inc.")</f>
        <v>0</v>
      </c>
      <c r="C1461" t="s">
        <v>3225</v>
      </c>
      <c r="D1461">
        <v>95.09999999999999</v>
      </c>
      <c r="E1461">
        <v>0.006919681948498</v>
      </c>
      <c r="F1461">
        <v>0</v>
      </c>
      <c r="G1461">
        <v>0</v>
      </c>
      <c r="H1461">
        <v>0.6580617533021611</v>
      </c>
      <c r="I1461">
        <v>1362.301319</v>
      </c>
      <c r="J1461">
        <v>5.197711130999214</v>
      </c>
      <c r="K1461">
        <v>0.04845815561871584</v>
      </c>
      <c r="L1461">
        <v>0.53009540799954</v>
      </c>
      <c r="M1461">
        <v>96.8</v>
      </c>
      <c r="N1461">
        <v>56.44</v>
      </c>
    </row>
    <row r="1462" spans="1:14">
      <c r="A1462" s="1" t="s">
        <v>1474</v>
      </c>
      <c r="B1462">
        <f>HYPERLINK("https://www.suredividend.com/sure-analysis-research-database/","Immersion Corp")</f>
        <v>0</v>
      </c>
      <c r="C1462" t="s">
        <v>3222</v>
      </c>
      <c r="D1462">
        <v>4.81</v>
      </c>
      <c r="E1462">
        <v>0</v>
      </c>
      <c r="H1462">
        <v>0</v>
      </c>
      <c r="I1462">
        <v>161.454812</v>
      </c>
      <c r="J1462">
        <v>12.93293912928548</v>
      </c>
      <c r="K1462">
        <v>0</v>
      </c>
      <c r="L1462">
        <v>1.296657504402531</v>
      </c>
      <c r="M1462">
        <v>9.779999999999999</v>
      </c>
      <c r="N1462">
        <v>4.46</v>
      </c>
    </row>
    <row r="1463" spans="1:14">
      <c r="A1463" s="1" t="s">
        <v>1475</v>
      </c>
      <c r="B1463">
        <f>HYPERLINK("https://www.suredividend.com/sure-analysis-research-database/","Immunic Inc")</f>
        <v>0</v>
      </c>
      <c r="C1463" t="s">
        <v>3217</v>
      </c>
      <c r="D1463">
        <v>10.41</v>
      </c>
      <c r="E1463">
        <v>0</v>
      </c>
      <c r="H1463">
        <v>0</v>
      </c>
      <c r="I1463">
        <v>290.511266</v>
      </c>
      <c r="J1463">
        <v>0</v>
      </c>
      <c r="K1463" t="s">
        <v>3219</v>
      </c>
      <c r="L1463">
        <v>1.300153698913126</v>
      </c>
      <c r="M1463">
        <v>15.65</v>
      </c>
      <c r="N1463">
        <v>6.96</v>
      </c>
    </row>
    <row r="1464" spans="1:14">
      <c r="A1464" s="1" t="s">
        <v>1476</v>
      </c>
      <c r="B1464">
        <f>HYPERLINK("https://www.suredividend.com/sure-analysis-research-database/","International Money Express Inc.")</f>
        <v>0</v>
      </c>
      <c r="C1464" t="s">
        <v>3222</v>
      </c>
      <c r="D1464">
        <v>20.54</v>
      </c>
      <c r="E1464">
        <v>0</v>
      </c>
      <c r="H1464">
        <v>0</v>
      </c>
      <c r="I1464">
        <v>787.057451</v>
      </c>
      <c r="J1464">
        <v>0</v>
      </c>
      <c r="K1464" t="s">
        <v>3219</v>
      </c>
      <c r="L1464">
        <v>0.545124464664802</v>
      </c>
      <c r="M1464">
        <v>21.98</v>
      </c>
      <c r="N1464">
        <v>13.14</v>
      </c>
    </row>
    <row r="1465" spans="1:14">
      <c r="A1465" s="1" t="s">
        <v>1477</v>
      </c>
      <c r="B1465">
        <f>HYPERLINK("https://www.suredividend.com/sure-analysis-research-database/","First Internet Bancorp")</f>
        <v>0</v>
      </c>
      <c r="C1465" t="s">
        <v>3221</v>
      </c>
      <c r="D1465">
        <v>41.57</v>
      </c>
      <c r="E1465">
        <v>0.005761220750072</v>
      </c>
      <c r="F1465">
        <v>0</v>
      </c>
      <c r="G1465">
        <v>0</v>
      </c>
      <c r="H1465">
        <v>0.239493946580511</v>
      </c>
      <c r="I1465">
        <v>402.552531</v>
      </c>
      <c r="J1465">
        <v>0</v>
      </c>
      <c r="K1465" t="s">
        <v>3219</v>
      </c>
      <c r="L1465">
        <v>0.928571096307458</v>
      </c>
      <c r="M1465">
        <v>53.49</v>
      </c>
      <c r="N1465">
        <v>27.92</v>
      </c>
    </row>
    <row r="1466" spans="1:14">
      <c r="A1466" s="1" t="s">
        <v>1478</v>
      </c>
      <c r="B1466">
        <f>HYPERLINK("https://www.suredividend.com/sure-analysis-research-database/","Incyte Corp.")</f>
        <v>0</v>
      </c>
      <c r="C1466" t="s">
        <v>3217</v>
      </c>
      <c r="D1466">
        <v>81.73999999999999</v>
      </c>
      <c r="E1466">
        <v>0</v>
      </c>
      <c r="H1466">
        <v>0</v>
      </c>
      <c r="I1466">
        <v>18091.120949</v>
      </c>
      <c r="J1466">
        <v>19.07177241464883</v>
      </c>
      <c r="K1466">
        <v>0</v>
      </c>
      <c r="L1466">
        <v>0.428067700160261</v>
      </c>
      <c r="M1466">
        <v>88.26000000000001</v>
      </c>
      <c r="N1466">
        <v>61.91</v>
      </c>
    </row>
    <row r="1467" spans="1:14">
      <c r="A1467" s="1" t="s">
        <v>1479</v>
      </c>
      <c r="B1467">
        <f>HYPERLINK("https://www.suredividend.com/sure-analysis-research-database/","Independent Bank Corp.")</f>
        <v>0</v>
      </c>
      <c r="C1467" t="s">
        <v>3221</v>
      </c>
      <c r="D1467">
        <v>78.44</v>
      </c>
      <c r="E1467">
        <v>0.024635249500916</v>
      </c>
      <c r="F1467">
        <v>0.0625</v>
      </c>
      <c r="G1467">
        <v>0.09770094871374502</v>
      </c>
      <c r="H1467">
        <v>1.932388970851858</v>
      </c>
      <c r="I1467">
        <v>3718.054431</v>
      </c>
      <c r="J1467">
        <v>30.7297542911928</v>
      </c>
      <c r="K1467">
        <v>0.5568844296403048</v>
      </c>
      <c r="L1467">
        <v>0.8676448794860141</v>
      </c>
      <c r="M1467">
        <v>92.39</v>
      </c>
      <c r="N1467">
        <v>66.88</v>
      </c>
    </row>
    <row r="1468" spans="1:14">
      <c r="A1468" s="1" t="s">
        <v>1480</v>
      </c>
      <c r="B1468">
        <f>HYPERLINK("https://www.suredividend.com/sure-analysis-research-database/","Infinity Pharmaceuticals Inc.")</f>
        <v>0</v>
      </c>
      <c r="C1468" t="s">
        <v>3217</v>
      </c>
      <c r="D1468">
        <v>0.8959</v>
      </c>
      <c r="E1468">
        <v>0</v>
      </c>
      <c r="H1468">
        <v>0</v>
      </c>
      <c r="I1468">
        <v>79.87424300000001</v>
      </c>
      <c r="J1468" t="s">
        <v>3219</v>
      </c>
      <c r="K1468">
        <v>-0</v>
      </c>
      <c r="L1468">
        <v>1.852213267418491</v>
      </c>
      <c r="M1468">
        <v>3.89</v>
      </c>
      <c r="N1468">
        <v>0.8200000000000001</v>
      </c>
    </row>
    <row r="1469" spans="1:14">
      <c r="A1469" s="1" t="s">
        <v>1481</v>
      </c>
      <c r="B1469">
        <f>HYPERLINK("https://www.suredividend.com/sure-analysis-research-database/","Infinera Corp.")</f>
        <v>0</v>
      </c>
      <c r="C1469" t="s">
        <v>3222</v>
      </c>
      <c r="D1469">
        <v>7.63</v>
      </c>
      <c r="E1469">
        <v>0</v>
      </c>
      <c r="H1469">
        <v>0</v>
      </c>
      <c r="I1469">
        <v>1626.940299</v>
      </c>
      <c r="J1469" t="s">
        <v>3219</v>
      </c>
      <c r="K1469">
        <v>-0</v>
      </c>
      <c r="L1469">
        <v>1.425360093157738</v>
      </c>
      <c r="M1469">
        <v>10.89</v>
      </c>
      <c r="N1469">
        <v>7.23</v>
      </c>
    </row>
    <row r="1470" spans="1:14">
      <c r="A1470" s="1" t="s">
        <v>1482</v>
      </c>
      <c r="B1470">
        <f>HYPERLINK("https://www.suredividend.com/sure-analysis-research-database/","IHS Markit Ltd")</f>
        <v>0</v>
      </c>
      <c r="C1470" t="s">
        <v>3220</v>
      </c>
      <c r="D1470">
        <v>108.61</v>
      </c>
      <c r="E1470">
        <v>0.007346936805292001</v>
      </c>
      <c r="H1470">
        <v>0.797950806422791</v>
      </c>
      <c r="I1470">
        <v>45801.486922</v>
      </c>
      <c r="J1470">
        <v>37.95283967703016</v>
      </c>
      <c r="K1470">
        <v>0.2650999356886349</v>
      </c>
      <c r="M1470">
        <v>135.58</v>
      </c>
      <c r="N1470">
        <v>88.19</v>
      </c>
    </row>
    <row r="1471" spans="1:14">
      <c r="A1471" s="1" t="s">
        <v>1483</v>
      </c>
      <c r="B1471">
        <f>HYPERLINK("https://www.suredividend.com/sure-analysis-research-database/","InfuSystem Holdings Inc")</f>
        <v>0</v>
      </c>
      <c r="C1471" t="s">
        <v>3217</v>
      </c>
      <c r="D1471">
        <v>8.470000000000001</v>
      </c>
      <c r="E1471">
        <v>0</v>
      </c>
      <c r="H1471">
        <v>0</v>
      </c>
      <c r="I1471">
        <v>174.206869</v>
      </c>
      <c r="J1471">
        <v>0</v>
      </c>
      <c r="K1471" t="s">
        <v>3219</v>
      </c>
      <c r="L1471">
        <v>0.9047660458246231</v>
      </c>
      <c r="M1471">
        <v>23.15</v>
      </c>
      <c r="N1471">
        <v>8</v>
      </c>
    </row>
    <row r="1472" spans="1:14">
      <c r="A1472" s="1" t="s">
        <v>1484</v>
      </c>
      <c r="B1472">
        <f>HYPERLINK("https://www.suredividend.com/sure-analysis-research-database/","Inogen Inc")</f>
        <v>0</v>
      </c>
      <c r="C1472" t="s">
        <v>3217</v>
      </c>
      <c r="D1472">
        <v>28.35</v>
      </c>
      <c r="E1472">
        <v>0</v>
      </c>
      <c r="H1472">
        <v>0</v>
      </c>
      <c r="I1472">
        <v>644.551028</v>
      </c>
      <c r="J1472" t="s">
        <v>3219</v>
      </c>
      <c r="K1472">
        <v>-0</v>
      </c>
      <c r="L1472">
        <v>1.258252448976106</v>
      </c>
      <c r="M1472">
        <v>82.34999999999999</v>
      </c>
      <c r="N1472">
        <v>26.19</v>
      </c>
    </row>
    <row r="1473" spans="1:14">
      <c r="A1473" s="1" t="s">
        <v>1485</v>
      </c>
      <c r="B1473">
        <f>HYPERLINK("https://www.suredividend.com/sure-analysis-INGR/","Ingredion Inc")</f>
        <v>0</v>
      </c>
      <c r="C1473" t="s">
        <v>3225</v>
      </c>
      <c r="D1473">
        <v>89.51000000000001</v>
      </c>
      <c r="E1473">
        <v>0.03351580828957658</v>
      </c>
      <c r="F1473">
        <v>0.015625</v>
      </c>
      <c r="G1473">
        <v>0.05387395206178347</v>
      </c>
      <c r="H1473">
        <v>2.562434858591907</v>
      </c>
      <c r="I1473">
        <v>5952.071103</v>
      </c>
      <c r="J1473">
        <v>50.87240258615385</v>
      </c>
      <c r="K1473">
        <v>1.481176218839253</v>
      </c>
      <c r="L1473">
        <v>0.652879644394144</v>
      </c>
      <c r="M1473">
        <v>101.14</v>
      </c>
      <c r="N1473">
        <v>80.65000000000001</v>
      </c>
    </row>
    <row r="1474" spans="1:14">
      <c r="A1474" s="1" t="s">
        <v>1486</v>
      </c>
      <c r="B1474">
        <f>HYPERLINK("https://www.suredividend.com/sure-analysis-research-database/","Summit Hotel Properties Inc")</f>
        <v>0</v>
      </c>
      <c r="C1474" t="s">
        <v>3224</v>
      </c>
      <c r="D1474">
        <v>9.710000000000001</v>
      </c>
      <c r="E1474">
        <v>0</v>
      </c>
      <c r="H1474">
        <v>0</v>
      </c>
      <c r="I1474">
        <v>1032.539892</v>
      </c>
      <c r="J1474" t="s">
        <v>3219</v>
      </c>
      <c r="K1474">
        <v>-0</v>
      </c>
      <c r="L1474">
        <v>1.312847570560654</v>
      </c>
      <c r="M1474">
        <v>10.94</v>
      </c>
      <c r="N1474">
        <v>8.220000000000001</v>
      </c>
    </row>
    <row r="1475" spans="1:14">
      <c r="A1475" s="1" t="s">
        <v>1487</v>
      </c>
      <c r="B1475">
        <f>HYPERLINK("https://www.suredividend.com/sure-analysis-research-database/","Inovio Pharmaceuticals Inc")</f>
        <v>0</v>
      </c>
      <c r="C1475" t="s">
        <v>3217</v>
      </c>
      <c r="D1475">
        <v>3.2</v>
      </c>
      <c r="E1475">
        <v>0</v>
      </c>
      <c r="H1475">
        <v>0</v>
      </c>
      <c r="I1475">
        <v>709.691242</v>
      </c>
      <c r="J1475" t="s">
        <v>3219</v>
      </c>
      <c r="K1475">
        <v>-0</v>
      </c>
      <c r="L1475">
        <v>1.281255246192212</v>
      </c>
      <c r="M1475">
        <v>10.33</v>
      </c>
      <c r="N1475">
        <v>2.76</v>
      </c>
    </row>
    <row r="1476" spans="1:14">
      <c r="A1476" s="1" t="s">
        <v>1488</v>
      </c>
      <c r="B1476">
        <f>HYPERLINK("https://www.suredividend.com/sure-analysis-research-database/","Innodata Inc")</f>
        <v>0</v>
      </c>
      <c r="C1476" t="s">
        <v>3222</v>
      </c>
      <c r="D1476">
        <v>7.16</v>
      </c>
      <c r="E1476">
        <v>0</v>
      </c>
      <c r="H1476">
        <v>0</v>
      </c>
      <c r="I1476">
        <v>194.490553</v>
      </c>
      <c r="J1476" t="s">
        <v>3219</v>
      </c>
      <c r="K1476">
        <v>-0</v>
      </c>
      <c r="L1476">
        <v>1.485802413015856</v>
      </c>
      <c r="M1476">
        <v>11.25</v>
      </c>
      <c r="N1476">
        <v>4.57</v>
      </c>
    </row>
    <row r="1477" spans="1:14">
      <c r="A1477" s="1" t="s">
        <v>1489</v>
      </c>
      <c r="B1477">
        <f>HYPERLINK("https://www.suredividend.com/sure-analysis-research-database/","Inovalon Holdings Inc")</f>
        <v>0</v>
      </c>
      <c r="C1477" t="s">
        <v>3217</v>
      </c>
      <c r="D1477">
        <v>41.06</v>
      </c>
      <c r="E1477">
        <v>0</v>
      </c>
      <c r="H1477">
        <v>0</v>
      </c>
      <c r="I1477">
        <v>0</v>
      </c>
      <c r="J1477">
        <v>0</v>
      </c>
      <c r="K1477">
        <v>0</v>
      </c>
    </row>
    <row r="1478" spans="1:14">
      <c r="A1478" s="1" t="s">
        <v>1490</v>
      </c>
      <c r="B1478">
        <f>HYPERLINK("https://www.suredividend.com/sure-analysis-research-database/","Inpixon")</f>
        <v>0</v>
      </c>
      <c r="C1478" t="s">
        <v>3222</v>
      </c>
      <c r="D1478">
        <v>0.2357</v>
      </c>
      <c r="E1478">
        <v>0</v>
      </c>
      <c r="H1478">
        <v>0</v>
      </c>
      <c r="I1478">
        <v>35.938677</v>
      </c>
      <c r="J1478">
        <v>0</v>
      </c>
      <c r="K1478" t="s">
        <v>3219</v>
      </c>
      <c r="L1478">
        <v>1.028005451769711</v>
      </c>
      <c r="M1478">
        <v>1.34</v>
      </c>
      <c r="N1478">
        <v>0.2225</v>
      </c>
    </row>
    <row r="1479" spans="1:14">
      <c r="A1479" s="1" t="s">
        <v>1491</v>
      </c>
      <c r="B1479">
        <f>HYPERLINK("https://www.suredividend.com/sure-analysis-research-database/","CoreCard Corporation")</f>
        <v>0</v>
      </c>
      <c r="C1479" t="s">
        <v>3222</v>
      </c>
      <c r="D1479">
        <v>40.15</v>
      </c>
      <c r="E1479">
        <v>0</v>
      </c>
      <c r="H1479">
        <v>0</v>
      </c>
      <c r="I1479">
        <v>349.327845</v>
      </c>
      <c r="J1479">
        <v>0</v>
      </c>
      <c r="K1479" t="s">
        <v>3219</v>
      </c>
      <c r="L1479">
        <v>0.8549803835434201</v>
      </c>
      <c r="M1479">
        <v>54.58</v>
      </c>
      <c r="N1479">
        <v>30.52</v>
      </c>
    </row>
    <row r="1480" spans="1:14">
      <c r="A1480" s="1" t="s">
        <v>1492</v>
      </c>
      <c r="B1480">
        <f>HYPERLINK("https://www.suredividend.com/sure-analysis-research-database/","Inspired Entertainment Inc")</f>
        <v>0</v>
      </c>
      <c r="C1480" t="s">
        <v>3228</v>
      </c>
      <c r="D1480">
        <v>10.68</v>
      </c>
      <c r="E1480">
        <v>0</v>
      </c>
      <c r="H1480">
        <v>0</v>
      </c>
      <c r="I1480">
        <v>287.129472</v>
      </c>
      <c r="J1480">
        <v>0</v>
      </c>
      <c r="K1480" t="s">
        <v>3219</v>
      </c>
      <c r="L1480">
        <v>1.193630011216584</v>
      </c>
      <c r="M1480">
        <v>15.82</v>
      </c>
      <c r="N1480">
        <v>7.4</v>
      </c>
    </row>
    <row r="1481" spans="1:14">
      <c r="A1481" s="1" t="s">
        <v>1493</v>
      </c>
      <c r="B1481">
        <f>HYPERLINK("https://www.suredividend.com/sure-analysis-research-database/","Inseego Corp")</f>
        <v>0</v>
      </c>
      <c r="C1481" t="s">
        <v>3222</v>
      </c>
      <c r="D1481">
        <v>3.3</v>
      </c>
      <c r="E1481">
        <v>0</v>
      </c>
      <c r="H1481">
        <v>0</v>
      </c>
      <c r="I1481">
        <v>346.917071</v>
      </c>
      <c r="J1481" t="s">
        <v>3219</v>
      </c>
      <c r="K1481">
        <v>-0</v>
      </c>
      <c r="L1481">
        <v>1.441205941882103</v>
      </c>
      <c r="M1481">
        <v>10.99</v>
      </c>
      <c r="N1481">
        <v>3.26</v>
      </c>
    </row>
    <row r="1482" spans="1:14">
      <c r="A1482" s="1" t="s">
        <v>1494</v>
      </c>
      <c r="B1482">
        <f>HYPERLINK("https://www.suredividend.com/sure-analysis-research-database/","Insmed Inc")</f>
        <v>0</v>
      </c>
      <c r="C1482" t="s">
        <v>3217</v>
      </c>
      <c r="D1482">
        <v>25.65</v>
      </c>
      <c r="E1482">
        <v>0</v>
      </c>
      <c r="H1482">
        <v>0</v>
      </c>
      <c r="I1482">
        <v>3050.776296</v>
      </c>
      <c r="J1482" t="s">
        <v>3219</v>
      </c>
      <c r="K1482">
        <v>-0</v>
      </c>
      <c r="L1482">
        <v>1.25210918831895</v>
      </c>
      <c r="M1482">
        <v>36.97</v>
      </c>
      <c r="N1482">
        <v>20.02</v>
      </c>
    </row>
    <row r="1483" spans="1:14">
      <c r="A1483" s="1" t="s">
        <v>1495</v>
      </c>
      <c r="B1483">
        <f>HYPERLINK("https://www.suredividend.com/sure-analysis-research-database/","Inspire Medical Systems Inc")</f>
        <v>0</v>
      </c>
      <c r="C1483" t="s">
        <v>3217</v>
      </c>
      <c r="D1483">
        <v>246.04</v>
      </c>
      <c r="E1483">
        <v>0</v>
      </c>
      <c r="H1483">
        <v>0</v>
      </c>
      <c r="I1483">
        <v>6778.389698</v>
      </c>
      <c r="J1483" t="s">
        <v>3219</v>
      </c>
      <c r="K1483">
        <v>-0</v>
      </c>
      <c r="L1483">
        <v>1.606058215153972</v>
      </c>
      <c r="M1483">
        <v>286.29</v>
      </c>
      <c r="N1483">
        <v>159.18</v>
      </c>
    </row>
    <row r="1484" spans="1:14">
      <c r="A1484" s="1" t="s">
        <v>1496</v>
      </c>
      <c r="B1484">
        <f>HYPERLINK("https://www.suredividend.com/sure-analysis-research-database/","Instructure Holdings Inc")</f>
        <v>0</v>
      </c>
      <c r="C1484" t="s">
        <v>3219</v>
      </c>
      <c r="D1484">
        <v>18.89</v>
      </c>
      <c r="E1484">
        <v>0</v>
      </c>
      <c r="H1484">
        <v>0</v>
      </c>
      <c r="I1484">
        <v>2658.589348</v>
      </c>
      <c r="J1484">
        <v>0</v>
      </c>
      <c r="K1484" t="s">
        <v>3219</v>
      </c>
      <c r="M1484">
        <v>29.59</v>
      </c>
      <c r="N1484">
        <v>18.51</v>
      </c>
    </row>
    <row r="1485" spans="1:14">
      <c r="A1485" s="1" t="s">
        <v>1497</v>
      </c>
      <c r="B1485">
        <f>HYPERLINK("https://www.suredividend.com/sure-analysis-research-database/","International Seaways Inc")</f>
        <v>0</v>
      </c>
      <c r="C1485" t="s">
        <v>3220</v>
      </c>
      <c r="D1485">
        <v>20.67</v>
      </c>
      <c r="E1485">
        <v>0.011374054804148</v>
      </c>
      <c r="H1485">
        <v>0.235101712801739</v>
      </c>
      <c r="I1485">
        <v>1025.224497</v>
      </c>
      <c r="J1485" t="s">
        <v>3219</v>
      </c>
      <c r="K1485" t="s">
        <v>3219</v>
      </c>
      <c r="L1485">
        <v>0.835089684536771</v>
      </c>
      <c r="M1485">
        <v>20.8</v>
      </c>
      <c r="N1485">
        <v>13.01</v>
      </c>
    </row>
    <row r="1486" spans="1:14">
      <c r="A1486" s="1" t="s">
        <v>1498</v>
      </c>
      <c r="B1486">
        <f>HYPERLINK("https://www.suredividend.com/sure-analysis-research-database/","World Fuel Services Corp.")</f>
        <v>0</v>
      </c>
      <c r="C1486" t="s">
        <v>3226</v>
      </c>
      <c r="D1486">
        <v>26.53</v>
      </c>
      <c r="E1486">
        <v>0.017976325164467</v>
      </c>
      <c r="F1486">
        <v>0</v>
      </c>
      <c r="G1486">
        <v>0.1486983549970351</v>
      </c>
      <c r="H1486">
        <v>0.476911906613335</v>
      </c>
      <c r="I1486">
        <v>1689.236651</v>
      </c>
      <c r="J1486">
        <v>22.92044303134329</v>
      </c>
      <c r="K1486">
        <v>0.411130953977013</v>
      </c>
      <c r="L1486">
        <v>0.7209593298513221</v>
      </c>
      <c r="M1486">
        <v>35.46</v>
      </c>
      <c r="N1486">
        <v>24.07</v>
      </c>
    </row>
    <row r="1487" spans="1:14">
      <c r="A1487" s="1" t="s">
        <v>1499</v>
      </c>
      <c r="B1487">
        <f>HYPERLINK("https://www.suredividend.com/sure-analysis-INTC/","Intel Corp.")</f>
        <v>0</v>
      </c>
      <c r="C1487" t="s">
        <v>3222</v>
      </c>
      <c r="D1487">
        <v>45.67</v>
      </c>
      <c r="E1487">
        <v>0.03196846945478432</v>
      </c>
      <c r="F1487">
        <v>0.05035971223021574</v>
      </c>
      <c r="G1487">
        <v>0.06019382787735705</v>
      </c>
      <c r="H1487">
        <v>1.392654304932212</v>
      </c>
      <c r="I1487">
        <v>186729.153442</v>
      </c>
      <c r="J1487">
        <v>9.398487690846588</v>
      </c>
      <c r="K1487">
        <v>0.2865543837309078</v>
      </c>
      <c r="L1487">
        <v>1.048602676659036</v>
      </c>
      <c r="M1487">
        <v>63.01</v>
      </c>
      <c r="N1487">
        <v>43.63</v>
      </c>
    </row>
    <row r="1488" spans="1:14">
      <c r="A1488" s="1" t="s">
        <v>1500</v>
      </c>
      <c r="B1488">
        <f>HYPERLINK("https://www.suredividend.com/sure-analysis-research-database/","Intergroup Corp.")</f>
        <v>0</v>
      </c>
      <c r="C1488" t="s">
        <v>3223</v>
      </c>
      <c r="D1488">
        <v>48.9</v>
      </c>
      <c r="E1488">
        <v>0</v>
      </c>
      <c r="H1488">
        <v>0</v>
      </c>
      <c r="I1488">
        <v>109.691649</v>
      </c>
      <c r="J1488">
        <v>0</v>
      </c>
      <c r="K1488" t="s">
        <v>3219</v>
      </c>
      <c r="M1488">
        <v>61.61</v>
      </c>
      <c r="N1488">
        <v>32.49</v>
      </c>
    </row>
    <row r="1489" spans="1:14">
      <c r="A1489" s="1" t="s">
        <v>1501</v>
      </c>
      <c r="B1489">
        <f>HYPERLINK("https://www.suredividend.com/sure-analysis-research-database/","Intest Corp.")</f>
        <v>0</v>
      </c>
      <c r="C1489" t="s">
        <v>3222</v>
      </c>
      <c r="D1489">
        <v>9.18</v>
      </c>
      <c r="E1489">
        <v>0</v>
      </c>
      <c r="H1489">
        <v>0</v>
      </c>
      <c r="I1489">
        <v>100.584085</v>
      </c>
      <c r="J1489">
        <v>0</v>
      </c>
      <c r="K1489" t="s">
        <v>3219</v>
      </c>
      <c r="L1489">
        <v>1.88437315592608</v>
      </c>
      <c r="M1489">
        <v>18</v>
      </c>
      <c r="N1489">
        <v>9.1</v>
      </c>
    </row>
    <row r="1490" spans="1:14">
      <c r="A1490" s="1" t="s">
        <v>1502</v>
      </c>
      <c r="B1490">
        <f>HYPERLINK("https://www.suredividend.com/sure-analysis-INTU/","Intuit Inc")</f>
        <v>0</v>
      </c>
      <c r="C1490" t="s">
        <v>3222</v>
      </c>
      <c r="D1490">
        <v>465.11</v>
      </c>
      <c r="E1490">
        <v>0.005848078949065813</v>
      </c>
      <c r="F1490">
        <v>0.152542372881356</v>
      </c>
      <c r="G1490">
        <v>0.1176063511697278</v>
      </c>
      <c r="H1490">
        <v>2.625101923937684</v>
      </c>
      <c r="I1490">
        <v>127461.066229</v>
      </c>
      <c r="J1490">
        <v>58.68373214968694</v>
      </c>
      <c r="K1490">
        <v>0.3378509554617354</v>
      </c>
      <c r="L1490">
        <v>1.499630634479364</v>
      </c>
      <c r="M1490">
        <v>715.05</v>
      </c>
      <c r="N1490">
        <v>383.75</v>
      </c>
    </row>
    <row r="1491" spans="1:14">
      <c r="A1491" s="1" t="s">
        <v>1503</v>
      </c>
      <c r="B1491">
        <f>HYPERLINK("https://www.suredividend.com/sure-analysis-research-database/","Inuvo Inc")</f>
        <v>0</v>
      </c>
      <c r="C1491" t="s">
        <v>3228</v>
      </c>
      <c r="D1491">
        <v>0.45</v>
      </c>
      <c r="E1491">
        <v>0</v>
      </c>
      <c r="H1491">
        <v>0</v>
      </c>
      <c r="I1491">
        <v>53.796515</v>
      </c>
      <c r="J1491">
        <v>0</v>
      </c>
      <c r="K1491" t="s">
        <v>3219</v>
      </c>
      <c r="L1491">
        <v>1.584227293152147</v>
      </c>
      <c r="M1491">
        <v>1.14</v>
      </c>
      <c r="N1491">
        <v>0.355</v>
      </c>
    </row>
    <row r="1492" spans="1:14">
      <c r="A1492" s="1" t="s">
        <v>1504</v>
      </c>
      <c r="B1492">
        <f>HYPERLINK("https://www.suredividend.com/sure-analysis-research-database/","Innoviva Inc")</f>
        <v>0</v>
      </c>
      <c r="C1492" t="s">
        <v>3217</v>
      </c>
      <c r="D1492">
        <v>19.03</v>
      </c>
      <c r="E1492">
        <v>0</v>
      </c>
      <c r="H1492">
        <v>0</v>
      </c>
      <c r="I1492">
        <v>1324.034762</v>
      </c>
      <c r="J1492">
        <v>4.980307847502765</v>
      </c>
      <c r="K1492">
        <v>0</v>
      </c>
      <c r="L1492">
        <v>0.2678953559831</v>
      </c>
      <c r="M1492">
        <v>20.71</v>
      </c>
      <c r="N1492">
        <v>11.15</v>
      </c>
    </row>
    <row r="1493" spans="1:14">
      <c r="A1493" s="1" t="s">
        <v>1505</v>
      </c>
      <c r="B1493">
        <f>HYPERLINK("https://www.suredividend.com/sure-analysis-research-database/","Identiv Inc")</f>
        <v>0</v>
      </c>
      <c r="C1493" t="s">
        <v>3222</v>
      </c>
      <c r="D1493">
        <v>13.15</v>
      </c>
      <c r="E1493">
        <v>0</v>
      </c>
      <c r="H1493">
        <v>0</v>
      </c>
      <c r="I1493">
        <v>293.521821</v>
      </c>
      <c r="J1493">
        <v>621.868264088983</v>
      </c>
      <c r="K1493">
        <v>0</v>
      </c>
      <c r="L1493">
        <v>1.905391170736559</v>
      </c>
      <c r="M1493">
        <v>29</v>
      </c>
      <c r="N1493">
        <v>12.8</v>
      </c>
    </row>
    <row r="1494" spans="1:14">
      <c r="A1494" s="1" t="s">
        <v>1506</v>
      </c>
      <c r="B1494">
        <f>HYPERLINK("https://www.suredividend.com/sure-analysis-INVH/","Invitation Homes Inc")</f>
        <v>0</v>
      </c>
      <c r="C1494" t="s">
        <v>3224</v>
      </c>
      <c r="D1494">
        <v>41.95</v>
      </c>
      <c r="E1494">
        <v>0.02097735399284863</v>
      </c>
      <c r="F1494">
        <v>0.2941176470588234</v>
      </c>
      <c r="G1494">
        <v>0.2967441161096582</v>
      </c>
      <c r="H1494">
        <v>0.725220366528563</v>
      </c>
      <c r="I1494">
        <v>25513.781718</v>
      </c>
      <c r="J1494">
        <v>97.71726217071752</v>
      </c>
      <c r="K1494">
        <v>1.608740830808702</v>
      </c>
      <c r="L1494">
        <v>0.73991003342863</v>
      </c>
      <c r="M1494">
        <v>45.56</v>
      </c>
      <c r="N1494">
        <v>32.69</v>
      </c>
    </row>
    <row r="1495" spans="1:14">
      <c r="A1495" s="1" t="s">
        <v>1507</v>
      </c>
      <c r="B1495">
        <f>HYPERLINK("https://www.suredividend.com/sure-analysis-research-database/","ION Geophysical Corp")</f>
        <v>0</v>
      </c>
      <c r="C1495" t="s">
        <v>3226</v>
      </c>
      <c r="D1495">
        <v>0.3492</v>
      </c>
      <c r="E1495">
        <v>0</v>
      </c>
      <c r="H1495">
        <v>0</v>
      </c>
      <c r="I1495">
        <v>10.34227</v>
      </c>
      <c r="J1495" t="s">
        <v>3219</v>
      </c>
      <c r="K1495">
        <v>-0</v>
      </c>
      <c r="L1495">
        <v>-0.6246171974789581</v>
      </c>
      <c r="M1495">
        <v>2.67</v>
      </c>
      <c r="N1495">
        <v>0.3492</v>
      </c>
    </row>
    <row r="1496" spans="1:14">
      <c r="A1496" s="1" t="s">
        <v>1508</v>
      </c>
      <c r="B1496">
        <f>HYPERLINK("https://www.suredividend.com/sure-analysis-research-database/","Ionis Pharmaceuticals Inc")</f>
        <v>0</v>
      </c>
      <c r="C1496" t="s">
        <v>3217</v>
      </c>
      <c r="D1496">
        <v>40.97</v>
      </c>
      <c r="E1496">
        <v>0</v>
      </c>
      <c r="H1496">
        <v>0</v>
      </c>
      <c r="I1496">
        <v>5804.987145</v>
      </c>
      <c r="J1496" t="s">
        <v>3219</v>
      </c>
      <c r="K1496">
        <v>-0</v>
      </c>
      <c r="L1496">
        <v>0.8747644555929921</v>
      </c>
      <c r="M1496">
        <v>44.1</v>
      </c>
      <c r="N1496">
        <v>25.04</v>
      </c>
    </row>
    <row r="1497" spans="1:14">
      <c r="A1497" s="1" t="s">
        <v>1509</v>
      </c>
      <c r="B1497">
        <f>HYPERLINK("https://www.suredividend.com/sure-analysis-research-database/","Income Opportunity Realty Investors, Inc.")</f>
        <v>0</v>
      </c>
      <c r="C1497" t="s">
        <v>3221</v>
      </c>
      <c r="D1497">
        <v>12.13</v>
      </c>
      <c r="E1497">
        <v>0</v>
      </c>
      <c r="H1497">
        <v>0</v>
      </c>
      <c r="I1497">
        <v>50.562862</v>
      </c>
      <c r="J1497">
        <v>0</v>
      </c>
      <c r="K1497" t="s">
        <v>3219</v>
      </c>
      <c r="M1497">
        <v>16.99</v>
      </c>
      <c r="N1497">
        <v>10.05</v>
      </c>
    </row>
    <row r="1498" spans="1:14">
      <c r="A1498" s="1" t="s">
        <v>1510</v>
      </c>
      <c r="B1498">
        <f>HYPERLINK("https://www.suredividend.com/sure-analysis-research-database/","Innospec Inc")</f>
        <v>0</v>
      </c>
      <c r="C1498" t="s">
        <v>3218</v>
      </c>
      <c r="D1498">
        <v>93.83</v>
      </c>
      <c r="E1498">
        <v>0.012324566192841</v>
      </c>
      <c r="H1498">
        <v>1.156414045874317</v>
      </c>
      <c r="I1498">
        <v>2345.459408</v>
      </c>
      <c r="J1498">
        <v>25.19290449505908</v>
      </c>
      <c r="K1498">
        <v>0.3083770788998179</v>
      </c>
      <c r="L1498">
        <v>0.8812882356375321</v>
      </c>
      <c r="M1498">
        <v>106.47</v>
      </c>
      <c r="N1498">
        <v>80.53</v>
      </c>
    </row>
    <row r="1499" spans="1:14">
      <c r="A1499" s="1" t="s">
        <v>1511</v>
      </c>
      <c r="B1499">
        <f>HYPERLINK("https://www.suredividend.com/sure-analysis-research-database/","Iovance Biotherapeutics Inc")</f>
        <v>0</v>
      </c>
      <c r="C1499" t="s">
        <v>3217</v>
      </c>
      <c r="D1499">
        <v>17.62</v>
      </c>
      <c r="E1499">
        <v>0</v>
      </c>
      <c r="H1499">
        <v>0</v>
      </c>
      <c r="I1499">
        <v>2769.305816</v>
      </c>
      <c r="J1499">
        <v>0</v>
      </c>
      <c r="K1499" t="s">
        <v>3219</v>
      </c>
      <c r="L1499">
        <v>1.874562066195154</v>
      </c>
      <c r="M1499">
        <v>33.55</v>
      </c>
      <c r="N1499">
        <v>12.18</v>
      </c>
    </row>
    <row r="1500" spans="1:14">
      <c r="A1500" s="1" t="s">
        <v>1512</v>
      </c>
      <c r="B1500">
        <f>HYPERLINK("https://www.suredividend.com/sure-analysis-IP/","International Paper Co.")</f>
        <v>0</v>
      </c>
      <c r="C1500" t="s">
        <v>3223</v>
      </c>
      <c r="D1500">
        <v>47.43</v>
      </c>
      <c r="E1500">
        <v>0.03900484925152857</v>
      </c>
      <c r="F1500">
        <v>-0.09756097560975618</v>
      </c>
      <c r="G1500">
        <v>0</v>
      </c>
      <c r="H1500">
        <v>1.870217691591579</v>
      </c>
      <c r="I1500">
        <v>17850.965105</v>
      </c>
      <c r="J1500">
        <v>10.18890702318493</v>
      </c>
      <c r="K1500">
        <v>0.419331320984659</v>
      </c>
      <c r="L1500">
        <v>0.589940649304592</v>
      </c>
      <c r="M1500">
        <v>60.22</v>
      </c>
      <c r="N1500">
        <v>40.45</v>
      </c>
    </row>
    <row r="1501" spans="1:14">
      <c r="A1501" s="1" t="s">
        <v>1513</v>
      </c>
      <c r="B1501">
        <f>HYPERLINK("https://www.suredividend.com/sure-analysis-research-database/","Inter Parfums, Inc.")</f>
        <v>0</v>
      </c>
      <c r="C1501" t="s">
        <v>3225</v>
      </c>
      <c r="D1501">
        <v>85.93000000000001</v>
      </c>
      <c r="E1501">
        <v>0.014467285486873</v>
      </c>
      <c r="H1501">
        <v>1.243173841887031</v>
      </c>
      <c r="I1501">
        <v>2726.892308</v>
      </c>
      <c r="J1501">
        <v>31.19621453135189</v>
      </c>
      <c r="K1501">
        <v>0.4520632152316477</v>
      </c>
      <c r="L1501">
        <v>1.143499108545517</v>
      </c>
      <c r="M1501">
        <v>107.69</v>
      </c>
      <c r="N1501">
        <v>66.17</v>
      </c>
    </row>
    <row r="1502" spans="1:14">
      <c r="A1502" s="1" t="s">
        <v>1514</v>
      </c>
      <c r="B1502">
        <f>HYPERLINK("https://www.suredividend.com/sure-analysis-IPG/","Interpublic Group Of Cos., Inc.")</f>
        <v>0</v>
      </c>
      <c r="C1502" t="s">
        <v>3228</v>
      </c>
      <c r="D1502">
        <v>34.49</v>
      </c>
      <c r="E1502">
        <v>0.03363293708321252</v>
      </c>
      <c r="F1502">
        <v>0.07407407407407396</v>
      </c>
      <c r="G1502">
        <v>0.100082101138866</v>
      </c>
      <c r="H1502">
        <v>1.087515816297935</v>
      </c>
      <c r="I1502">
        <v>13587.67902</v>
      </c>
      <c r="J1502">
        <v>14.26078822460118</v>
      </c>
      <c r="K1502">
        <v>0.4550275381999728</v>
      </c>
      <c r="L1502">
        <v>1.308068708656709</v>
      </c>
      <c r="M1502">
        <v>39.67</v>
      </c>
      <c r="N1502">
        <v>28.48</v>
      </c>
    </row>
    <row r="1503" spans="1:14">
      <c r="A1503" s="1" t="s">
        <v>1515</v>
      </c>
      <c r="B1503">
        <f>HYPERLINK("https://www.suredividend.com/sure-analysis-research-database/","IPG Photonics Corp")</f>
        <v>0</v>
      </c>
      <c r="C1503" t="s">
        <v>3222</v>
      </c>
      <c r="D1503">
        <v>97.29000000000001</v>
      </c>
      <c r="E1503">
        <v>0</v>
      </c>
      <c r="H1503">
        <v>0</v>
      </c>
      <c r="I1503">
        <v>5111.856517</v>
      </c>
      <c r="J1503">
        <v>18.36049838062468</v>
      </c>
      <c r="K1503">
        <v>0</v>
      </c>
      <c r="L1503">
        <v>1.323101362981271</v>
      </c>
      <c r="M1503">
        <v>234.06</v>
      </c>
      <c r="N1503">
        <v>97.25</v>
      </c>
    </row>
    <row r="1504" spans="1:14">
      <c r="A1504" s="1" t="s">
        <v>1516</v>
      </c>
      <c r="B1504">
        <f>HYPERLINK("https://www.suredividend.com/sure-analysis-research-database/","Inphi Corp")</f>
        <v>0</v>
      </c>
      <c r="C1504" t="s">
        <v>3222</v>
      </c>
      <c r="D1504">
        <v>172.27</v>
      </c>
      <c r="E1504">
        <v>0</v>
      </c>
      <c r="H1504">
        <v>0</v>
      </c>
      <c r="I1504">
        <v>0</v>
      </c>
      <c r="J1504">
        <v>0</v>
      </c>
      <c r="K1504">
        <v>-0</v>
      </c>
    </row>
    <row r="1505" spans="1:14">
      <c r="A1505" s="1" t="s">
        <v>1517</v>
      </c>
      <c r="B1505">
        <f>HYPERLINK("https://www.suredividend.com/sure-analysis-research-database/","Intrepid Potash Inc")</f>
        <v>0</v>
      </c>
      <c r="C1505" t="s">
        <v>3218</v>
      </c>
      <c r="D1505">
        <v>111.95</v>
      </c>
      <c r="E1505">
        <v>0</v>
      </c>
      <c r="H1505">
        <v>0</v>
      </c>
      <c r="I1505">
        <v>1524.577417</v>
      </c>
      <c r="J1505">
        <v>6.102361636526654</v>
      </c>
      <c r="K1505">
        <v>0</v>
      </c>
      <c r="L1505">
        <v>1.06011822585209</v>
      </c>
      <c r="M1505">
        <v>114.29</v>
      </c>
      <c r="N1505">
        <v>22.82</v>
      </c>
    </row>
    <row r="1506" spans="1:14">
      <c r="A1506" s="1" t="s">
        <v>1518</v>
      </c>
      <c r="B1506">
        <f>HYPERLINK("https://www.suredividend.com/sure-analysis-research-database/","Ideal Power Inc")</f>
        <v>0</v>
      </c>
      <c r="C1506" t="s">
        <v>3220</v>
      </c>
      <c r="D1506">
        <v>8.4</v>
      </c>
      <c r="E1506">
        <v>0</v>
      </c>
      <c r="H1506">
        <v>0</v>
      </c>
      <c r="I1506">
        <v>49.591895</v>
      </c>
      <c r="J1506">
        <v>0</v>
      </c>
      <c r="K1506" t="s">
        <v>3219</v>
      </c>
      <c r="L1506">
        <v>1.951705799746325</v>
      </c>
      <c r="M1506">
        <v>18.08</v>
      </c>
      <c r="N1506">
        <v>6.65</v>
      </c>
    </row>
    <row r="1507" spans="1:14">
      <c r="A1507" s="1" t="s">
        <v>1519</v>
      </c>
      <c r="B1507">
        <f>HYPERLINK("https://www.suredividend.com/sure-analysis-research-database/","IQVIA Holdings Inc")</f>
        <v>0</v>
      </c>
      <c r="C1507" t="s">
        <v>3217</v>
      </c>
      <c r="D1507">
        <v>238.48</v>
      </c>
      <c r="E1507">
        <v>0</v>
      </c>
      <c r="H1507">
        <v>0</v>
      </c>
      <c r="I1507">
        <v>45529.426609</v>
      </c>
      <c r="J1507">
        <v>47.13191160356107</v>
      </c>
      <c r="K1507">
        <v>0</v>
      </c>
      <c r="L1507">
        <v>1.039221308877917</v>
      </c>
      <c r="M1507">
        <v>285.61</v>
      </c>
      <c r="N1507">
        <v>208.61</v>
      </c>
    </row>
    <row r="1508" spans="1:14">
      <c r="A1508" s="1" t="s">
        <v>1520</v>
      </c>
      <c r="B1508">
        <f>HYPERLINK("https://www.suredividend.com/sure-analysis-research-database/","Ingersoll-Rand Inc")</f>
        <v>0</v>
      </c>
      <c r="C1508" t="s">
        <v>3220</v>
      </c>
      <c r="D1508">
        <v>46.44</v>
      </c>
      <c r="E1508">
        <v>0.0008611346154840001</v>
      </c>
      <c r="H1508">
        <v>0.03999109154310401</v>
      </c>
      <c r="I1508">
        <v>18928.229985</v>
      </c>
      <c r="J1508">
        <v>33.65018664</v>
      </c>
      <c r="K1508">
        <v>0.02984409816649553</v>
      </c>
      <c r="L1508">
        <v>1.157629880708687</v>
      </c>
      <c r="M1508">
        <v>62.61</v>
      </c>
      <c r="N1508">
        <v>44.83</v>
      </c>
    </row>
    <row r="1509" spans="1:14">
      <c r="A1509" s="1" t="s">
        <v>1521</v>
      </c>
      <c r="B1509">
        <f>HYPERLINK("https://www.suredividend.com/sure-analysis-research-database/","Irobot Corp")</f>
        <v>0</v>
      </c>
      <c r="C1509" t="s">
        <v>3222</v>
      </c>
      <c r="D1509">
        <v>54.15</v>
      </c>
      <c r="E1509">
        <v>0</v>
      </c>
      <c r="H1509">
        <v>0</v>
      </c>
      <c r="I1509">
        <v>1468.323223</v>
      </c>
      <c r="J1509">
        <v>48.3159994521224</v>
      </c>
      <c r="K1509">
        <v>0</v>
      </c>
      <c r="L1509">
        <v>1.334677321515223</v>
      </c>
      <c r="M1509">
        <v>117.45</v>
      </c>
      <c r="N1509">
        <v>53.1</v>
      </c>
    </row>
    <row r="1510" spans="1:14">
      <c r="A1510" s="1" t="s">
        <v>1522</v>
      </c>
      <c r="B1510">
        <f>HYPERLINK("https://www.suredividend.com/sure-analysis-research-database/","Iridium Communications Inc")</f>
        <v>0</v>
      </c>
      <c r="C1510" t="s">
        <v>3228</v>
      </c>
      <c r="D1510">
        <v>40.51</v>
      </c>
      <c r="E1510">
        <v>0</v>
      </c>
      <c r="H1510">
        <v>0</v>
      </c>
      <c r="I1510">
        <v>5186.464755</v>
      </c>
      <c r="J1510" t="s">
        <v>3219</v>
      </c>
      <c r="K1510">
        <v>-0</v>
      </c>
      <c r="L1510">
        <v>1.281296105086049</v>
      </c>
      <c r="M1510">
        <v>48.95</v>
      </c>
      <c r="N1510">
        <v>31.73</v>
      </c>
    </row>
    <row r="1511" spans="1:14">
      <c r="A1511" s="1" t="s">
        <v>1523</v>
      </c>
      <c r="B1511">
        <f>HYPERLINK("https://www.suredividend.com/sure-analysis-research-database/","Investors Real Estate Trust")</f>
        <v>0</v>
      </c>
      <c r="C1511" t="s">
        <v>3224</v>
      </c>
      <c r="D1511">
        <v>70.42</v>
      </c>
      <c r="E1511">
        <v>0.03912306331134</v>
      </c>
      <c r="H1511">
        <v>2.755046118384602</v>
      </c>
      <c r="I1511">
        <v>913.762596</v>
      </c>
      <c r="J1511">
        <v>17.86506992101353</v>
      </c>
      <c r="K1511">
        <v>0.7327250314852665</v>
      </c>
      <c r="L1511">
        <v>0.9203056496162351</v>
      </c>
      <c r="M1511">
        <v>81.90000000000001</v>
      </c>
      <c r="N1511">
        <v>43.43</v>
      </c>
    </row>
    <row r="1512" spans="1:14">
      <c r="A1512" s="1" t="s">
        <v>1524</v>
      </c>
      <c r="B1512">
        <f>HYPERLINK("https://www.suredividend.com/sure-analysis-research-database/","IRIDEX Corp.")</f>
        <v>0</v>
      </c>
      <c r="C1512" t="s">
        <v>3217</v>
      </c>
      <c r="D1512">
        <v>4.34</v>
      </c>
      <c r="E1512">
        <v>0</v>
      </c>
      <c r="H1512">
        <v>0</v>
      </c>
      <c r="I1512">
        <v>68.930553</v>
      </c>
      <c r="J1512">
        <v>0</v>
      </c>
      <c r="K1512" t="s">
        <v>3219</v>
      </c>
      <c r="L1512">
        <v>0.952370791206237</v>
      </c>
      <c r="M1512">
        <v>9.710000000000001</v>
      </c>
      <c r="N1512">
        <v>3.69</v>
      </c>
    </row>
    <row r="1513" spans="1:14">
      <c r="A1513" s="1" t="s">
        <v>1525</v>
      </c>
      <c r="B1513">
        <f>HYPERLINK("https://www.suredividend.com/sure-analysis-IRM/","Iron Mountain Inc.")</f>
        <v>0</v>
      </c>
      <c r="C1513" t="s">
        <v>3224</v>
      </c>
      <c r="D1513">
        <v>55.42</v>
      </c>
      <c r="E1513">
        <v>0.04456874774449657</v>
      </c>
      <c r="F1513">
        <v>0</v>
      </c>
      <c r="G1513">
        <v>0.02375350792230457</v>
      </c>
      <c r="H1513">
        <v>2.428134898128618</v>
      </c>
      <c r="I1513">
        <v>16098.325342</v>
      </c>
      <c r="J1513">
        <v>35.75665474375804</v>
      </c>
      <c r="K1513">
        <v>1.566538643953947</v>
      </c>
      <c r="L1513">
        <v>0.8507737952283581</v>
      </c>
      <c r="M1513">
        <v>56.82</v>
      </c>
      <c r="N1513">
        <v>36.03</v>
      </c>
    </row>
    <row r="1514" spans="1:14">
      <c r="A1514" s="1" t="s">
        <v>1526</v>
      </c>
      <c r="B1514">
        <f>HYPERLINK("https://www.suredividend.com/sure-analysis-research-database/","Iradimed Corp")</f>
        <v>0</v>
      </c>
      <c r="C1514" t="s">
        <v>3217</v>
      </c>
      <c r="D1514">
        <v>44.23</v>
      </c>
      <c r="E1514">
        <v>0</v>
      </c>
      <c r="H1514">
        <v>0</v>
      </c>
      <c r="I1514">
        <v>555.490187</v>
      </c>
      <c r="J1514">
        <v>0</v>
      </c>
      <c r="K1514" t="s">
        <v>3219</v>
      </c>
      <c r="L1514">
        <v>1.321529324409014</v>
      </c>
      <c r="M1514">
        <v>55.92</v>
      </c>
      <c r="N1514">
        <v>24.58</v>
      </c>
    </row>
    <row r="1515" spans="1:14">
      <c r="A1515" s="1" t="s">
        <v>1527</v>
      </c>
      <c r="B1515">
        <f>HYPERLINK("https://www.suredividend.com/sure-analysis-research-database/","IF Bancorp Inc")</f>
        <v>0</v>
      </c>
      <c r="C1515" t="s">
        <v>3221</v>
      </c>
      <c r="D1515">
        <v>23.5</v>
      </c>
      <c r="E1515">
        <v>0.014837772588106</v>
      </c>
      <c r="H1515">
        <v>0.348687655820513</v>
      </c>
      <c r="I1515">
        <v>76.560086</v>
      </c>
      <c r="J1515">
        <v>0</v>
      </c>
      <c r="K1515" t="s">
        <v>3219</v>
      </c>
      <c r="M1515">
        <v>28.15</v>
      </c>
      <c r="N1515">
        <v>20.92</v>
      </c>
    </row>
    <row r="1516" spans="1:14">
      <c r="A1516" s="1" t="s">
        <v>1528</v>
      </c>
      <c r="B1516">
        <f>HYPERLINK("https://www.suredividend.com/sure-analysis-IRT/","Independence Realty Trust Inc")</f>
        <v>0</v>
      </c>
      <c r="C1516" t="s">
        <v>3224</v>
      </c>
      <c r="D1516">
        <v>26.96</v>
      </c>
      <c r="E1516">
        <v>0.002967359050445104</v>
      </c>
      <c r="F1516">
        <v>0</v>
      </c>
      <c r="G1516">
        <v>0.1486983549970351</v>
      </c>
      <c r="H1516">
        <v>0.37698232289484</v>
      </c>
      <c r="I1516">
        <v>5962.610719</v>
      </c>
      <c r="J1516">
        <v>0</v>
      </c>
      <c r="K1516" t="s">
        <v>3219</v>
      </c>
      <c r="L1516">
        <v>0.617940324159145</v>
      </c>
      <c r="M1516">
        <v>27.61</v>
      </c>
      <c r="N1516">
        <v>15.22</v>
      </c>
    </row>
    <row r="1517" spans="1:14">
      <c r="A1517" s="1" t="s">
        <v>1529</v>
      </c>
      <c r="B1517">
        <f>HYPERLINK("https://www.suredividend.com/sure-analysis-research-database/","iRhythm Technologies Inc")</f>
        <v>0</v>
      </c>
      <c r="C1517" t="s">
        <v>3217</v>
      </c>
      <c r="D1517">
        <v>144.51</v>
      </c>
      <c r="E1517">
        <v>0</v>
      </c>
      <c r="H1517">
        <v>0</v>
      </c>
      <c r="I1517">
        <v>4301.875993</v>
      </c>
      <c r="J1517" t="s">
        <v>3219</v>
      </c>
      <c r="K1517">
        <v>-0</v>
      </c>
      <c r="L1517">
        <v>1.713467275993011</v>
      </c>
      <c r="M1517">
        <v>169.54</v>
      </c>
      <c r="N1517">
        <v>41.66</v>
      </c>
    </row>
    <row r="1518" spans="1:14">
      <c r="A1518" s="1" t="s">
        <v>1530</v>
      </c>
      <c r="B1518">
        <f>HYPERLINK("https://www.suredividend.com/sure-analysis-research-database/","Ironwood Pharmaceuticals Inc")</f>
        <v>0</v>
      </c>
      <c r="C1518" t="s">
        <v>3217</v>
      </c>
      <c r="D1518">
        <v>12.32</v>
      </c>
      <c r="E1518">
        <v>0</v>
      </c>
      <c r="H1518">
        <v>0</v>
      </c>
      <c r="I1518">
        <v>1961.614658</v>
      </c>
      <c r="J1518">
        <v>3.712029675729684</v>
      </c>
      <c r="K1518">
        <v>0</v>
      </c>
      <c r="L1518">
        <v>0.6515211365078301</v>
      </c>
      <c r="M1518">
        <v>14.27</v>
      </c>
      <c r="N1518">
        <v>10.13</v>
      </c>
    </row>
    <row r="1519" spans="1:14">
      <c r="A1519" s="1" t="s">
        <v>1531</v>
      </c>
      <c r="B1519">
        <f>HYPERLINK("https://www.suredividend.com/sure-analysis-research-database/","Investors Bancorp Inc")</f>
        <v>0</v>
      </c>
      <c r="C1519" t="s">
        <v>3221</v>
      </c>
      <c r="D1519">
        <v>13.87</v>
      </c>
      <c r="E1519">
        <v>0</v>
      </c>
      <c r="F1519">
        <v>0.1428571428571428</v>
      </c>
      <c r="G1519">
        <v>0.1486983549970351</v>
      </c>
      <c r="H1519">
        <v>0.57999999821186</v>
      </c>
      <c r="I1519">
        <v>0</v>
      </c>
      <c r="J1519">
        <v>0</v>
      </c>
      <c r="K1519">
        <v>0.4360902242194436</v>
      </c>
    </row>
    <row r="1520" spans="1:14">
      <c r="A1520" s="1" t="s">
        <v>1532</v>
      </c>
      <c r="B1520">
        <f>HYPERLINK("https://www.suredividend.com/sure-analysis-research-database/","Issuer Direct Corp")</f>
        <v>0</v>
      </c>
      <c r="C1520" t="s">
        <v>3222</v>
      </c>
      <c r="D1520">
        <v>28.16</v>
      </c>
      <c r="E1520">
        <v>0</v>
      </c>
      <c r="H1520">
        <v>0</v>
      </c>
      <c r="I1520">
        <v>106.82603</v>
      </c>
      <c r="J1520">
        <v>0</v>
      </c>
      <c r="K1520" t="s">
        <v>3219</v>
      </c>
      <c r="L1520">
        <v>0.335777273322991</v>
      </c>
      <c r="M1520">
        <v>33.06</v>
      </c>
      <c r="N1520">
        <v>22.8</v>
      </c>
    </row>
    <row r="1521" spans="1:14">
      <c r="A1521" s="1" t="s">
        <v>1533</v>
      </c>
      <c r="B1521">
        <f>HYPERLINK("https://www.suredividend.com/sure-analysis-research-database/","IVERIC bio Inc")</f>
        <v>0</v>
      </c>
      <c r="C1521" t="s">
        <v>3217</v>
      </c>
      <c r="D1521">
        <v>17.32</v>
      </c>
      <c r="E1521">
        <v>0</v>
      </c>
      <c r="H1521">
        <v>0</v>
      </c>
      <c r="I1521">
        <v>2004.506091</v>
      </c>
      <c r="J1521">
        <v>0</v>
      </c>
      <c r="K1521" t="s">
        <v>3219</v>
      </c>
      <c r="L1521">
        <v>1.456766434838714</v>
      </c>
      <c r="M1521">
        <v>19.35</v>
      </c>
      <c r="N1521">
        <v>5.62</v>
      </c>
    </row>
    <row r="1522" spans="1:14">
      <c r="A1522" s="1" t="s">
        <v>1534</v>
      </c>
      <c r="B1522">
        <f>HYPERLINK("https://www.suredividend.com/sure-analysis-research-database/","Insignia Systems, Inc.")</f>
        <v>0</v>
      </c>
      <c r="C1522" t="s">
        <v>3228</v>
      </c>
      <c r="D1522">
        <v>9.56</v>
      </c>
      <c r="E1522">
        <v>0</v>
      </c>
      <c r="H1522">
        <v>0</v>
      </c>
      <c r="I1522">
        <v>17.07699</v>
      </c>
      <c r="J1522">
        <v>0</v>
      </c>
      <c r="K1522" t="s">
        <v>3219</v>
      </c>
      <c r="L1522">
        <v>1.980738928034166</v>
      </c>
      <c r="M1522">
        <v>35.5</v>
      </c>
      <c r="N1522">
        <v>4.84</v>
      </c>
    </row>
    <row r="1523" spans="1:14">
      <c r="A1523" s="1" t="s">
        <v>1535</v>
      </c>
      <c r="B1523">
        <f>HYPERLINK("https://www.suredividend.com/sure-analysis-research-database/","Image Sensing Systems, Inc.")</f>
        <v>0</v>
      </c>
      <c r="C1523" t="s">
        <v>3222</v>
      </c>
      <c r="D1523">
        <v>6.44</v>
      </c>
      <c r="E1523">
        <v>0.018633539956178</v>
      </c>
      <c r="H1523">
        <v>0.11999999731779</v>
      </c>
      <c r="I1523">
        <v>34.48193</v>
      </c>
      <c r="J1523">
        <v>0</v>
      </c>
      <c r="K1523" t="s">
        <v>3219</v>
      </c>
      <c r="M1523">
        <v>11.41</v>
      </c>
      <c r="N1523">
        <v>3.35</v>
      </c>
    </row>
    <row r="1524" spans="1:14">
      <c r="A1524" s="1" t="s">
        <v>1536</v>
      </c>
      <c r="B1524">
        <f>HYPERLINK("https://www.suredividend.com/sure-analysis-research-database/","Isoray, Inc.")</f>
        <v>0</v>
      </c>
      <c r="C1524" t="s">
        <v>3217</v>
      </c>
      <c r="D1524">
        <v>0.3397</v>
      </c>
      <c r="E1524">
        <v>0</v>
      </c>
      <c r="H1524">
        <v>0</v>
      </c>
      <c r="I1524">
        <v>48.251078</v>
      </c>
      <c r="J1524">
        <v>0</v>
      </c>
      <c r="K1524" t="s">
        <v>3219</v>
      </c>
      <c r="L1524">
        <v>1.193496330381056</v>
      </c>
      <c r="M1524">
        <v>0.9821000000000001</v>
      </c>
      <c r="N1524">
        <v>0.31</v>
      </c>
    </row>
    <row r="1525" spans="1:14">
      <c r="A1525" s="1" t="s">
        <v>1537</v>
      </c>
      <c r="B1525">
        <f>HYPERLINK("https://www.suredividend.com/sure-analysis-research-database/","Intuitive Surgical Inc")</f>
        <v>0</v>
      </c>
      <c r="C1525" t="s">
        <v>3217</v>
      </c>
      <c r="D1525">
        <v>279.7</v>
      </c>
      <c r="E1525">
        <v>0</v>
      </c>
      <c r="H1525">
        <v>0</v>
      </c>
      <c r="I1525">
        <v>100466.795909</v>
      </c>
      <c r="J1525">
        <v>58.9386342302593</v>
      </c>
      <c r="K1525">
        <v>0</v>
      </c>
      <c r="L1525">
        <v>1.430263029198922</v>
      </c>
      <c r="M1525">
        <v>369.69</v>
      </c>
      <c r="N1525">
        <v>254.2</v>
      </c>
    </row>
    <row r="1526" spans="1:14">
      <c r="A1526" s="1" t="s">
        <v>1538</v>
      </c>
      <c r="B1526">
        <f>HYPERLINK("https://www.suredividend.com/sure-analysis-research-database/","Innovative Solutions And Support Inc")</f>
        <v>0</v>
      </c>
      <c r="C1526" t="s">
        <v>3220</v>
      </c>
      <c r="D1526">
        <v>7.8</v>
      </c>
      <c r="E1526">
        <v>0</v>
      </c>
      <c r="H1526">
        <v>0</v>
      </c>
      <c r="I1526">
        <v>134.71979</v>
      </c>
      <c r="J1526">
        <v>22.61228158309716</v>
      </c>
      <c r="K1526">
        <v>0</v>
      </c>
      <c r="L1526">
        <v>0.6246018326336761</v>
      </c>
      <c r="M1526">
        <v>8.5</v>
      </c>
      <c r="N1526">
        <v>5.34</v>
      </c>
    </row>
    <row r="1527" spans="1:14">
      <c r="A1527" s="1" t="s">
        <v>1539</v>
      </c>
      <c r="B1527">
        <f>HYPERLINK("https://www.suredividend.com/sure-analysis-research-database/","Investar Holding Corp")</f>
        <v>0</v>
      </c>
      <c r="C1527" t="s">
        <v>3221</v>
      </c>
      <c r="D1527">
        <v>18.72</v>
      </c>
      <c r="E1527">
        <v>0.017251471051861</v>
      </c>
      <c r="F1527">
        <v>-0.5277777777777777</v>
      </c>
      <c r="G1527">
        <v>0.2315712275705608</v>
      </c>
      <c r="H1527">
        <v>0.322947538090839</v>
      </c>
      <c r="I1527">
        <v>193.007169</v>
      </c>
      <c r="J1527">
        <v>0</v>
      </c>
      <c r="K1527" t="s">
        <v>3219</v>
      </c>
      <c r="M1527">
        <v>23.31</v>
      </c>
      <c r="N1527">
        <v>16.92</v>
      </c>
    </row>
    <row r="1528" spans="1:14">
      <c r="A1528" s="1" t="s">
        <v>1540</v>
      </c>
      <c r="B1528">
        <f>HYPERLINK("https://www.suredividend.com/sure-analysis-research-database/","Gartner, Inc.")</f>
        <v>0</v>
      </c>
      <c r="C1528" t="s">
        <v>3222</v>
      </c>
      <c r="D1528">
        <v>298.1</v>
      </c>
      <c r="E1528">
        <v>0</v>
      </c>
      <c r="H1528">
        <v>0</v>
      </c>
      <c r="I1528">
        <v>24529.874536</v>
      </c>
      <c r="J1528">
        <v>30.91117815439286</v>
      </c>
      <c r="K1528">
        <v>0</v>
      </c>
      <c r="L1528">
        <v>1.332387467220953</v>
      </c>
      <c r="M1528">
        <v>369</v>
      </c>
      <c r="N1528">
        <v>189.45</v>
      </c>
    </row>
    <row r="1529" spans="1:14">
      <c r="A1529" s="1" t="s">
        <v>1541</v>
      </c>
      <c r="B1529">
        <f>HYPERLINK("https://www.suredividend.com/sure-analysis-research-database/","Intra-Cellular Therapies Inc")</f>
        <v>0</v>
      </c>
      <c r="C1529" t="s">
        <v>3217</v>
      </c>
      <c r="D1529">
        <v>64.3</v>
      </c>
      <c r="E1529">
        <v>0</v>
      </c>
      <c r="H1529">
        <v>0</v>
      </c>
      <c r="I1529">
        <v>6018.077996</v>
      </c>
      <c r="J1529">
        <v>0</v>
      </c>
      <c r="K1529" t="s">
        <v>3219</v>
      </c>
      <c r="L1529">
        <v>0.637847043260346</v>
      </c>
      <c r="M1529">
        <v>66</v>
      </c>
      <c r="N1529">
        <v>28.4</v>
      </c>
    </row>
    <row r="1530" spans="1:14">
      <c r="A1530" s="1" t="s">
        <v>1542</v>
      </c>
      <c r="B1530">
        <f>HYPERLINK("https://www.suredividend.com/sure-analysis-research-database/","Integer Holdings Corp")</f>
        <v>0</v>
      </c>
      <c r="C1530" t="s">
        <v>3217</v>
      </c>
      <c r="D1530">
        <v>81.67</v>
      </c>
      <c r="E1530">
        <v>0</v>
      </c>
      <c r="H1530">
        <v>0</v>
      </c>
      <c r="I1530">
        <v>2703.441483</v>
      </c>
      <c r="J1530">
        <v>27.92580657982812</v>
      </c>
      <c r="K1530">
        <v>0</v>
      </c>
      <c r="L1530">
        <v>0.9899288595518591</v>
      </c>
      <c r="M1530">
        <v>101.61</v>
      </c>
      <c r="N1530">
        <v>74.8</v>
      </c>
    </row>
    <row r="1531" spans="1:14">
      <c r="A1531" s="1" t="s">
        <v>1543</v>
      </c>
      <c r="B1531">
        <f>HYPERLINK("https://www.suredividend.com/sure-analysis-research-database/","Iteris Inc.")</f>
        <v>0</v>
      </c>
      <c r="C1531" t="s">
        <v>3222</v>
      </c>
      <c r="D1531">
        <v>2.78</v>
      </c>
      <c r="E1531">
        <v>0</v>
      </c>
      <c r="H1531">
        <v>0</v>
      </c>
      <c r="I1531">
        <v>117.682326</v>
      </c>
      <c r="J1531">
        <v>0</v>
      </c>
      <c r="K1531" t="s">
        <v>3219</v>
      </c>
      <c r="L1531">
        <v>1.319689314796837</v>
      </c>
      <c r="M1531">
        <v>7.77</v>
      </c>
      <c r="N1531">
        <v>2.68</v>
      </c>
    </row>
    <row r="1532" spans="1:14">
      <c r="A1532" s="1" t="s">
        <v>1544</v>
      </c>
      <c r="B1532">
        <f>HYPERLINK("https://www.suredividend.com/sure-analysis-research-database/","Investors Title Co.")</f>
        <v>0</v>
      </c>
      <c r="C1532" t="s">
        <v>3221</v>
      </c>
      <c r="D1532">
        <v>194.1</v>
      </c>
      <c r="E1532">
        <v>0.009448543760774001</v>
      </c>
      <c r="F1532">
        <v>0</v>
      </c>
      <c r="G1532">
        <v>0.02834672210021361</v>
      </c>
      <c r="H1532">
        <v>1.833962343966304</v>
      </c>
      <c r="I1532">
        <v>368.257196</v>
      </c>
      <c r="J1532">
        <v>0</v>
      </c>
      <c r="K1532" t="s">
        <v>3219</v>
      </c>
      <c r="M1532">
        <v>246.95</v>
      </c>
      <c r="N1532">
        <v>160.05</v>
      </c>
    </row>
    <row r="1533" spans="1:14">
      <c r="A1533" s="1" t="s">
        <v>1545</v>
      </c>
      <c r="B1533">
        <f>HYPERLINK("https://www.suredividend.com/sure-analysis-research-database/","Itron Inc.")</f>
        <v>0</v>
      </c>
      <c r="C1533" t="s">
        <v>3222</v>
      </c>
      <c r="D1533">
        <v>50.01</v>
      </c>
      <c r="E1533">
        <v>0</v>
      </c>
      <c r="H1533">
        <v>0</v>
      </c>
      <c r="I1533">
        <v>2252.303871</v>
      </c>
      <c r="J1533" t="s">
        <v>3219</v>
      </c>
      <c r="K1533">
        <v>-0</v>
      </c>
      <c r="L1533">
        <v>1.321711686902965</v>
      </c>
      <c r="M1533">
        <v>102.32</v>
      </c>
      <c r="N1533">
        <v>44.02</v>
      </c>
    </row>
    <row r="1534" spans="1:14">
      <c r="A1534" s="1" t="s">
        <v>1546</v>
      </c>
      <c r="B1534">
        <f>HYPERLINK("https://www.suredividend.com/sure-analysis-research-database/","ITT Inc")</f>
        <v>0</v>
      </c>
      <c r="C1534" t="s">
        <v>3220</v>
      </c>
      <c r="D1534">
        <v>72.23</v>
      </c>
      <c r="E1534">
        <v>0.012740156769123</v>
      </c>
      <c r="F1534">
        <v>0.2</v>
      </c>
      <c r="G1534">
        <v>0.1557896243650145</v>
      </c>
      <c r="H1534">
        <v>0.920221523433825</v>
      </c>
      <c r="I1534">
        <v>6051.505458</v>
      </c>
      <c r="J1534">
        <v>19.13217027565602</v>
      </c>
      <c r="K1534">
        <v>0.2514266457469467</v>
      </c>
      <c r="L1534">
        <v>1.220310752524582</v>
      </c>
      <c r="M1534">
        <v>104.95</v>
      </c>
      <c r="N1534">
        <v>70.33</v>
      </c>
    </row>
    <row r="1535" spans="1:14">
      <c r="A1535" s="1" t="s">
        <v>1547</v>
      </c>
      <c r="B1535">
        <f>HYPERLINK("https://www.suredividend.com/sure-analysis-ITW/","Illinois Tool Works, Inc.")</f>
        <v>0</v>
      </c>
      <c r="C1535" t="s">
        <v>3220</v>
      </c>
      <c r="D1535">
        <v>196.27</v>
      </c>
      <c r="E1535">
        <v>0.02486370815713048</v>
      </c>
      <c r="F1535">
        <v>0.070175438596491</v>
      </c>
      <c r="G1535">
        <v>0.134199090791316</v>
      </c>
      <c r="H1535">
        <v>4.761994910905776</v>
      </c>
      <c r="I1535">
        <v>61216.617514</v>
      </c>
      <c r="J1535">
        <v>22.72331756280995</v>
      </c>
      <c r="K1535">
        <v>0.5595763702591982</v>
      </c>
      <c r="L1535">
        <v>0.705533888135589</v>
      </c>
      <c r="M1535">
        <v>248.42</v>
      </c>
      <c r="N1535">
        <v>196</v>
      </c>
    </row>
    <row r="1536" spans="1:14">
      <c r="A1536" s="1" t="s">
        <v>1548</v>
      </c>
      <c r="B1536">
        <f>HYPERLINK("https://www.suredividend.com/sure-analysis-research-database/","Intevac, Inc.")</f>
        <v>0</v>
      </c>
      <c r="C1536" t="s">
        <v>3220</v>
      </c>
      <c r="D1536">
        <v>5.15</v>
      </c>
      <c r="E1536">
        <v>0</v>
      </c>
      <c r="H1536">
        <v>0</v>
      </c>
      <c r="I1536">
        <v>128.168266</v>
      </c>
      <c r="J1536">
        <v>4.814735773854245</v>
      </c>
      <c r="K1536">
        <v>0</v>
      </c>
      <c r="L1536">
        <v>1.091354510785136</v>
      </c>
      <c r="M1536">
        <v>7.17</v>
      </c>
      <c r="N1536">
        <v>3.93</v>
      </c>
    </row>
    <row r="1537" spans="1:14">
      <c r="A1537" s="1" t="s">
        <v>1549</v>
      </c>
      <c r="B1537">
        <f>HYPERLINK("https://www.suredividend.com/sure-analysis-research-database/","Invacare Corp.")</f>
        <v>0</v>
      </c>
      <c r="C1537" t="s">
        <v>3217</v>
      </c>
      <c r="D1537">
        <v>1.46</v>
      </c>
      <c r="E1537">
        <v>0</v>
      </c>
      <c r="H1537">
        <v>0</v>
      </c>
      <c r="I1537">
        <v>50.373183</v>
      </c>
      <c r="J1537" t="s">
        <v>3219</v>
      </c>
      <c r="K1537">
        <v>-0</v>
      </c>
      <c r="L1537">
        <v>1.150370955386222</v>
      </c>
      <c r="M1537">
        <v>9.23</v>
      </c>
      <c r="N1537">
        <v>1.38</v>
      </c>
    </row>
    <row r="1538" spans="1:14">
      <c r="A1538" s="1" t="s">
        <v>1550</v>
      </c>
      <c r="B1538">
        <f>HYPERLINK("https://www.suredividend.com/sure-analysis-research-database/","Invesco Mortgage Capital Inc")</f>
        <v>0</v>
      </c>
      <c r="C1538" t="s">
        <v>3224</v>
      </c>
      <c r="D1538">
        <v>1.95</v>
      </c>
      <c r="E1538">
        <v>0.174999996460488</v>
      </c>
      <c r="F1538">
        <v>0</v>
      </c>
      <c r="G1538">
        <v>-0.2615999276959593</v>
      </c>
      <c r="H1538">
        <v>0.341249993097953</v>
      </c>
      <c r="I1538">
        <v>643.255821</v>
      </c>
      <c r="J1538" t="s">
        <v>3219</v>
      </c>
      <c r="K1538" t="s">
        <v>3219</v>
      </c>
      <c r="L1538">
        <v>0.9060898235073571</v>
      </c>
      <c r="M1538">
        <v>4.06</v>
      </c>
      <c r="N1538">
        <v>1.94</v>
      </c>
    </row>
    <row r="1539" spans="1:14">
      <c r="A1539" s="1" t="s">
        <v>1551</v>
      </c>
      <c r="B1539">
        <f>HYPERLINK("https://www.suredividend.com/sure-analysis-IVZ/","Invesco Ltd")</f>
        <v>0</v>
      </c>
      <c r="C1539" t="s">
        <v>3221</v>
      </c>
      <c r="D1539">
        <v>21</v>
      </c>
      <c r="E1539">
        <v>0.03238095238095239</v>
      </c>
      <c r="F1539">
        <v>0.09677419354838723</v>
      </c>
      <c r="G1539">
        <v>-0.1013094298912159</v>
      </c>
      <c r="H1539">
        <v>0.672884405142223</v>
      </c>
      <c r="I1539">
        <v>9551.467044000001</v>
      </c>
      <c r="J1539">
        <v>6.856760261306533</v>
      </c>
      <c r="K1539">
        <v>0.2250449515525829</v>
      </c>
      <c r="L1539">
        <v>1.46078552301496</v>
      </c>
      <c r="M1539">
        <v>29.1</v>
      </c>
      <c r="N1539">
        <v>18.42</v>
      </c>
    </row>
    <row r="1540" spans="1:14">
      <c r="A1540" s="1" t="s">
        <v>1552</v>
      </c>
      <c r="B1540">
        <f>HYPERLINK("https://www.suredividend.com/sure-analysis-research-database/","IZEA Worldwide Inc")</f>
        <v>0</v>
      </c>
      <c r="C1540" t="s">
        <v>3228</v>
      </c>
      <c r="D1540">
        <v>1.36</v>
      </c>
      <c r="E1540">
        <v>0</v>
      </c>
      <c r="H1540">
        <v>0</v>
      </c>
      <c r="I1540">
        <v>84.560047</v>
      </c>
      <c r="J1540">
        <v>0</v>
      </c>
      <c r="K1540" t="s">
        <v>3219</v>
      </c>
      <c r="L1540">
        <v>1.395532456181354</v>
      </c>
      <c r="M1540">
        <v>4.13</v>
      </c>
      <c r="N1540">
        <v>0.85</v>
      </c>
    </row>
    <row r="1541" spans="1:14">
      <c r="A1541" s="1" t="s">
        <v>1553</v>
      </c>
      <c r="B1541">
        <f>HYPERLINK("https://www.suredividend.com/sure-analysis-JACK/","Jack In The Box, Inc.")</f>
        <v>0</v>
      </c>
      <c r="C1541" t="s">
        <v>3223</v>
      </c>
      <c r="D1541">
        <v>92</v>
      </c>
      <c r="E1541">
        <v>0.01913043478260869</v>
      </c>
      <c r="H1541">
        <v>1.746296537109172</v>
      </c>
      <c r="I1541">
        <v>1936.001908</v>
      </c>
      <c r="J1541">
        <v>12.55790451850603</v>
      </c>
      <c r="K1541">
        <v>0.2494709338727389</v>
      </c>
      <c r="L1541">
        <v>0.814558362618868</v>
      </c>
      <c r="M1541">
        <v>122.21</v>
      </c>
      <c r="N1541">
        <v>76.06999999999999</v>
      </c>
    </row>
    <row r="1542" spans="1:14">
      <c r="A1542" s="1" t="s">
        <v>1554</v>
      </c>
      <c r="B1542">
        <f>HYPERLINK("https://www.suredividend.com/sure-analysis-research-database/","Jaguar Health Inc")</f>
        <v>0</v>
      </c>
      <c r="C1542" t="s">
        <v>3217</v>
      </c>
      <c r="D1542">
        <v>0.5635</v>
      </c>
      <c r="E1542">
        <v>0</v>
      </c>
      <c r="H1542">
        <v>0</v>
      </c>
      <c r="I1542">
        <v>43.419923</v>
      </c>
      <c r="J1542" t="s">
        <v>3219</v>
      </c>
      <c r="K1542">
        <v>-0</v>
      </c>
      <c r="L1542">
        <v>2.178795075157187</v>
      </c>
      <c r="M1542">
        <v>6.84</v>
      </c>
      <c r="N1542">
        <v>0.343</v>
      </c>
    </row>
    <row r="1543" spans="1:14">
      <c r="A1543" s="1" t="s">
        <v>1555</v>
      </c>
      <c r="B1543">
        <f>HYPERLINK("https://www.suredividend.com/sure-analysis-research-database/","Jakks Pacific Inc.")</f>
        <v>0</v>
      </c>
      <c r="C1543" t="s">
        <v>3223</v>
      </c>
      <c r="D1543">
        <v>14.48</v>
      </c>
      <c r="E1543">
        <v>0</v>
      </c>
      <c r="H1543">
        <v>0</v>
      </c>
      <c r="I1543">
        <v>138.572195</v>
      </c>
      <c r="J1543" t="s">
        <v>3219</v>
      </c>
      <c r="K1543">
        <v>-0</v>
      </c>
      <c r="L1543">
        <v>1.684178487918503</v>
      </c>
      <c r="M1543">
        <v>16.62</v>
      </c>
      <c r="N1543">
        <v>5.83</v>
      </c>
    </row>
    <row r="1544" spans="1:14">
      <c r="A1544" s="1" t="s">
        <v>1556</v>
      </c>
      <c r="B1544">
        <f>HYPERLINK("https://www.suredividend.com/sure-analysis-research-database/","J. Alexanders Holdings Inc")</f>
        <v>0</v>
      </c>
      <c r="C1544" t="s">
        <v>3223</v>
      </c>
      <c r="D1544">
        <v>14</v>
      </c>
      <c r="E1544">
        <v>0</v>
      </c>
      <c r="H1544">
        <v>0</v>
      </c>
      <c r="I1544">
        <v>211.118502</v>
      </c>
      <c r="J1544">
        <v>27.05260148641722</v>
      </c>
      <c r="K1544">
        <v>0</v>
      </c>
      <c r="L1544">
        <v>0.655588971458805</v>
      </c>
      <c r="M1544">
        <v>14</v>
      </c>
      <c r="N1544">
        <v>5.12</v>
      </c>
    </row>
    <row r="1545" spans="1:14">
      <c r="A1545" s="1" t="s">
        <v>1557</v>
      </c>
      <c r="B1545">
        <f>HYPERLINK("https://www.suredividend.com/sure-analysis-research-database/","Jazz Pharmaceuticals plc")</f>
        <v>0</v>
      </c>
      <c r="C1545" t="s">
        <v>3217</v>
      </c>
      <c r="D1545">
        <v>167.25</v>
      </c>
      <c r="E1545">
        <v>0</v>
      </c>
      <c r="H1545">
        <v>0</v>
      </c>
      <c r="I1545">
        <v>10325.821157</v>
      </c>
      <c r="J1545" t="s">
        <v>3219</v>
      </c>
      <c r="K1545">
        <v>-0</v>
      </c>
      <c r="L1545">
        <v>0.750603094060291</v>
      </c>
      <c r="M1545">
        <v>189</v>
      </c>
      <c r="N1545">
        <v>117.64</v>
      </c>
    </row>
    <row r="1546" spans="1:14">
      <c r="A1546" s="1" t="s">
        <v>1558</v>
      </c>
      <c r="B1546">
        <f>HYPERLINK("https://www.suredividend.com/sure-analysis-research-database/","JBG SMITH Properties")</f>
        <v>0</v>
      </c>
      <c r="C1546" t="s">
        <v>3224</v>
      </c>
      <c r="D1546">
        <v>27.51</v>
      </c>
      <c r="E1546">
        <v>0.03234470325892901</v>
      </c>
      <c r="H1546">
        <v>0.889802786653156</v>
      </c>
      <c r="I1546">
        <v>3501.286145</v>
      </c>
      <c r="J1546" t="s">
        <v>3219</v>
      </c>
      <c r="K1546" t="s">
        <v>3219</v>
      </c>
      <c r="L1546">
        <v>0.697640833649473</v>
      </c>
      <c r="M1546">
        <v>34.2</v>
      </c>
      <c r="N1546">
        <v>25.33</v>
      </c>
    </row>
    <row r="1547" spans="1:14">
      <c r="A1547" s="1" t="s">
        <v>1559</v>
      </c>
      <c r="B1547">
        <f>HYPERLINK("https://www.suredividend.com/sure-analysis-research-database/","J.B. Hunt Transport Services, Inc.")</f>
        <v>0</v>
      </c>
      <c r="C1547" t="s">
        <v>3220</v>
      </c>
      <c r="D1547">
        <v>172.01</v>
      </c>
      <c r="E1547">
        <v>0.007538556231289</v>
      </c>
      <c r="F1547">
        <v>0.4285714285714286</v>
      </c>
      <c r="G1547">
        <v>0.1170340997937203</v>
      </c>
      <c r="H1547">
        <v>1.296707057344119</v>
      </c>
      <c r="I1547">
        <v>18063.439735</v>
      </c>
      <c r="J1547">
        <v>23.74250431112531</v>
      </c>
      <c r="K1547">
        <v>0.1816116326812492</v>
      </c>
      <c r="L1547">
        <v>0.9316359754231791</v>
      </c>
      <c r="M1547">
        <v>218.18</v>
      </c>
      <c r="N1547">
        <v>154.28</v>
      </c>
    </row>
    <row r="1548" spans="1:14">
      <c r="A1548" s="1" t="s">
        <v>1560</v>
      </c>
      <c r="B1548">
        <f>HYPERLINK("https://www.suredividend.com/sure-analysis-JBL/","Jabil Inc")</f>
        <v>0</v>
      </c>
      <c r="C1548" t="s">
        <v>3222</v>
      </c>
      <c r="D1548">
        <v>56.95</v>
      </c>
      <c r="E1548">
        <v>0.005618964003511852</v>
      </c>
      <c r="F1548">
        <v>0</v>
      </c>
      <c r="G1548">
        <v>0</v>
      </c>
      <c r="H1548">
        <v>0.319379066078121</v>
      </c>
      <c r="I1548">
        <v>8042.267317</v>
      </c>
      <c r="J1548">
        <v>9.966820485274582</v>
      </c>
      <c r="K1548">
        <v>0.05903494751906118</v>
      </c>
      <c r="L1548">
        <v>1.480184944812351</v>
      </c>
      <c r="M1548">
        <v>72.01000000000001</v>
      </c>
      <c r="N1548">
        <v>50.57</v>
      </c>
    </row>
    <row r="1549" spans="1:14">
      <c r="A1549" s="1" t="s">
        <v>1561</v>
      </c>
      <c r="B1549">
        <f>HYPERLINK("https://www.suredividend.com/sure-analysis-research-database/","Jetblue Airways Corp")</f>
        <v>0</v>
      </c>
      <c r="C1549" t="s">
        <v>3220</v>
      </c>
      <c r="D1549">
        <v>12.78</v>
      </c>
      <c r="E1549">
        <v>0</v>
      </c>
      <c r="H1549">
        <v>0</v>
      </c>
      <c r="I1549">
        <v>4099.683778</v>
      </c>
      <c r="J1549" t="s">
        <v>3219</v>
      </c>
      <c r="K1549">
        <v>-0</v>
      </c>
      <c r="L1549">
        <v>1.525003897158887</v>
      </c>
      <c r="M1549">
        <v>20.89</v>
      </c>
      <c r="N1549">
        <v>11.37</v>
      </c>
    </row>
    <row r="1550" spans="1:14">
      <c r="A1550" s="1" t="s">
        <v>1562</v>
      </c>
      <c r="B1550">
        <f>HYPERLINK("https://www.suredividend.com/sure-analysis-research-database/","Sanfilippo (John B.) &amp; Son, Inc")</f>
        <v>0</v>
      </c>
      <c r="C1550" t="s">
        <v>3225</v>
      </c>
      <c r="D1550">
        <v>85.91</v>
      </c>
      <c r="E1550">
        <v>0.008148061786509</v>
      </c>
      <c r="H1550">
        <v>0.699999988079071</v>
      </c>
      <c r="I1550">
        <v>767.032143</v>
      </c>
      <c r="J1550">
        <v>12.88263592576419</v>
      </c>
      <c r="K1550">
        <v>0.1361867681087687</v>
      </c>
      <c r="L1550">
        <v>0.322007949345827</v>
      </c>
      <c r="M1550">
        <v>94.25</v>
      </c>
      <c r="N1550">
        <v>76.56999999999999</v>
      </c>
    </row>
    <row r="1551" spans="1:14">
      <c r="A1551" s="1" t="s">
        <v>1563</v>
      </c>
      <c r="B1551">
        <f>HYPERLINK("https://www.suredividend.com/sure-analysis-research-database/","John Bean Technologies Corp")</f>
        <v>0</v>
      </c>
      <c r="C1551" t="s">
        <v>3220</v>
      </c>
      <c r="D1551">
        <v>109</v>
      </c>
      <c r="E1551">
        <v>0.00366544219379</v>
      </c>
      <c r="F1551">
        <v>0</v>
      </c>
      <c r="G1551">
        <v>0</v>
      </c>
      <c r="H1551">
        <v>0.399533199123118</v>
      </c>
      <c r="I1551">
        <v>3321.775</v>
      </c>
      <c r="J1551">
        <v>28.0555320945946</v>
      </c>
      <c r="K1551">
        <v>0.1082745797081621</v>
      </c>
      <c r="L1551">
        <v>1.402609957333018</v>
      </c>
      <c r="M1551">
        <v>177.29</v>
      </c>
      <c r="N1551">
        <v>98.48</v>
      </c>
    </row>
    <row r="1552" spans="1:14">
      <c r="A1552" s="1" t="s">
        <v>1564</v>
      </c>
      <c r="B1552">
        <f>HYPERLINK("https://www.suredividend.com/sure-analysis-JCI/","Johnson Controls International plc")</f>
        <v>0</v>
      </c>
      <c r="C1552" t="s">
        <v>3220</v>
      </c>
      <c r="D1552">
        <v>61.53</v>
      </c>
      <c r="E1552">
        <v>0.02275312855517634</v>
      </c>
      <c r="F1552">
        <v>0.2962962962962963</v>
      </c>
      <c r="G1552">
        <v>0.06961037572506878</v>
      </c>
      <c r="H1552">
        <v>1.221968710699055</v>
      </c>
      <c r="I1552">
        <v>43243.26911</v>
      </c>
      <c r="J1552">
        <v>27.5962151306573</v>
      </c>
      <c r="K1552">
        <v>0.5579765802278791</v>
      </c>
      <c r="L1552">
        <v>1.144378466178442</v>
      </c>
      <c r="M1552">
        <v>81.33</v>
      </c>
      <c r="N1552">
        <v>59.07</v>
      </c>
    </row>
    <row r="1553" spans="1:14">
      <c r="A1553" s="1" t="s">
        <v>1565</v>
      </c>
      <c r="B1553">
        <f>HYPERLINK("https://www.suredividend.com/sure-analysis-research-database/","Pineapple Holdings Inc")</f>
        <v>0</v>
      </c>
      <c r="C1553" t="s">
        <v>3222</v>
      </c>
      <c r="D1553">
        <v>8.18</v>
      </c>
      <c r="E1553">
        <v>0</v>
      </c>
      <c r="H1553">
        <v>0</v>
      </c>
      <c r="I1553">
        <v>79.514729</v>
      </c>
      <c r="J1553">
        <v>0</v>
      </c>
      <c r="K1553" t="s">
        <v>3219</v>
      </c>
      <c r="L1553">
        <v>0.272415469132382</v>
      </c>
      <c r="M1553">
        <v>24.79</v>
      </c>
      <c r="N1553">
        <v>7.32</v>
      </c>
    </row>
    <row r="1554" spans="1:14">
      <c r="A1554" s="1" t="s">
        <v>1566</v>
      </c>
      <c r="B1554">
        <f>HYPERLINK("https://www.suredividend.com/sure-analysis-research-database/","Jewett-Cameron Trading Co. Ltd.")</f>
        <v>0</v>
      </c>
      <c r="C1554" t="s">
        <v>3218</v>
      </c>
      <c r="D1554">
        <v>6.62</v>
      </c>
      <c r="E1554">
        <v>0</v>
      </c>
      <c r="H1554">
        <v>0</v>
      </c>
      <c r="I1554">
        <v>23.122614</v>
      </c>
      <c r="J1554">
        <v>0</v>
      </c>
      <c r="K1554" t="s">
        <v>3219</v>
      </c>
      <c r="M1554">
        <v>13.74</v>
      </c>
      <c r="N1554">
        <v>5.5</v>
      </c>
    </row>
    <row r="1555" spans="1:14">
      <c r="A1555" s="1" t="s">
        <v>1567</v>
      </c>
      <c r="B1555">
        <f>HYPERLINK("https://www.suredividend.com/sure-analysis-research-database/","Jefferies Financial Group Inc")</f>
        <v>0</v>
      </c>
      <c r="C1555" t="s">
        <v>3221</v>
      </c>
      <c r="D1555">
        <v>31.74</v>
      </c>
      <c r="E1555">
        <v>0.031208318486013</v>
      </c>
      <c r="F1555">
        <v>0.5000000000000002</v>
      </c>
      <c r="G1555">
        <v>0.3685108578372633</v>
      </c>
      <c r="H1555">
        <v>0.9905520287460641</v>
      </c>
      <c r="I1555">
        <v>7601.89308</v>
      </c>
      <c r="J1555">
        <v>5.415634091276304</v>
      </c>
      <c r="K1555">
        <v>0.1904907747588585</v>
      </c>
      <c r="L1555">
        <v>1.182696620090563</v>
      </c>
      <c r="M1555">
        <v>43.87</v>
      </c>
      <c r="N1555">
        <v>28.71</v>
      </c>
    </row>
    <row r="1556" spans="1:14">
      <c r="A1556" s="1" t="s">
        <v>1568</v>
      </c>
      <c r="B1556">
        <f>HYPERLINK("https://www.suredividend.com/sure-analysis-research-database/","JELD-WEN Holding Inc.")</f>
        <v>0</v>
      </c>
      <c r="C1556" t="s">
        <v>3220</v>
      </c>
      <c r="D1556">
        <v>20.66</v>
      </c>
      <c r="E1556">
        <v>0</v>
      </c>
      <c r="H1556">
        <v>0</v>
      </c>
      <c r="I1556">
        <v>1857.932024</v>
      </c>
      <c r="J1556">
        <v>11.00527196905617</v>
      </c>
      <c r="K1556">
        <v>0</v>
      </c>
      <c r="L1556">
        <v>1.652110388233627</v>
      </c>
      <c r="M1556">
        <v>31.47</v>
      </c>
      <c r="N1556">
        <v>18.43</v>
      </c>
    </row>
    <row r="1557" spans="1:14">
      <c r="A1557" s="1" t="s">
        <v>1569</v>
      </c>
      <c r="B1557">
        <f>HYPERLINK("https://www.suredividend.com/sure-analysis-research-database/","Janus Henderson Group plc")</f>
        <v>0</v>
      </c>
      <c r="C1557" t="s">
        <v>3221</v>
      </c>
      <c r="D1557">
        <v>32.72</v>
      </c>
      <c r="E1557">
        <v>0.04579385150115001</v>
      </c>
      <c r="F1557">
        <v>0.05555555555555558</v>
      </c>
      <c r="G1557">
        <v>0.8303003958636432</v>
      </c>
      <c r="H1557">
        <v>1.498374821117641</v>
      </c>
      <c r="I1557">
        <v>5531.190159</v>
      </c>
      <c r="J1557">
        <v>9.151538978954337</v>
      </c>
      <c r="K1557">
        <v>0.4173746019826298</v>
      </c>
      <c r="L1557">
        <v>1.34811013920564</v>
      </c>
      <c r="M1557">
        <v>48.03</v>
      </c>
      <c r="N1557">
        <v>29.27</v>
      </c>
    </row>
    <row r="1558" spans="1:14">
      <c r="A1558" s="1" t="s">
        <v>1570</v>
      </c>
      <c r="B1558">
        <f>HYPERLINK("https://www.suredividend.com/sure-analysis-research-database/","J.Jill Inc")</f>
        <v>0</v>
      </c>
      <c r="C1558" t="s">
        <v>3223</v>
      </c>
      <c r="D1558">
        <v>15.56</v>
      </c>
      <c r="E1558">
        <v>0</v>
      </c>
      <c r="H1558">
        <v>0</v>
      </c>
      <c r="I1558">
        <v>155.413762</v>
      </c>
      <c r="J1558" t="s">
        <v>3219</v>
      </c>
      <c r="K1558">
        <v>-0</v>
      </c>
      <c r="L1558">
        <v>1.492689792702689</v>
      </c>
      <c r="M1558">
        <v>24.5</v>
      </c>
      <c r="N1558">
        <v>6.88</v>
      </c>
    </row>
    <row r="1559" spans="1:14">
      <c r="A1559" s="1" t="s">
        <v>1571</v>
      </c>
      <c r="B1559">
        <f>HYPERLINK("https://www.suredividend.com/sure-analysis-research-database/","J&amp;J Snack Foods Corp.")</f>
        <v>0</v>
      </c>
      <c r="C1559" t="s">
        <v>3225</v>
      </c>
      <c r="D1559">
        <v>156.15</v>
      </c>
      <c r="E1559">
        <v>0.01611582884929</v>
      </c>
      <c r="F1559">
        <v>0.1008695652173912</v>
      </c>
      <c r="G1559">
        <v>0.08550263976242833</v>
      </c>
      <c r="H1559">
        <v>2.516486674816788</v>
      </c>
      <c r="I1559">
        <v>2983.974502</v>
      </c>
      <c r="J1559">
        <v>45.96387094963031</v>
      </c>
      <c r="K1559">
        <v>0.742326452748315</v>
      </c>
      <c r="L1559">
        <v>0.40680363130277</v>
      </c>
      <c r="M1559">
        <v>178.84</v>
      </c>
      <c r="N1559">
        <v>133.58</v>
      </c>
    </row>
    <row r="1560" spans="1:14">
      <c r="A1560" s="1" t="s">
        <v>1572</v>
      </c>
      <c r="B1560">
        <f>HYPERLINK("https://www.suredividend.com/sure-analysis-JKHY/","Jack Henry &amp; Associates, Inc.")</f>
        <v>0</v>
      </c>
      <c r="C1560" t="s">
        <v>3222</v>
      </c>
      <c r="D1560">
        <v>200.49</v>
      </c>
      <c r="E1560">
        <v>0.009776048680732206</v>
      </c>
      <c r="F1560">
        <v>0.06521739130434767</v>
      </c>
      <c r="G1560">
        <v>0.09588978104084478</v>
      </c>
      <c r="H1560">
        <v>1.862282583228336</v>
      </c>
      <c r="I1560">
        <v>14600.690866</v>
      </c>
      <c r="J1560">
        <v>42.19182172247186</v>
      </c>
      <c r="K1560">
        <v>0.4004908781136206</v>
      </c>
      <c r="L1560">
        <v>0.5596685283186921</v>
      </c>
      <c r="M1560">
        <v>205.37</v>
      </c>
      <c r="N1560">
        <v>147.01</v>
      </c>
    </row>
    <row r="1561" spans="1:14">
      <c r="A1561" s="1" t="s">
        <v>1573</v>
      </c>
      <c r="B1561">
        <f>HYPERLINK("https://www.suredividend.com/sure-analysis-research-database/","Jones Lang Lasalle Inc.")</f>
        <v>0</v>
      </c>
      <c r="C1561" t="s">
        <v>3224</v>
      </c>
      <c r="D1561">
        <v>224.9</v>
      </c>
      <c r="E1561">
        <v>0</v>
      </c>
      <c r="H1561">
        <v>0</v>
      </c>
      <c r="I1561">
        <v>11219.159665</v>
      </c>
      <c r="J1561">
        <v>11.66717935180948</v>
      </c>
      <c r="K1561">
        <v>0</v>
      </c>
      <c r="L1561">
        <v>1.245156020143794</v>
      </c>
      <c r="M1561">
        <v>275.77</v>
      </c>
      <c r="N1561">
        <v>174.69</v>
      </c>
    </row>
    <row r="1562" spans="1:14">
      <c r="A1562" s="1" t="s">
        <v>1574</v>
      </c>
      <c r="B1562">
        <f>HYPERLINK("https://www.suredividend.com/sure-analysis-research-database/","Jounce Therapeutics Inc")</f>
        <v>0</v>
      </c>
      <c r="C1562" t="s">
        <v>3217</v>
      </c>
      <c r="D1562">
        <v>6.78</v>
      </c>
      <c r="E1562">
        <v>0</v>
      </c>
      <c r="H1562">
        <v>0</v>
      </c>
      <c r="I1562">
        <v>350.286585</v>
      </c>
      <c r="J1562">
        <v>0</v>
      </c>
      <c r="K1562" t="s">
        <v>3219</v>
      </c>
      <c r="L1562">
        <v>1.098324972489727</v>
      </c>
      <c r="M1562">
        <v>10.09</v>
      </c>
      <c r="N1562">
        <v>5.03</v>
      </c>
    </row>
    <row r="1563" spans="1:14">
      <c r="A1563" s="1" t="s">
        <v>1575</v>
      </c>
      <c r="B1563">
        <f>HYPERLINK("https://www.suredividend.com/sure-analysis-JNJ/","Johnson &amp; Johnson")</f>
        <v>0</v>
      </c>
      <c r="C1563" t="s">
        <v>3217</v>
      </c>
      <c r="D1563">
        <v>179.9</v>
      </c>
      <c r="E1563">
        <v>0.0235686492495831</v>
      </c>
      <c r="F1563">
        <v>0.04950495049504955</v>
      </c>
      <c r="G1563">
        <v>0.04762370263962179</v>
      </c>
      <c r="H1563">
        <v>4.199827781649033</v>
      </c>
      <c r="I1563">
        <v>473005.341624</v>
      </c>
      <c r="J1563">
        <v>22.65568261443625</v>
      </c>
      <c r="K1563">
        <v>0.5377500360626162</v>
      </c>
      <c r="L1563">
        <v>0.260242941173791</v>
      </c>
      <c r="M1563">
        <v>184.2</v>
      </c>
      <c r="N1563">
        <v>154.86</v>
      </c>
    </row>
    <row r="1564" spans="1:14">
      <c r="A1564" s="1" t="s">
        <v>1576</v>
      </c>
      <c r="B1564">
        <f>HYPERLINK("https://www.suredividend.com/sure-analysis-JNPR/","Juniper Networks Inc")</f>
        <v>0</v>
      </c>
      <c r="C1564" t="s">
        <v>3222</v>
      </c>
      <c r="D1564">
        <v>35.13</v>
      </c>
      <c r="E1564">
        <v>0.02391118701964133</v>
      </c>
      <c r="F1564">
        <v>0.04999999999999982</v>
      </c>
      <c r="G1564">
        <v>0.1599622586540013</v>
      </c>
      <c r="H1564">
        <v>0.802490152313969</v>
      </c>
      <c r="I1564">
        <v>11331.832459</v>
      </c>
      <c r="J1564">
        <v>44.84302516383063</v>
      </c>
      <c r="K1564">
        <v>1.052998494047985</v>
      </c>
      <c r="L1564">
        <v>1.057072803781772</v>
      </c>
      <c r="M1564">
        <v>38.14</v>
      </c>
      <c r="N1564">
        <v>24.27</v>
      </c>
    </row>
    <row r="1565" spans="1:14">
      <c r="A1565" s="1" t="s">
        <v>1577</v>
      </c>
      <c r="B1565">
        <f>HYPERLINK("https://www.suredividend.com/sure-analysis-research-database/","GEE Group Inc")</f>
        <v>0</v>
      </c>
      <c r="C1565" t="s">
        <v>3220</v>
      </c>
      <c r="D1565">
        <v>0.5721000000000001</v>
      </c>
      <c r="E1565">
        <v>0</v>
      </c>
      <c r="H1565">
        <v>0</v>
      </c>
      <c r="I1565">
        <v>65.27687</v>
      </c>
      <c r="J1565">
        <v>0</v>
      </c>
      <c r="K1565" t="s">
        <v>3219</v>
      </c>
      <c r="L1565">
        <v>1.153505113744973</v>
      </c>
      <c r="M1565">
        <v>0.6896</v>
      </c>
      <c r="N1565">
        <v>0.39</v>
      </c>
    </row>
    <row r="1566" spans="1:14">
      <c r="A1566" s="1" t="s">
        <v>1578</v>
      </c>
      <c r="B1566">
        <f>HYPERLINK("https://www.suredividend.com/sure-analysis-research-database/","St. Joe Co.")</f>
        <v>0</v>
      </c>
      <c r="C1566" t="s">
        <v>3224</v>
      </c>
      <c r="D1566">
        <v>58.29</v>
      </c>
      <c r="E1566">
        <v>0.005819160212191</v>
      </c>
      <c r="H1566">
        <v>0.339198848768634</v>
      </c>
      <c r="I1566">
        <v>3433.755655</v>
      </c>
      <c r="J1566">
        <v>46.05791390648264</v>
      </c>
      <c r="K1566">
        <v>0.2670857076918378</v>
      </c>
      <c r="L1566">
        <v>1.408504004985136</v>
      </c>
      <c r="M1566">
        <v>62.21</v>
      </c>
      <c r="N1566">
        <v>39.6</v>
      </c>
    </row>
    <row r="1567" spans="1:14">
      <c r="A1567" s="1" t="s">
        <v>1579</v>
      </c>
      <c r="B1567">
        <f>HYPERLINK("https://www.suredividend.com/sure-analysis-research-database/","Johnson Outdoors Inc")</f>
        <v>0</v>
      </c>
      <c r="C1567" t="s">
        <v>3223</v>
      </c>
      <c r="D1567">
        <v>79.7</v>
      </c>
      <c r="E1567">
        <v>0.013860516548391</v>
      </c>
      <c r="F1567">
        <v>0.4285714285714288</v>
      </c>
      <c r="G1567">
        <v>0.2722596365393921</v>
      </c>
      <c r="H1567">
        <v>1.104683168906804</v>
      </c>
      <c r="I1567">
        <v>713.248291</v>
      </c>
      <c r="J1567">
        <v>9.62938154583502</v>
      </c>
      <c r="K1567">
        <v>0.1511194485508624</v>
      </c>
      <c r="L1567">
        <v>0.9925611891009821</v>
      </c>
      <c r="M1567">
        <v>150.33</v>
      </c>
      <c r="N1567">
        <v>75.09999999999999</v>
      </c>
    </row>
    <row r="1568" spans="1:14">
      <c r="A1568" s="1" t="s">
        <v>1580</v>
      </c>
      <c r="B1568">
        <f>HYPERLINK("https://www.suredividend.com/sure-analysis-JPM/","JPMorgan Chase &amp; Co.")</f>
        <v>0</v>
      </c>
      <c r="C1568" t="s">
        <v>3221</v>
      </c>
      <c r="D1568">
        <v>126.12</v>
      </c>
      <c r="E1568">
        <v>0.03171582619727244</v>
      </c>
      <c r="F1568">
        <v>0.1111111111111112</v>
      </c>
      <c r="G1568">
        <v>0.1486983549970351</v>
      </c>
      <c r="H1568">
        <v>3.862105107107952</v>
      </c>
      <c r="I1568">
        <v>370763.823426</v>
      </c>
      <c r="J1568">
        <v>7.97290117681698</v>
      </c>
      <c r="K1568">
        <v>0.2514391345773406</v>
      </c>
      <c r="L1568">
        <v>0.9305170345088151</v>
      </c>
      <c r="M1568">
        <v>170.66</v>
      </c>
      <c r="N1568">
        <v>125.02</v>
      </c>
    </row>
    <row r="1569" spans="1:14">
      <c r="A1569" s="1" t="s">
        <v>1581</v>
      </c>
      <c r="B1569">
        <f>HYPERLINK("https://www.suredividend.com/sure-analysis-research-database/","James River Group Holdings Ltd")</f>
        <v>0</v>
      </c>
      <c r="C1569" t="s">
        <v>3221</v>
      </c>
      <c r="D1569">
        <v>24.25</v>
      </c>
      <c r="E1569">
        <v>0.038699327357126</v>
      </c>
      <c r="F1569">
        <v>-0.8333333333333334</v>
      </c>
      <c r="G1569">
        <v>-0.3011728812284208</v>
      </c>
      <c r="H1569">
        <v>0.9384586884103081</v>
      </c>
      <c r="I1569">
        <v>908.121615</v>
      </c>
      <c r="J1569">
        <v>0</v>
      </c>
      <c r="K1569" t="s">
        <v>3219</v>
      </c>
      <c r="L1569">
        <v>0.6278401335172611</v>
      </c>
      <c r="M1569">
        <v>48.96</v>
      </c>
      <c r="N1569">
        <v>19.71</v>
      </c>
    </row>
    <row r="1570" spans="1:14">
      <c r="A1570" s="1" t="s">
        <v>1582</v>
      </c>
      <c r="B1570">
        <f>HYPERLINK("https://www.suredividend.com/sure-analysis-research-database/","Coffee Holding Co Inc")</f>
        <v>0</v>
      </c>
      <c r="C1570" t="s">
        <v>3225</v>
      </c>
      <c r="D1570">
        <v>3.2278</v>
      </c>
      <c r="E1570">
        <v>0</v>
      </c>
      <c r="H1570">
        <v>0</v>
      </c>
      <c r="I1570">
        <v>18.426216</v>
      </c>
      <c r="J1570">
        <v>0</v>
      </c>
      <c r="K1570" t="s">
        <v>3219</v>
      </c>
      <c r="L1570">
        <v>0.5338044360605471</v>
      </c>
      <c r="M1570">
        <v>6.18</v>
      </c>
      <c r="N1570">
        <v>3.15</v>
      </c>
    </row>
    <row r="1571" spans="1:14">
      <c r="A1571" s="1" t="s">
        <v>1583</v>
      </c>
      <c r="B1571">
        <f>HYPERLINK("https://www.suredividend.com/sure-analysis-research-database/","Nordstrom, Inc.")</f>
        <v>0</v>
      </c>
      <c r="C1571" t="s">
        <v>3223</v>
      </c>
      <c r="D1571">
        <v>28.85</v>
      </c>
      <c r="E1571">
        <v>0.006585788478884001</v>
      </c>
      <c r="H1571">
        <v>0.189999997615814</v>
      </c>
      <c r="I1571">
        <v>4598.648946</v>
      </c>
      <c r="J1571">
        <v>25.83510644073033</v>
      </c>
      <c r="K1571">
        <v>0.1727272705598309</v>
      </c>
      <c r="L1571">
        <v>1.904926192285247</v>
      </c>
      <c r="M1571">
        <v>43.49</v>
      </c>
      <c r="N1571">
        <v>18.52</v>
      </c>
    </row>
    <row r="1572" spans="1:14">
      <c r="A1572" s="1" t="s">
        <v>1584</v>
      </c>
      <c r="B1572">
        <f>HYPERLINK("https://www.suredividend.com/sure-analysis-research-database/","Joint Corp")</f>
        <v>0</v>
      </c>
      <c r="C1572" t="s">
        <v>3217</v>
      </c>
      <c r="D1572">
        <v>33.52</v>
      </c>
      <c r="E1572">
        <v>0</v>
      </c>
      <c r="H1572">
        <v>0</v>
      </c>
      <c r="I1572">
        <v>483.135123</v>
      </c>
      <c r="J1572">
        <v>0</v>
      </c>
      <c r="K1572" t="s">
        <v>3219</v>
      </c>
      <c r="L1572">
        <v>1.957951453368716</v>
      </c>
      <c r="M1572">
        <v>111.06</v>
      </c>
      <c r="N1572">
        <v>29.84</v>
      </c>
    </row>
    <row r="1573" spans="1:14">
      <c r="A1573" s="1" t="s">
        <v>1585</v>
      </c>
      <c r="B1573">
        <f>HYPERLINK("https://www.suredividend.com/sure-analysis-K/","Kellogg Co")</f>
        <v>0</v>
      </c>
      <c r="C1573" t="s">
        <v>3225</v>
      </c>
      <c r="D1573">
        <v>67.88</v>
      </c>
      <c r="E1573">
        <v>0.03417796110783736</v>
      </c>
      <c r="F1573">
        <v>0.01754385964912264</v>
      </c>
      <c r="G1573">
        <v>0.0220800938152379</v>
      </c>
      <c r="H1573">
        <v>2.288961496605129</v>
      </c>
      <c r="I1573">
        <v>23089.818061</v>
      </c>
      <c r="J1573">
        <v>15.51735084752688</v>
      </c>
      <c r="K1573">
        <v>0.528628521155919</v>
      </c>
      <c r="L1573">
        <v>-0.005450501089301001</v>
      </c>
      <c r="M1573">
        <v>68.44</v>
      </c>
      <c r="N1573">
        <v>59.54</v>
      </c>
    </row>
    <row r="1574" spans="1:14">
      <c r="A1574" s="1" t="s">
        <v>1586</v>
      </c>
      <c r="B1574">
        <f>HYPERLINK("https://www.suredividend.com/sure-analysis-research-database/","Kadant, Inc.")</f>
        <v>0</v>
      </c>
      <c r="C1574" t="s">
        <v>3220</v>
      </c>
      <c r="D1574">
        <v>189.18</v>
      </c>
      <c r="E1574">
        <v>0.005328770635295001</v>
      </c>
      <c r="F1574">
        <v>0.04000000000000004</v>
      </c>
      <c r="G1574">
        <v>0.04364022715043592</v>
      </c>
      <c r="H1574">
        <v>1.00809682878529</v>
      </c>
      <c r="I1574">
        <v>2205.522302</v>
      </c>
      <c r="J1574">
        <v>26.24278407315303</v>
      </c>
      <c r="K1574">
        <v>0.1398192550326338</v>
      </c>
      <c r="L1574">
        <v>1.027782554007157</v>
      </c>
      <c r="M1574">
        <v>239.87</v>
      </c>
      <c r="N1574">
        <v>162.34</v>
      </c>
    </row>
    <row r="1575" spans="1:14">
      <c r="A1575" s="1" t="s">
        <v>1587</v>
      </c>
      <c r="B1575">
        <f>HYPERLINK("https://www.suredividend.com/sure-analysis-research-database/","Kala Pharmaceuticals Inc")</f>
        <v>0</v>
      </c>
      <c r="C1575" t="s">
        <v>3217</v>
      </c>
      <c r="D1575">
        <v>0.8526</v>
      </c>
      <c r="E1575">
        <v>0</v>
      </c>
      <c r="H1575">
        <v>0</v>
      </c>
      <c r="I1575">
        <v>61.893649</v>
      </c>
      <c r="J1575">
        <v>0</v>
      </c>
      <c r="K1575" t="s">
        <v>3219</v>
      </c>
      <c r="L1575">
        <v>0.859592081368544</v>
      </c>
      <c r="M1575">
        <v>8.380000000000001</v>
      </c>
      <c r="N1575">
        <v>0.59</v>
      </c>
    </row>
    <row r="1576" spans="1:14">
      <c r="A1576" s="1" t="s">
        <v>1588</v>
      </c>
      <c r="B1576">
        <f>HYPERLINK("https://www.suredividend.com/sure-analysis-research-database/","Kaiser Aluminum Corp")</f>
        <v>0</v>
      </c>
      <c r="C1576" t="s">
        <v>3218</v>
      </c>
      <c r="D1576">
        <v>100.49</v>
      </c>
      <c r="E1576">
        <v>0.02884882886361</v>
      </c>
      <c r="F1576">
        <v>0.06944444444444442</v>
      </c>
      <c r="G1576">
        <v>0.09019489529987834</v>
      </c>
      <c r="H1576">
        <v>2.8990188125042</v>
      </c>
      <c r="I1576">
        <v>1594.285708</v>
      </c>
      <c r="J1576" t="s">
        <v>3219</v>
      </c>
      <c r="K1576" t="s">
        <v>3219</v>
      </c>
      <c r="L1576">
        <v>1.024539073038642</v>
      </c>
      <c r="M1576">
        <v>138.15</v>
      </c>
      <c r="N1576">
        <v>85.05</v>
      </c>
    </row>
    <row r="1577" spans="1:14">
      <c r="A1577" s="1" t="s">
        <v>1589</v>
      </c>
      <c r="B1577">
        <f>HYPERLINK("https://www.suredividend.com/sure-analysis-research-database/","KalVista Pharmaceuticals Inc")</f>
        <v>0</v>
      </c>
      <c r="C1577" t="s">
        <v>3217</v>
      </c>
      <c r="D1577">
        <v>14.36</v>
      </c>
      <c r="E1577">
        <v>0</v>
      </c>
      <c r="H1577">
        <v>0</v>
      </c>
      <c r="I1577">
        <v>352.441156</v>
      </c>
      <c r="J1577" t="s">
        <v>3219</v>
      </c>
      <c r="K1577">
        <v>-0</v>
      </c>
      <c r="L1577">
        <v>1.292549547893018</v>
      </c>
      <c r="M1577">
        <v>30.7</v>
      </c>
      <c r="N1577">
        <v>10.79</v>
      </c>
    </row>
    <row r="1578" spans="1:14">
      <c r="A1578" s="1" t="s">
        <v>1590</v>
      </c>
      <c r="B1578">
        <f>HYPERLINK("https://www.suredividend.com/sure-analysis-research-database/","Kaman Corp.")</f>
        <v>0</v>
      </c>
      <c r="C1578" t="s">
        <v>3220</v>
      </c>
      <c r="D1578">
        <v>42.66</v>
      </c>
      <c r="E1578">
        <v>0.018614685653207</v>
      </c>
      <c r="F1578">
        <v>0</v>
      </c>
      <c r="G1578">
        <v>0</v>
      </c>
      <c r="H1578">
        <v>0.7941024899658291</v>
      </c>
      <c r="I1578">
        <v>1189.395653</v>
      </c>
      <c r="J1578">
        <v>27.23224776124187</v>
      </c>
      <c r="K1578">
        <v>0.5057977643094452</v>
      </c>
      <c r="L1578">
        <v>0.7758201648881781</v>
      </c>
      <c r="M1578">
        <v>56.27</v>
      </c>
      <c r="N1578">
        <v>33.61</v>
      </c>
    </row>
    <row r="1579" spans="1:14">
      <c r="A1579" s="1" t="s">
        <v>1591</v>
      </c>
      <c r="B1579">
        <f>HYPERLINK("https://www.suredividend.com/sure-analysis-research-database/","KAR Auction Services Inc")</f>
        <v>0</v>
      </c>
      <c r="C1579" t="s">
        <v>3223</v>
      </c>
      <c r="D1579">
        <v>17.58</v>
      </c>
      <c r="E1579">
        <v>0</v>
      </c>
      <c r="H1579">
        <v>0</v>
      </c>
      <c r="I1579">
        <v>2130.362578</v>
      </c>
      <c r="J1579">
        <v>107.0533958653266</v>
      </c>
      <c r="K1579">
        <v>0</v>
      </c>
      <c r="L1579">
        <v>1.14619554260268</v>
      </c>
      <c r="M1579">
        <v>22.1</v>
      </c>
      <c r="N1579">
        <v>11.76</v>
      </c>
    </row>
    <row r="1580" spans="1:14">
      <c r="A1580" s="1" t="s">
        <v>1592</v>
      </c>
      <c r="B1580">
        <f>HYPERLINK("https://www.suredividend.com/sure-analysis-research-database/","Kimball International, Inc.")</f>
        <v>0</v>
      </c>
      <c r="C1580" t="s">
        <v>3223</v>
      </c>
      <c r="D1580">
        <v>8</v>
      </c>
      <c r="E1580">
        <v>0.044377146826825</v>
      </c>
      <c r="F1580">
        <v>0</v>
      </c>
      <c r="G1580">
        <v>0.08447177119769855</v>
      </c>
      <c r="H1580">
        <v>0.355017174614604</v>
      </c>
      <c r="I1580">
        <v>292.886952</v>
      </c>
      <c r="J1580" t="s">
        <v>3219</v>
      </c>
      <c r="K1580" t="s">
        <v>3219</v>
      </c>
      <c r="L1580">
        <v>0.783854436991535</v>
      </c>
      <c r="M1580">
        <v>14.37</v>
      </c>
      <c r="N1580">
        <v>7.92</v>
      </c>
    </row>
    <row r="1581" spans="1:14">
      <c r="A1581" s="1" t="s">
        <v>1593</v>
      </c>
      <c r="B1581">
        <f>HYPERLINK("https://www.suredividend.com/sure-analysis-research-database/","KB Home")</f>
        <v>0</v>
      </c>
      <c r="C1581" t="s">
        <v>3223</v>
      </c>
      <c r="D1581">
        <v>33.2</v>
      </c>
      <c r="E1581">
        <v>0.017975389526794</v>
      </c>
      <c r="F1581">
        <v>0</v>
      </c>
      <c r="G1581">
        <v>0.4309690811052556</v>
      </c>
      <c r="H1581">
        <v>0.596782932289573</v>
      </c>
      <c r="I1581">
        <v>2942.254683</v>
      </c>
      <c r="J1581">
        <v>4.910894972026012</v>
      </c>
      <c r="K1581">
        <v>0.09223847485155688</v>
      </c>
      <c r="L1581">
        <v>1.380589434728418</v>
      </c>
      <c r="M1581">
        <v>51.92</v>
      </c>
      <c r="N1581">
        <v>30.13</v>
      </c>
    </row>
    <row r="1582" spans="1:14">
      <c r="A1582" s="1" t="s">
        <v>1594</v>
      </c>
      <c r="B1582">
        <f>HYPERLINK("https://www.suredividend.com/sure-analysis-research-database/","KBR Inc")</f>
        <v>0</v>
      </c>
      <c r="C1582" t="s">
        <v>3220</v>
      </c>
      <c r="D1582">
        <v>56.52</v>
      </c>
      <c r="E1582">
        <v>0.007934327994845001</v>
      </c>
      <c r="F1582">
        <v>0.09090909090909083</v>
      </c>
      <c r="G1582">
        <v>0.08447177119769855</v>
      </c>
      <c r="H1582">
        <v>0.448448218268673</v>
      </c>
      <c r="I1582">
        <v>7902.486174</v>
      </c>
      <c r="J1582">
        <v>439.0270096600001</v>
      </c>
      <c r="K1582">
        <v>3.613603692737091</v>
      </c>
      <c r="L1582">
        <v>0.7230100553954401</v>
      </c>
      <c r="M1582">
        <v>56.94</v>
      </c>
      <c r="N1582">
        <v>36.44</v>
      </c>
    </row>
    <row r="1583" spans="1:14">
      <c r="A1583" s="1" t="s">
        <v>1595</v>
      </c>
      <c r="B1583">
        <f>HYPERLINK("https://www.suredividend.com/sure-analysis-research-database/","Kadmon Holdings Inc")</f>
        <v>0</v>
      </c>
      <c r="C1583" t="s">
        <v>3217</v>
      </c>
      <c r="D1583">
        <v>9.5</v>
      </c>
      <c r="E1583">
        <v>0</v>
      </c>
      <c r="H1583">
        <v>0</v>
      </c>
      <c r="I1583">
        <v>0</v>
      </c>
      <c r="J1583">
        <v>0</v>
      </c>
      <c r="K1583">
        <v>-0</v>
      </c>
    </row>
    <row r="1584" spans="1:14">
      <c r="A1584" s="1" t="s">
        <v>1596</v>
      </c>
      <c r="B1584">
        <f>HYPERLINK("https://www.suredividend.com/sure-analysis-KDP/","Keurig Dr Pepper Inc")</f>
        <v>0</v>
      </c>
      <c r="C1584" t="s">
        <v>3225</v>
      </c>
      <c r="D1584">
        <v>37.24</v>
      </c>
      <c r="E1584">
        <v>0.02013963480128893</v>
      </c>
      <c r="F1584">
        <v>0.25</v>
      </c>
      <c r="G1584">
        <v>-0.2021621132659086</v>
      </c>
      <c r="H1584">
        <v>0.7443530953527591</v>
      </c>
      <c r="I1584">
        <v>52812.217438</v>
      </c>
      <c r="J1584">
        <v>24.60960738029823</v>
      </c>
      <c r="K1584">
        <v>0.4962353969018394</v>
      </c>
      <c r="L1584">
        <v>0.4896017790280131</v>
      </c>
      <c r="M1584">
        <v>39.16</v>
      </c>
      <c r="N1584">
        <v>32.12</v>
      </c>
    </row>
    <row r="1585" spans="1:14">
      <c r="A1585" s="1" t="s">
        <v>1597</v>
      </c>
      <c r="B1585">
        <f>HYPERLINK("https://www.suredividend.com/sure-analysis-research-database/","Kimball Electronics Inc")</f>
        <v>0</v>
      </c>
      <c r="C1585" t="s">
        <v>3220</v>
      </c>
      <c r="D1585">
        <v>17.29</v>
      </c>
      <c r="E1585">
        <v>0</v>
      </c>
      <c r="H1585">
        <v>0</v>
      </c>
      <c r="I1585">
        <v>434.129267</v>
      </c>
      <c r="J1585">
        <v>0</v>
      </c>
      <c r="K1585" t="s">
        <v>3219</v>
      </c>
      <c r="L1585">
        <v>0.8346700159268071</v>
      </c>
      <c r="M1585">
        <v>30.61</v>
      </c>
      <c r="N1585">
        <v>16.8</v>
      </c>
    </row>
    <row r="1586" spans="1:14">
      <c r="A1586" s="1" t="s">
        <v>1598</v>
      </c>
      <c r="B1586">
        <f>HYPERLINK("https://www.suredividend.com/sure-analysis-research-database/","Kelly Services, Inc.")</f>
        <v>0</v>
      </c>
      <c r="C1586" t="s">
        <v>3220</v>
      </c>
      <c r="D1586">
        <v>20.86</v>
      </c>
      <c r="E1586">
        <v>0.004788293314592001</v>
      </c>
      <c r="H1586">
        <v>0.09988379854239401</v>
      </c>
      <c r="I1586">
        <v>823.121459</v>
      </c>
      <c r="J1586">
        <v>5.320759267162249</v>
      </c>
      <c r="K1586">
        <v>0.02548056085265154</v>
      </c>
      <c r="L1586">
        <v>1.128868573251025</v>
      </c>
      <c r="M1586">
        <v>26.78</v>
      </c>
      <c r="N1586">
        <v>15.85</v>
      </c>
    </row>
    <row r="1587" spans="1:14">
      <c r="A1587" s="1" t="s">
        <v>1599</v>
      </c>
      <c r="B1587">
        <f>HYPERLINK("https://www.suredividend.com/sure-analysis-research-database/","Kewaunee Scientific Corporation")</f>
        <v>0</v>
      </c>
      <c r="C1587" t="s">
        <v>3223</v>
      </c>
      <c r="D1587">
        <v>14.4</v>
      </c>
      <c r="E1587">
        <v>0</v>
      </c>
      <c r="H1587">
        <v>0</v>
      </c>
      <c r="I1587">
        <v>40.174171</v>
      </c>
      <c r="J1587">
        <v>0</v>
      </c>
      <c r="K1587" t="s">
        <v>3219</v>
      </c>
      <c r="M1587">
        <v>14.99</v>
      </c>
      <c r="N1587">
        <v>11.44</v>
      </c>
    </row>
    <row r="1588" spans="1:14">
      <c r="A1588" s="1" t="s">
        <v>1600</v>
      </c>
      <c r="B1588">
        <f>HYPERLINK("https://www.suredividend.com/sure-analysis-research-database/","Kirby Corp.")</f>
        <v>0</v>
      </c>
      <c r="C1588" t="s">
        <v>3220</v>
      </c>
      <c r="D1588">
        <v>66.56999999999999</v>
      </c>
      <c r="E1588">
        <v>0</v>
      </c>
      <c r="H1588">
        <v>0</v>
      </c>
      <c r="I1588">
        <v>4007.58057</v>
      </c>
      <c r="J1588" t="s">
        <v>3219</v>
      </c>
      <c r="K1588">
        <v>-0</v>
      </c>
      <c r="L1588">
        <v>0.819340249817692</v>
      </c>
      <c r="M1588">
        <v>75.08</v>
      </c>
      <c r="N1588">
        <v>47.58</v>
      </c>
    </row>
    <row r="1589" spans="1:14">
      <c r="A1589" s="1" t="s">
        <v>1601</v>
      </c>
      <c r="B1589">
        <f>HYPERLINK("https://www.suredividend.com/sure-analysis-KEY/","Keycorp")</f>
        <v>0</v>
      </c>
      <c r="C1589" t="s">
        <v>3221</v>
      </c>
      <c r="D1589">
        <v>20.48</v>
      </c>
      <c r="E1589">
        <v>0.0380859375</v>
      </c>
      <c r="F1589">
        <v>0.05405405405405417</v>
      </c>
      <c r="G1589">
        <v>0.1546814827060505</v>
      </c>
      <c r="H1589">
        <v>0.750906626731308</v>
      </c>
      <c r="I1589">
        <v>18844.249395</v>
      </c>
      <c r="J1589">
        <v>7.480845333545058</v>
      </c>
      <c r="K1589">
        <v>0.2855158276544897</v>
      </c>
      <c r="L1589">
        <v>1.122915113452545</v>
      </c>
      <c r="M1589">
        <v>26.96</v>
      </c>
      <c r="N1589">
        <v>17.45</v>
      </c>
    </row>
    <row r="1590" spans="1:14">
      <c r="A1590" s="1" t="s">
        <v>1602</v>
      </c>
      <c r="B1590">
        <f>HYPERLINK("https://www.suredividend.com/sure-analysis-research-database/","Keysight Technologies Inc")</f>
        <v>0</v>
      </c>
      <c r="C1590" t="s">
        <v>3222</v>
      </c>
      <c r="D1590">
        <v>143.93</v>
      </c>
      <c r="E1590">
        <v>0</v>
      </c>
      <c r="H1590">
        <v>0</v>
      </c>
      <c r="I1590">
        <v>26191.670098</v>
      </c>
      <c r="J1590">
        <v>27.54118832590957</v>
      </c>
      <c r="K1590">
        <v>0</v>
      </c>
      <c r="L1590">
        <v>1.304261225483026</v>
      </c>
      <c r="M1590">
        <v>209.08</v>
      </c>
      <c r="N1590">
        <v>134.65</v>
      </c>
    </row>
    <row r="1591" spans="1:14">
      <c r="A1591" s="1" t="s">
        <v>1603</v>
      </c>
      <c r="B1591">
        <f>HYPERLINK("https://www.suredividend.com/sure-analysis-research-database/","Kentucky First Federal Bancorp")</f>
        <v>0</v>
      </c>
      <c r="C1591" t="s">
        <v>3221</v>
      </c>
      <c r="D1591">
        <v>7.272</v>
      </c>
      <c r="E1591">
        <v>0.04012103711463701</v>
      </c>
      <c r="F1591">
        <v>0</v>
      </c>
      <c r="G1591">
        <v>0</v>
      </c>
      <c r="H1591">
        <v>0.291760181897646</v>
      </c>
      <c r="I1591">
        <v>59.756766</v>
      </c>
      <c r="J1591">
        <v>0</v>
      </c>
      <c r="K1591" t="s">
        <v>3219</v>
      </c>
      <c r="M1591">
        <v>8</v>
      </c>
      <c r="N1591">
        <v>6.55</v>
      </c>
    </row>
    <row r="1592" spans="1:14">
      <c r="A1592" s="1" t="s">
        <v>1604</v>
      </c>
      <c r="B1592">
        <f>HYPERLINK("https://www.suredividend.com/sure-analysis-research-database/","Kforce Inc.")</f>
        <v>0</v>
      </c>
      <c r="C1592" t="s">
        <v>3220</v>
      </c>
      <c r="D1592">
        <v>72.8</v>
      </c>
      <c r="E1592">
        <v>0.01434150462802</v>
      </c>
      <c r="F1592">
        <v>0.3043478260869568</v>
      </c>
      <c r="G1592">
        <v>0.2011244339814313</v>
      </c>
      <c r="H1592">
        <v>1.044061536919881</v>
      </c>
      <c r="I1592">
        <v>1555.869151</v>
      </c>
      <c r="J1592">
        <v>20.69607926892533</v>
      </c>
      <c r="K1592">
        <v>0.2949326375479889</v>
      </c>
      <c r="L1592">
        <v>1.124842927373345</v>
      </c>
      <c r="M1592">
        <v>80.84</v>
      </c>
      <c r="N1592">
        <v>53.27</v>
      </c>
    </row>
    <row r="1593" spans="1:14">
      <c r="A1593" s="1" t="s">
        <v>1605</v>
      </c>
      <c r="B1593">
        <f>HYPERLINK("https://www.suredividend.com/sure-analysis-research-database/","Korn Ferry")</f>
        <v>0</v>
      </c>
      <c r="C1593" t="s">
        <v>3220</v>
      </c>
      <c r="D1593">
        <v>65.61</v>
      </c>
      <c r="E1593">
        <v>0.007286332773821001</v>
      </c>
      <c r="F1593">
        <v>0</v>
      </c>
      <c r="G1593">
        <v>0.03713728933664817</v>
      </c>
      <c r="H1593">
        <v>0.47805629329044</v>
      </c>
      <c r="I1593">
        <v>3536.567301</v>
      </c>
      <c r="J1593">
        <v>11.98734785424964</v>
      </c>
      <c r="K1593">
        <v>0.08676157772966243</v>
      </c>
      <c r="L1593">
        <v>1.367365862644823</v>
      </c>
      <c r="M1593">
        <v>84.22</v>
      </c>
      <c r="N1593">
        <v>59.41</v>
      </c>
    </row>
    <row r="1594" spans="1:14">
      <c r="A1594" s="1" t="s">
        <v>1606</v>
      </c>
      <c r="B1594">
        <f>HYPERLINK("https://www.suredividend.com/sure-analysis-KHC/","Kraft Heinz Co")</f>
        <v>0</v>
      </c>
      <c r="C1594" t="s">
        <v>3225</v>
      </c>
      <c r="D1594">
        <v>42.29</v>
      </c>
      <c r="E1594">
        <v>0.03783400331047529</v>
      </c>
      <c r="F1594">
        <v>0</v>
      </c>
      <c r="G1594">
        <v>-0.07789208851827223</v>
      </c>
      <c r="H1594">
        <v>1.574253921709331</v>
      </c>
      <c r="I1594">
        <v>51800.773265</v>
      </c>
      <c r="J1594">
        <v>51.18653484701581</v>
      </c>
      <c r="K1594">
        <v>1.922635468624</v>
      </c>
      <c r="L1594">
        <v>0.214834369176432</v>
      </c>
      <c r="M1594">
        <v>43.1</v>
      </c>
      <c r="N1594">
        <v>32.44</v>
      </c>
    </row>
    <row r="1595" spans="1:14">
      <c r="A1595" s="1" t="s">
        <v>1607</v>
      </c>
      <c r="B1595">
        <f>HYPERLINK("https://www.suredividend.com/sure-analysis-research-database/","OrthoPediatrics corp")</f>
        <v>0</v>
      </c>
      <c r="C1595" t="s">
        <v>3217</v>
      </c>
      <c r="D1595">
        <v>48.75</v>
      </c>
      <c r="E1595">
        <v>0</v>
      </c>
      <c r="H1595">
        <v>0</v>
      </c>
      <c r="I1595">
        <v>962.5857150000001</v>
      </c>
      <c r="J1595" t="s">
        <v>3219</v>
      </c>
      <c r="K1595">
        <v>-0</v>
      </c>
      <c r="L1595">
        <v>1.362143674335119</v>
      </c>
      <c r="M1595">
        <v>73.91</v>
      </c>
      <c r="N1595">
        <v>43.09</v>
      </c>
    </row>
    <row r="1596" spans="1:14">
      <c r="A1596" s="1" t="s">
        <v>1608</v>
      </c>
      <c r="B1596">
        <f>HYPERLINK("https://www.suredividend.com/sure-analysis-KIM/","Kimco Realty Corp.")</f>
        <v>0</v>
      </c>
      <c r="C1596" t="s">
        <v>3224</v>
      </c>
      <c r="D1596">
        <v>25.13</v>
      </c>
      <c r="E1596">
        <v>0.03024273776362913</v>
      </c>
      <c r="H1596">
        <v>0.692174157970125</v>
      </c>
      <c r="I1596">
        <v>15528.201362</v>
      </c>
      <c r="J1596">
        <v>19.03896802678025</v>
      </c>
      <c r="K1596">
        <v>0.4353296591007076</v>
      </c>
      <c r="L1596">
        <v>1.070704816614045</v>
      </c>
      <c r="M1596">
        <v>25.41</v>
      </c>
      <c r="N1596">
        <v>18.63</v>
      </c>
    </row>
    <row r="1597" spans="1:14">
      <c r="A1597" s="1" t="s">
        <v>1609</v>
      </c>
      <c r="B1597">
        <f>HYPERLINK("https://www.suredividend.com/sure-analysis-research-database/","Kindred Biosciences Inc")</f>
        <v>0</v>
      </c>
      <c r="C1597" t="s">
        <v>3217</v>
      </c>
      <c r="D1597">
        <v>9.25</v>
      </c>
      <c r="E1597">
        <v>0</v>
      </c>
      <c r="H1597">
        <v>0</v>
      </c>
      <c r="I1597">
        <v>0</v>
      </c>
      <c r="J1597">
        <v>0</v>
      </c>
      <c r="K1597" t="s">
        <v>3219</v>
      </c>
    </row>
    <row r="1598" spans="1:14">
      <c r="A1598" s="1" t="s">
        <v>1610</v>
      </c>
      <c r="B1598">
        <f>HYPERLINK("https://www.suredividend.com/sure-analysis-research-database/","Kingstone Cos. Inc")</f>
        <v>0</v>
      </c>
      <c r="C1598" t="s">
        <v>3221</v>
      </c>
      <c r="D1598">
        <v>4.78</v>
      </c>
      <c r="E1598">
        <v>0.033095873505374</v>
      </c>
      <c r="F1598">
        <v>0</v>
      </c>
      <c r="G1598">
        <v>-0.1294494367038759</v>
      </c>
      <c r="H1598">
        <v>0.158198275355691</v>
      </c>
      <c r="I1598">
        <v>50.847126</v>
      </c>
      <c r="J1598">
        <v>0</v>
      </c>
      <c r="K1598" t="s">
        <v>3219</v>
      </c>
      <c r="M1598">
        <v>8.67</v>
      </c>
      <c r="N1598">
        <v>4.03</v>
      </c>
    </row>
    <row r="1599" spans="1:14">
      <c r="A1599" s="1" t="s">
        <v>1611</v>
      </c>
      <c r="B1599">
        <f>HYPERLINK("https://www.suredividend.com/sure-analysis-research-database/","Kirkland`s Inc")</f>
        <v>0</v>
      </c>
      <c r="C1599" t="s">
        <v>3223</v>
      </c>
      <c r="D1599">
        <v>8.710000000000001</v>
      </c>
      <c r="E1599">
        <v>0</v>
      </c>
      <c r="H1599">
        <v>0</v>
      </c>
      <c r="I1599">
        <v>107.406032</v>
      </c>
      <c r="J1599">
        <v>4.876329445655135</v>
      </c>
      <c r="K1599">
        <v>0</v>
      </c>
      <c r="L1599">
        <v>1.662706301062377</v>
      </c>
      <c r="M1599">
        <v>34.45</v>
      </c>
      <c r="N1599">
        <v>8.119999999999999</v>
      </c>
    </row>
    <row r="1600" spans="1:14">
      <c r="A1600" s="1" t="s">
        <v>1612</v>
      </c>
      <c r="B1600">
        <f>HYPERLINK("https://www.suredividend.com/sure-analysis-KKR/","KKR &amp; Co. Inc.")</f>
        <v>0</v>
      </c>
      <c r="C1600" t="s">
        <v>3221</v>
      </c>
      <c r="D1600">
        <v>55.25</v>
      </c>
      <c r="E1600">
        <v>0.01122171945701357</v>
      </c>
      <c r="H1600">
        <v>0.5781318546020631</v>
      </c>
      <c r="I1600">
        <v>32321.759847</v>
      </c>
      <c r="J1600">
        <v>7.086816858733357</v>
      </c>
      <c r="K1600">
        <v>0.08029609091695321</v>
      </c>
      <c r="L1600">
        <v>1.642507579805902</v>
      </c>
      <c r="M1600">
        <v>83.55</v>
      </c>
      <c r="N1600">
        <v>50.55</v>
      </c>
    </row>
    <row r="1601" spans="1:14">
      <c r="A1601" s="1" t="s">
        <v>1613</v>
      </c>
      <c r="B1601">
        <f>HYPERLINK("https://www.suredividend.com/sure-analysis-KLAC/","KLA Corp.")</f>
        <v>0</v>
      </c>
      <c r="C1601" t="s">
        <v>3222</v>
      </c>
      <c r="D1601">
        <v>321.48</v>
      </c>
      <c r="E1601">
        <v>0.01306457633445315</v>
      </c>
      <c r="F1601">
        <v>0.1666666666666667</v>
      </c>
      <c r="G1601">
        <v>0.1422445848996077</v>
      </c>
      <c r="H1601">
        <v>4.034108364392521</v>
      </c>
      <c r="I1601">
        <v>48451.968468</v>
      </c>
      <c r="J1601">
        <v>16.22455902222624</v>
      </c>
      <c r="K1601">
        <v>0.2078365978563896</v>
      </c>
      <c r="L1601">
        <v>1.912857113233726</v>
      </c>
      <c r="M1601">
        <v>455.89</v>
      </c>
      <c r="N1601">
        <v>282.63</v>
      </c>
    </row>
    <row r="1602" spans="1:14">
      <c r="A1602" s="1" t="s">
        <v>1614</v>
      </c>
      <c r="B1602">
        <f>HYPERLINK("https://www.suredividend.com/sure-analysis-KLIC/","Kulicke &amp; Soffa Industries, Inc.")</f>
        <v>0</v>
      </c>
      <c r="C1602" t="s">
        <v>3222</v>
      </c>
      <c r="D1602">
        <v>51.19</v>
      </c>
      <c r="E1602">
        <v>0.01328384450087908</v>
      </c>
      <c r="H1602">
        <v>0.617587422647459</v>
      </c>
      <c r="I1602">
        <v>3189.158909</v>
      </c>
      <c r="J1602">
        <v>7.049360547917348</v>
      </c>
      <c r="K1602">
        <v>0.08686180346659057</v>
      </c>
      <c r="L1602">
        <v>1.937293675510477</v>
      </c>
      <c r="M1602">
        <v>74.69</v>
      </c>
      <c r="N1602">
        <v>42.96</v>
      </c>
    </row>
    <row r="1603" spans="1:14">
      <c r="A1603" s="1" t="s">
        <v>1615</v>
      </c>
      <c r="B1603">
        <f>HYPERLINK("https://www.suredividend.com/sure-analysis-research-database/","KLX Energy Services Holdings Inc")</f>
        <v>0</v>
      </c>
      <c r="C1603" t="s">
        <v>3226</v>
      </c>
      <c r="D1603">
        <v>6.24</v>
      </c>
      <c r="E1603">
        <v>0</v>
      </c>
      <c r="H1603">
        <v>0</v>
      </c>
      <c r="I1603">
        <v>64.56428200000001</v>
      </c>
      <c r="J1603">
        <v>0</v>
      </c>
      <c r="K1603" t="s">
        <v>3219</v>
      </c>
      <c r="L1603">
        <v>0.570978567365353</v>
      </c>
      <c r="M1603">
        <v>15.55</v>
      </c>
      <c r="N1603">
        <v>2.94</v>
      </c>
    </row>
    <row r="1604" spans="1:14">
      <c r="A1604" s="1" t="s">
        <v>1616</v>
      </c>
      <c r="B1604">
        <f>HYPERLINK("https://www.suredividend.com/sure-analysis-KMB/","Kimberly-Clark Corp.")</f>
        <v>0</v>
      </c>
      <c r="C1604" t="s">
        <v>3225</v>
      </c>
      <c r="D1604">
        <v>126.42</v>
      </c>
      <c r="E1604">
        <v>0.03670305331434899</v>
      </c>
      <c r="F1604">
        <v>0.01754385964912264</v>
      </c>
      <c r="G1604">
        <v>0.03642349837162251</v>
      </c>
      <c r="H1604">
        <v>4.521596454361548</v>
      </c>
      <c r="I1604">
        <v>42594.485926</v>
      </c>
      <c r="J1604">
        <v>23.48097349835722</v>
      </c>
      <c r="K1604">
        <v>0.8451582157685137</v>
      </c>
      <c r="L1604">
        <v>0.09932072718578001</v>
      </c>
      <c r="M1604">
        <v>144.49</v>
      </c>
      <c r="N1604">
        <v>117.32</v>
      </c>
    </row>
    <row r="1605" spans="1:14">
      <c r="A1605" s="1" t="s">
        <v>1617</v>
      </c>
      <c r="B1605">
        <f>HYPERLINK("https://www.suredividend.com/sure-analysis-KMI/","Kinder Morgan Inc")</f>
        <v>0</v>
      </c>
      <c r="C1605" t="s">
        <v>3226</v>
      </c>
      <c r="D1605">
        <v>19.37</v>
      </c>
      <c r="E1605">
        <v>0.05575632421270005</v>
      </c>
      <c r="F1605">
        <v>0.02857142857142869</v>
      </c>
      <c r="G1605">
        <v>0.1665161349761231</v>
      </c>
      <c r="H1605">
        <v>1.055267927829274</v>
      </c>
      <c r="I1605">
        <v>43921.175869</v>
      </c>
      <c r="J1605">
        <v>24.81422365485311</v>
      </c>
      <c r="K1605">
        <v>1.351002340070764</v>
      </c>
      <c r="L1605">
        <v>0.534033571830391</v>
      </c>
      <c r="M1605">
        <v>19.59</v>
      </c>
      <c r="N1605">
        <v>14.78</v>
      </c>
    </row>
    <row r="1606" spans="1:14">
      <c r="A1606" s="1" t="s">
        <v>1618</v>
      </c>
      <c r="B1606">
        <f>HYPERLINK("https://www.suredividend.com/sure-analysis-research-database/","KemPharm Inc")</f>
        <v>0</v>
      </c>
      <c r="C1606" t="s">
        <v>3217</v>
      </c>
      <c r="D1606">
        <v>4.27</v>
      </c>
      <c r="E1606">
        <v>0</v>
      </c>
      <c r="H1606">
        <v>0</v>
      </c>
      <c r="I1606">
        <v>146.984088</v>
      </c>
      <c r="J1606">
        <v>0</v>
      </c>
      <c r="K1606" t="s">
        <v>3219</v>
      </c>
      <c r="L1606">
        <v>1.443587558799817</v>
      </c>
      <c r="M1606">
        <v>15.7</v>
      </c>
      <c r="N1606">
        <v>4.21</v>
      </c>
    </row>
    <row r="1607" spans="1:14">
      <c r="A1607" s="1" t="s">
        <v>1619</v>
      </c>
      <c r="B1607">
        <f>HYPERLINK("https://www.suredividend.com/sure-analysis-research-database/","Kemper Corporation")</f>
        <v>0</v>
      </c>
      <c r="C1607" t="s">
        <v>3221</v>
      </c>
      <c r="D1607">
        <v>55.25</v>
      </c>
      <c r="E1607">
        <v>0.022261167754605</v>
      </c>
      <c r="F1607">
        <v>0</v>
      </c>
      <c r="G1607">
        <v>0.05251935381426631</v>
      </c>
      <c r="H1607">
        <v>1.229929518441937</v>
      </c>
      <c r="I1607">
        <v>3523.7245</v>
      </c>
      <c r="J1607" t="s">
        <v>3219</v>
      </c>
      <c r="K1607" t="s">
        <v>3219</v>
      </c>
      <c r="L1607">
        <v>0.500698133986587</v>
      </c>
      <c r="M1607">
        <v>82.34</v>
      </c>
      <c r="N1607">
        <v>48.27</v>
      </c>
    </row>
    <row r="1608" spans="1:14">
      <c r="A1608" s="1" t="s">
        <v>1620</v>
      </c>
      <c r="B1608">
        <f>HYPERLINK("https://www.suredividend.com/sure-analysis-research-database/","Kennametal Inc.")</f>
        <v>0</v>
      </c>
      <c r="C1608" t="s">
        <v>3220</v>
      </c>
      <c r="D1608">
        <v>27.02</v>
      </c>
      <c r="E1608">
        <v>0.029355092841022</v>
      </c>
      <c r="F1608">
        <v>0</v>
      </c>
      <c r="G1608">
        <v>0</v>
      </c>
      <c r="H1608">
        <v>0.7931746085644311</v>
      </c>
      <c r="I1608">
        <v>2245.110984</v>
      </c>
      <c r="J1608">
        <v>18.05622474022841</v>
      </c>
      <c r="K1608">
        <v>0.5395745636492729</v>
      </c>
      <c r="L1608">
        <v>1.208729725506482</v>
      </c>
      <c r="M1608">
        <v>41.72</v>
      </c>
      <c r="N1608">
        <v>25.67</v>
      </c>
    </row>
    <row r="1609" spans="1:14">
      <c r="A1609" s="1" t="s">
        <v>1621</v>
      </c>
      <c r="B1609">
        <f>HYPERLINK("https://www.suredividend.com/sure-analysis-research-database/","Carmax Inc")</f>
        <v>0</v>
      </c>
      <c r="C1609" t="s">
        <v>3223</v>
      </c>
      <c r="D1609">
        <v>91.79000000000001</v>
      </c>
      <c r="E1609">
        <v>0</v>
      </c>
      <c r="H1609">
        <v>0</v>
      </c>
      <c r="I1609">
        <v>14735.769986</v>
      </c>
      <c r="J1609">
        <v>12.26543731745971</v>
      </c>
      <c r="K1609">
        <v>0</v>
      </c>
      <c r="L1609">
        <v>1.270852354202523</v>
      </c>
      <c r="M1609">
        <v>155.98</v>
      </c>
      <c r="N1609">
        <v>90.55</v>
      </c>
    </row>
    <row r="1610" spans="1:14">
      <c r="A1610" s="1" t="s">
        <v>1622</v>
      </c>
      <c r="B1610">
        <f>HYPERLINK("https://www.suredividend.com/sure-analysis-research-database/","Knowles Corp")</f>
        <v>0</v>
      </c>
      <c r="C1610" t="s">
        <v>3222</v>
      </c>
      <c r="D1610">
        <v>18.89</v>
      </c>
      <c r="E1610">
        <v>0</v>
      </c>
      <c r="H1610">
        <v>0</v>
      </c>
      <c r="I1610">
        <v>1748.536453</v>
      </c>
      <c r="J1610">
        <v>11.62590727047872</v>
      </c>
      <c r="K1610">
        <v>0</v>
      </c>
      <c r="L1610">
        <v>0.71410506001081</v>
      </c>
      <c r="M1610">
        <v>23.81</v>
      </c>
      <c r="N1610">
        <v>18.2</v>
      </c>
    </row>
    <row r="1611" spans="1:14">
      <c r="A1611" s="1" t="s">
        <v>1623</v>
      </c>
      <c r="B1611">
        <f>HYPERLINK("https://www.suredividend.com/sure-analysis-research-database/","Knoll Inc")</f>
        <v>0</v>
      </c>
      <c r="C1611" t="s">
        <v>3220</v>
      </c>
      <c r="D1611">
        <v>24.81</v>
      </c>
      <c r="E1611">
        <v>0.009631375487900001</v>
      </c>
      <c r="H1611">
        <v>0.238954425854811</v>
      </c>
      <c r="I1611">
        <v>1226.625305</v>
      </c>
      <c r="J1611" t="s">
        <v>3219</v>
      </c>
      <c r="K1611" t="s">
        <v>3219</v>
      </c>
      <c r="L1611">
        <v>0.872901923019448</v>
      </c>
      <c r="M1611">
        <v>27.24</v>
      </c>
      <c r="N1611">
        <v>10.75</v>
      </c>
    </row>
    <row r="1612" spans="1:14">
      <c r="A1612" s="1" t="s">
        <v>1624</v>
      </c>
      <c r="B1612">
        <f>HYPERLINK("https://www.suredividend.com/sure-analysis-research-database/","Kiniksa Pharmaceuticals Ltd")</f>
        <v>0</v>
      </c>
      <c r="C1612" t="s">
        <v>3217</v>
      </c>
      <c r="D1612">
        <v>11.23</v>
      </c>
      <c r="E1612">
        <v>0</v>
      </c>
      <c r="H1612">
        <v>0</v>
      </c>
      <c r="I1612">
        <v>382.985011</v>
      </c>
      <c r="J1612">
        <v>0</v>
      </c>
      <c r="K1612" t="s">
        <v>3219</v>
      </c>
      <c r="L1612">
        <v>1.077471979170874</v>
      </c>
      <c r="M1612">
        <v>17.46</v>
      </c>
      <c r="N1612">
        <v>9.050000000000001</v>
      </c>
    </row>
    <row r="1613" spans="1:14">
      <c r="A1613" s="1" t="s">
        <v>1625</v>
      </c>
      <c r="B1613">
        <f>HYPERLINK("https://www.suredividend.com/sure-analysis-research-database/","Kinsale Capital Group Inc")</f>
        <v>0</v>
      </c>
      <c r="C1613" t="s">
        <v>3221</v>
      </c>
      <c r="D1613">
        <v>231.73</v>
      </c>
      <c r="E1613">
        <v>0.001422899929506</v>
      </c>
      <c r="F1613">
        <v>0.1818181818181819</v>
      </c>
      <c r="G1613">
        <v>0.1672353193296932</v>
      </c>
      <c r="H1613">
        <v>0.329728600664639</v>
      </c>
      <c r="I1613">
        <v>5308.366098</v>
      </c>
      <c r="J1613">
        <v>34.77270320151449</v>
      </c>
      <c r="K1613">
        <v>0.04980794571973399</v>
      </c>
      <c r="L1613">
        <v>1.177297445711701</v>
      </c>
      <c r="M1613">
        <v>245.02</v>
      </c>
      <c r="N1613">
        <v>152.83</v>
      </c>
    </row>
    <row r="1614" spans="1:14">
      <c r="A1614" s="1" t="s">
        <v>1626</v>
      </c>
      <c r="B1614">
        <f>HYPERLINK("https://www.suredividend.com/sure-analysis-research-database/","Knight-Swift Transportation Holdings Inc")</f>
        <v>0</v>
      </c>
      <c r="C1614" t="s">
        <v>3220</v>
      </c>
      <c r="D1614">
        <v>46.05</v>
      </c>
      <c r="E1614">
        <v>0.009094371533503001</v>
      </c>
      <c r="H1614">
        <v>0.4187958091178131</v>
      </c>
      <c r="I1614">
        <v>7547.927067</v>
      </c>
      <c r="J1614">
        <v>10.15341526437069</v>
      </c>
      <c r="K1614">
        <v>0.09411141777928383</v>
      </c>
      <c r="L1614">
        <v>0.8396775625235571</v>
      </c>
      <c r="M1614">
        <v>62.15</v>
      </c>
      <c r="N1614">
        <v>43.96</v>
      </c>
    </row>
    <row r="1615" spans="1:14">
      <c r="A1615" s="1" t="s">
        <v>1627</v>
      </c>
      <c r="B1615">
        <f>HYPERLINK("https://www.suredividend.com/sure-analysis-KO/","Coca-Cola Co")</f>
        <v>0</v>
      </c>
      <c r="C1615" t="s">
        <v>3225</v>
      </c>
      <c r="D1615">
        <v>65.02</v>
      </c>
      <c r="E1615">
        <v>0.02706859427868348</v>
      </c>
      <c r="F1615">
        <v>0.04761904761904767</v>
      </c>
      <c r="G1615">
        <v>0.03526180275714541</v>
      </c>
      <c r="H1615">
        <v>1.680915745270282</v>
      </c>
      <c r="I1615">
        <v>281861.369698</v>
      </c>
      <c r="J1615">
        <v>28.84672701856514</v>
      </c>
      <c r="K1615">
        <v>0.7470736645645698</v>
      </c>
      <c r="L1615">
        <v>0.398433205306728</v>
      </c>
      <c r="M1615">
        <v>65.56999999999999</v>
      </c>
      <c r="N1615">
        <v>51.6</v>
      </c>
    </row>
    <row r="1616" spans="1:14">
      <c r="A1616" s="1" t="s">
        <v>1628</v>
      </c>
      <c r="B1616">
        <f>HYPERLINK("https://www.suredividend.com/sure-analysis-research-database/","Kodiak Sciences Inc")</f>
        <v>0</v>
      </c>
      <c r="C1616" t="s">
        <v>3217</v>
      </c>
      <c r="D1616">
        <v>6.94</v>
      </c>
      <c r="E1616">
        <v>0</v>
      </c>
      <c r="H1616">
        <v>0</v>
      </c>
      <c r="I1616">
        <v>360.42543</v>
      </c>
      <c r="J1616">
        <v>0</v>
      </c>
      <c r="K1616" t="s">
        <v>3219</v>
      </c>
      <c r="L1616">
        <v>2.328060265172497</v>
      </c>
      <c r="M1616">
        <v>131.97</v>
      </c>
      <c r="N1616">
        <v>6.81</v>
      </c>
    </row>
    <row r="1617" spans="1:14">
      <c r="A1617" s="1" t="s">
        <v>1629</v>
      </c>
      <c r="B1617">
        <f>HYPERLINK("https://www.suredividend.com/sure-analysis-research-database/","Eastman Kodak Co.")</f>
        <v>0</v>
      </c>
      <c r="C1617" t="s">
        <v>3220</v>
      </c>
      <c r="D1617">
        <v>6.2</v>
      </c>
      <c r="E1617">
        <v>0</v>
      </c>
      <c r="H1617">
        <v>0</v>
      </c>
      <c r="I1617">
        <v>488.183685</v>
      </c>
      <c r="J1617">
        <v>0</v>
      </c>
      <c r="K1617" t="s">
        <v>3219</v>
      </c>
      <c r="L1617">
        <v>1.61098449707032</v>
      </c>
      <c r="M1617">
        <v>11.26</v>
      </c>
      <c r="N1617">
        <v>3.46</v>
      </c>
    </row>
    <row r="1618" spans="1:14">
      <c r="A1618" s="1" t="s">
        <v>1630</v>
      </c>
      <c r="B1618">
        <f>HYPERLINK("https://www.suredividend.com/sure-analysis-research-database/","Manycore Tech Inc")</f>
        <v>0</v>
      </c>
      <c r="C1618" t="s">
        <v>3219</v>
      </c>
      <c r="D1618">
        <v>5.14</v>
      </c>
      <c r="E1618">
        <v>0</v>
      </c>
      <c r="H1618">
        <v>0</v>
      </c>
      <c r="I1618">
        <v>0</v>
      </c>
      <c r="J1618">
        <v>0</v>
      </c>
      <c r="K1618" t="s">
        <v>3219</v>
      </c>
    </row>
    <row r="1619" spans="1:14">
      <c r="A1619" s="1" t="s">
        <v>1631</v>
      </c>
      <c r="B1619">
        <f>HYPERLINK("https://www.suredividend.com/sure-analysis-research-database/","Koppers Holdings Inc")</f>
        <v>0</v>
      </c>
      <c r="C1619" t="s">
        <v>3218</v>
      </c>
      <c r="D1619">
        <v>26.84</v>
      </c>
      <c r="E1619">
        <v>0.001862891234912</v>
      </c>
      <c r="H1619">
        <v>0.050000000745058</v>
      </c>
      <c r="I1619">
        <v>567.115404</v>
      </c>
      <c r="J1619">
        <v>6.656284087323944</v>
      </c>
      <c r="K1619">
        <v>0.01285347062854962</v>
      </c>
      <c r="L1619">
        <v>1.020113066445067</v>
      </c>
      <c r="M1619">
        <v>39.37</v>
      </c>
      <c r="N1619">
        <v>24.15</v>
      </c>
    </row>
    <row r="1620" spans="1:14">
      <c r="A1620" s="1" t="s">
        <v>1632</v>
      </c>
      <c r="B1620">
        <f>HYPERLINK("https://www.suredividend.com/sure-analysis-research-database/","Kopin Corp.")</f>
        <v>0</v>
      </c>
      <c r="C1620" t="s">
        <v>3222</v>
      </c>
      <c r="D1620">
        <v>1.94</v>
      </c>
      <c r="E1620">
        <v>0</v>
      </c>
      <c r="H1620">
        <v>0</v>
      </c>
      <c r="I1620">
        <v>178.94665</v>
      </c>
      <c r="J1620" t="s">
        <v>3219</v>
      </c>
      <c r="K1620">
        <v>-0</v>
      </c>
      <c r="L1620">
        <v>2.205652195917586</v>
      </c>
      <c r="M1620">
        <v>10.13</v>
      </c>
      <c r="N1620">
        <v>1.93</v>
      </c>
    </row>
    <row r="1621" spans="1:14">
      <c r="A1621" s="1" t="s">
        <v>1633</v>
      </c>
      <c r="B1621">
        <f>HYPERLINK("https://www.suredividend.com/sure-analysis-research-database/","Kosmos Energy Ltd")</f>
        <v>0</v>
      </c>
      <c r="C1621" t="s">
        <v>3226</v>
      </c>
      <c r="D1621">
        <v>7.63</v>
      </c>
      <c r="E1621">
        <v>0</v>
      </c>
      <c r="H1621">
        <v>0</v>
      </c>
      <c r="I1621">
        <v>3473.675506</v>
      </c>
      <c r="J1621" t="s">
        <v>3219</v>
      </c>
      <c r="K1621">
        <v>-0</v>
      </c>
      <c r="L1621">
        <v>1.347073014471715</v>
      </c>
      <c r="M1621">
        <v>8.359999999999999</v>
      </c>
      <c r="N1621">
        <v>1.8</v>
      </c>
    </row>
    <row r="1622" spans="1:14">
      <c r="A1622" s="1" t="s">
        <v>1634</v>
      </c>
      <c r="B1622">
        <f>HYPERLINK("https://www.suredividend.com/sure-analysis-research-database/","Karyopharm Therapeutics Inc")</f>
        <v>0</v>
      </c>
      <c r="C1622" t="s">
        <v>3217</v>
      </c>
      <c r="D1622">
        <v>7.8</v>
      </c>
      <c r="E1622">
        <v>0</v>
      </c>
      <c r="H1622">
        <v>0</v>
      </c>
      <c r="I1622">
        <v>619.45547</v>
      </c>
      <c r="J1622">
        <v>0</v>
      </c>
      <c r="K1622" t="s">
        <v>3219</v>
      </c>
      <c r="L1622">
        <v>0.92968220335534</v>
      </c>
      <c r="M1622">
        <v>14.73</v>
      </c>
      <c r="N1622">
        <v>4.42</v>
      </c>
    </row>
    <row r="1623" spans="1:14">
      <c r="A1623" s="1" t="s">
        <v>1635</v>
      </c>
      <c r="B1623">
        <f>HYPERLINK("https://www.suredividend.com/sure-analysis-KR/","Kroger Co.")</f>
        <v>0</v>
      </c>
      <c r="C1623" t="s">
        <v>3225</v>
      </c>
      <c r="D1623">
        <v>58.32</v>
      </c>
      <c r="E1623">
        <v>0.01440329218106996</v>
      </c>
      <c r="F1623">
        <v>0.1666666666666667</v>
      </c>
      <c r="G1623">
        <v>0.1184269147201447</v>
      </c>
      <c r="H1623">
        <v>0.80447710069898</v>
      </c>
      <c r="I1623">
        <v>42183.335974</v>
      </c>
      <c r="J1623">
        <v>25.48842052785498</v>
      </c>
      <c r="K1623">
        <v>0.3673411418716804</v>
      </c>
      <c r="L1623">
        <v>0.137034864488829</v>
      </c>
      <c r="M1623">
        <v>62.78</v>
      </c>
      <c r="N1623">
        <v>34.92</v>
      </c>
    </row>
    <row r="1624" spans="1:14">
      <c r="A1624" s="1" t="s">
        <v>1636</v>
      </c>
      <c r="B1624">
        <f>HYPERLINK("https://www.suredividend.com/sure-analysis-research-database/","Kraton Corp")</f>
        <v>0</v>
      </c>
      <c r="C1624" t="s">
        <v>3218</v>
      </c>
      <c r="D1624">
        <v>46.49</v>
      </c>
      <c r="E1624">
        <v>0</v>
      </c>
      <c r="H1624">
        <v>0</v>
      </c>
      <c r="I1624">
        <v>1498.066854</v>
      </c>
      <c r="J1624">
        <v>8.800458531129205</v>
      </c>
      <c r="K1624">
        <v>0</v>
      </c>
      <c r="L1624">
        <v>0.5972292481504621</v>
      </c>
      <c r="M1624">
        <v>46.74</v>
      </c>
      <c r="N1624">
        <v>30.48</v>
      </c>
    </row>
    <row r="1625" spans="1:14">
      <c r="A1625" s="1" t="s">
        <v>1637</v>
      </c>
      <c r="B1625">
        <f>HYPERLINK("https://www.suredividend.com/sure-analysis-KRC/","Kilroy Realty Corp.")</f>
        <v>0</v>
      </c>
      <c r="C1625" t="s">
        <v>3224</v>
      </c>
      <c r="D1625">
        <v>74.40000000000001</v>
      </c>
      <c r="E1625">
        <v>0.02795698924731183</v>
      </c>
      <c r="F1625">
        <v>0.04000000000000004</v>
      </c>
      <c r="G1625">
        <v>0.04117296495987799</v>
      </c>
      <c r="H1625">
        <v>2.038246845479213</v>
      </c>
      <c r="I1625">
        <v>8683.676352</v>
      </c>
      <c r="J1625">
        <v>13.85778540378024</v>
      </c>
      <c r="K1625">
        <v>0.3802699338580621</v>
      </c>
      <c r="L1625">
        <v>0.7645036463652901</v>
      </c>
      <c r="M1625">
        <v>78.54000000000001</v>
      </c>
      <c r="N1625">
        <v>59.97</v>
      </c>
    </row>
    <row r="1626" spans="1:14">
      <c r="A1626" s="1" t="s">
        <v>1638</v>
      </c>
      <c r="B1626">
        <f>HYPERLINK("https://www.suredividend.com/sure-analysis-KREF/","KKR Real Estate Finance Trust Inc")</f>
        <v>0</v>
      </c>
      <c r="C1626" t="s">
        <v>3224</v>
      </c>
      <c r="D1626">
        <v>21.01</v>
      </c>
      <c r="E1626">
        <v>0.08186577820085673</v>
      </c>
      <c r="F1626">
        <v>0</v>
      </c>
      <c r="G1626">
        <v>0.1145657399648676</v>
      </c>
      <c r="H1626">
        <v>1.668548793010389</v>
      </c>
      <c r="I1626">
        <v>1290.844924</v>
      </c>
      <c r="J1626">
        <v>10.27456460771282</v>
      </c>
      <c r="K1626">
        <v>0.7549994538508548</v>
      </c>
      <c r="L1626">
        <v>0.497565777500213</v>
      </c>
      <c r="M1626">
        <v>22.46</v>
      </c>
      <c r="N1626">
        <v>17.76</v>
      </c>
    </row>
    <row r="1627" spans="1:14">
      <c r="A1627" s="1" t="s">
        <v>1639</v>
      </c>
      <c r="B1627">
        <f>HYPERLINK("https://www.suredividend.com/sure-analysis-KRG/","Kite Realty Group Trust")</f>
        <v>0</v>
      </c>
      <c r="C1627" t="s">
        <v>3224</v>
      </c>
      <c r="D1627">
        <v>22.38</v>
      </c>
      <c r="E1627">
        <v>0.03574620196604111</v>
      </c>
      <c r="F1627">
        <v>0.1764705882352942</v>
      </c>
      <c r="G1627">
        <v>-0.07942129745312632</v>
      </c>
      <c r="H1627">
        <v>0.7404464532531271</v>
      </c>
      <c r="I1627">
        <v>4900.007989</v>
      </c>
      <c r="J1627" t="s">
        <v>3219</v>
      </c>
      <c r="K1627" t="s">
        <v>3219</v>
      </c>
      <c r="L1627">
        <v>1.013534645365483</v>
      </c>
      <c r="M1627">
        <v>23.14</v>
      </c>
      <c r="N1627">
        <v>17.95</v>
      </c>
    </row>
    <row r="1628" spans="1:14">
      <c r="A1628" s="1" t="s">
        <v>1640</v>
      </c>
      <c r="B1628">
        <f>HYPERLINK("https://www.suredividend.com/sure-analysis-research-database/","Kearny Financial Corp.")</f>
        <v>0</v>
      </c>
      <c r="C1628" t="s">
        <v>3221</v>
      </c>
      <c r="D1628">
        <v>12.43</v>
      </c>
      <c r="E1628">
        <v>0.033394065235288</v>
      </c>
      <c r="F1628">
        <v>0.2222222222222223</v>
      </c>
      <c r="G1628">
        <v>-0.01725173034385397</v>
      </c>
      <c r="H1628">
        <v>0.415088230874631</v>
      </c>
      <c r="I1628">
        <v>904.320287</v>
      </c>
      <c r="J1628">
        <v>12.32211864286687</v>
      </c>
      <c r="K1628">
        <v>0.4313053105513622</v>
      </c>
      <c r="L1628">
        <v>0.695359920450181</v>
      </c>
      <c r="M1628">
        <v>13.77</v>
      </c>
      <c r="N1628">
        <v>10.98</v>
      </c>
    </row>
    <row r="1629" spans="1:14">
      <c r="A1629" s="1" t="s">
        <v>1641</v>
      </c>
      <c r="B1629">
        <f>HYPERLINK("https://www.suredividend.com/sure-analysis-research-database/","Kronos Worldwide, Inc.")</f>
        <v>0</v>
      </c>
      <c r="C1629" t="s">
        <v>3218</v>
      </c>
      <c r="D1629">
        <v>16</v>
      </c>
      <c r="E1629">
        <v>0.044753636164038</v>
      </c>
      <c r="F1629">
        <v>0.05555555555555558</v>
      </c>
      <c r="G1629">
        <v>0.04841317128472156</v>
      </c>
      <c r="H1629">
        <v>0.7160581786246091</v>
      </c>
      <c r="I1629">
        <v>1847.735296</v>
      </c>
      <c r="J1629">
        <v>16.36612308237378</v>
      </c>
      <c r="K1629">
        <v>0.7325403361888584</v>
      </c>
      <c r="L1629">
        <v>0.9070385494116601</v>
      </c>
      <c r="M1629">
        <v>17.5</v>
      </c>
      <c r="N1629">
        <v>11.75</v>
      </c>
    </row>
    <row r="1630" spans="1:14">
      <c r="A1630" s="1" t="s">
        <v>1642</v>
      </c>
      <c r="B1630">
        <f>HYPERLINK("https://www.suredividend.com/sure-analysis-research-database/","Krystal Biotech Inc")</f>
        <v>0</v>
      </c>
      <c r="C1630" t="s">
        <v>3217</v>
      </c>
      <c r="D1630">
        <v>72.48999999999999</v>
      </c>
      <c r="E1630">
        <v>0</v>
      </c>
      <c r="H1630">
        <v>0</v>
      </c>
      <c r="I1630">
        <v>1826.681382</v>
      </c>
      <c r="J1630">
        <v>0</v>
      </c>
      <c r="K1630" t="s">
        <v>3219</v>
      </c>
      <c r="L1630">
        <v>2.454953691527107</v>
      </c>
      <c r="M1630">
        <v>102.99</v>
      </c>
      <c r="N1630">
        <v>38.86</v>
      </c>
    </row>
    <row r="1631" spans="1:14">
      <c r="A1631" s="1" t="s">
        <v>1643</v>
      </c>
      <c r="B1631">
        <f>HYPERLINK("https://www.suredividend.com/sure-analysis-KSS/","Kohl`s Corp.")</f>
        <v>0</v>
      </c>
      <c r="C1631" t="s">
        <v>3223</v>
      </c>
      <c r="D1631">
        <v>61</v>
      </c>
      <c r="E1631">
        <v>0.03278688524590164</v>
      </c>
      <c r="H1631">
        <v>1.240624408022232</v>
      </c>
      <c r="I1631">
        <v>7844.048377</v>
      </c>
      <c r="J1631">
        <v>8.36252492217484</v>
      </c>
      <c r="K1631">
        <v>0.1956820832842637</v>
      </c>
      <c r="L1631">
        <v>1.62475737153353</v>
      </c>
      <c r="M1631">
        <v>63.78</v>
      </c>
      <c r="N1631">
        <v>43.05</v>
      </c>
    </row>
    <row r="1632" spans="1:14">
      <c r="A1632" s="1" t="s">
        <v>1644</v>
      </c>
      <c r="B1632">
        <f>HYPERLINK("https://www.suredividend.com/sure-analysis-KSU/","Kansas City Southern")</f>
        <v>0</v>
      </c>
      <c r="C1632" t="s">
        <v>3220</v>
      </c>
      <c r="D1632">
        <v>293.59</v>
      </c>
      <c r="E1632">
        <v>0.006996623579219</v>
      </c>
      <c r="H1632">
        <v>2.054138716623186</v>
      </c>
      <c r="I1632">
        <v>26710.94738</v>
      </c>
      <c r="J1632">
        <v>277.6605756715177</v>
      </c>
      <c r="K1632">
        <v>1.956322587260177</v>
      </c>
      <c r="L1632">
        <v>0.9391559309247631</v>
      </c>
      <c r="M1632">
        <v>314.21</v>
      </c>
      <c r="N1632">
        <v>189</v>
      </c>
    </row>
    <row r="1633" spans="1:14">
      <c r="A1633" s="1" t="s">
        <v>1645</v>
      </c>
      <c r="B1633">
        <f>HYPERLINK("https://www.suredividend.com/sure-analysis-KTB/","Kontoor Brands Inc")</f>
        <v>0</v>
      </c>
      <c r="C1633" t="s">
        <v>3223</v>
      </c>
      <c r="D1633">
        <v>40.55</v>
      </c>
      <c r="E1633">
        <v>0.04537607891491986</v>
      </c>
      <c r="H1633">
        <v>1.696922083581534</v>
      </c>
      <c r="I1633">
        <v>2278.928085</v>
      </c>
      <c r="J1633">
        <v>0</v>
      </c>
      <c r="K1633" t="s">
        <v>3219</v>
      </c>
      <c r="L1633">
        <v>1.492411994991362</v>
      </c>
      <c r="M1633">
        <v>66.91</v>
      </c>
      <c r="N1633">
        <v>39.01</v>
      </c>
    </row>
    <row r="1634" spans="1:14">
      <c r="A1634" s="1" t="s">
        <v>1646</v>
      </c>
      <c r="B1634">
        <f>HYPERLINK("https://www.suredividend.com/sure-analysis-research-database/","Key Tronic Corp.")</f>
        <v>0</v>
      </c>
      <c r="C1634" t="s">
        <v>3222</v>
      </c>
      <c r="D1634">
        <v>5.64</v>
      </c>
      <c r="E1634">
        <v>0</v>
      </c>
      <c r="H1634">
        <v>0</v>
      </c>
      <c r="I1634">
        <v>60.696952</v>
      </c>
      <c r="J1634">
        <v>24.83508692307692</v>
      </c>
      <c r="K1634">
        <v>0</v>
      </c>
      <c r="L1634">
        <v>0.173134307084709</v>
      </c>
      <c r="M1634">
        <v>8.039999999999999</v>
      </c>
      <c r="N1634">
        <v>5.26</v>
      </c>
    </row>
    <row r="1635" spans="1:14">
      <c r="A1635" s="1" t="s">
        <v>1647</v>
      </c>
      <c r="B1635">
        <f>HYPERLINK("https://www.suredividend.com/sure-analysis-research-database/","Kratos Defense &amp; Security Solutions Inc")</f>
        <v>0</v>
      </c>
      <c r="C1635" t="s">
        <v>3220</v>
      </c>
      <c r="D1635">
        <v>19.19</v>
      </c>
      <c r="E1635">
        <v>0</v>
      </c>
      <c r="H1635">
        <v>0</v>
      </c>
      <c r="I1635">
        <v>2391.901857</v>
      </c>
      <c r="J1635" t="s">
        <v>3219</v>
      </c>
      <c r="K1635">
        <v>-0</v>
      </c>
      <c r="L1635">
        <v>1.037106585454144</v>
      </c>
      <c r="M1635">
        <v>30.29</v>
      </c>
      <c r="N1635">
        <v>14.93</v>
      </c>
    </row>
    <row r="1636" spans="1:14">
      <c r="A1636" s="1" t="s">
        <v>1648</v>
      </c>
      <c r="B1636">
        <f>HYPERLINK("https://www.suredividend.com/sure-analysis-research-database/","Kura Oncology Inc")</f>
        <v>0</v>
      </c>
      <c r="C1636" t="s">
        <v>3217</v>
      </c>
      <c r="D1636">
        <v>16.13</v>
      </c>
      <c r="E1636">
        <v>0</v>
      </c>
      <c r="H1636">
        <v>0</v>
      </c>
      <c r="I1636">
        <v>1074.48832</v>
      </c>
      <c r="J1636">
        <v>0</v>
      </c>
      <c r="K1636" t="s">
        <v>3219</v>
      </c>
      <c r="L1636">
        <v>1.326010916462137</v>
      </c>
      <c r="M1636">
        <v>29.21</v>
      </c>
      <c r="N1636">
        <v>11.49</v>
      </c>
    </row>
    <row r="1637" spans="1:14">
      <c r="A1637" s="1" t="s">
        <v>1649</v>
      </c>
      <c r="B1637">
        <f>HYPERLINK("https://www.suredividend.com/sure-analysis-research-database/","KVH Industries, Inc.")</f>
        <v>0</v>
      </c>
      <c r="C1637" t="s">
        <v>3222</v>
      </c>
      <c r="D1637">
        <v>8.57</v>
      </c>
      <c r="E1637">
        <v>0</v>
      </c>
      <c r="H1637">
        <v>0</v>
      </c>
      <c r="I1637">
        <v>161.773019</v>
      </c>
      <c r="J1637" t="s">
        <v>3219</v>
      </c>
      <c r="K1637">
        <v>-0</v>
      </c>
      <c r="L1637">
        <v>0.827463178002749</v>
      </c>
      <c r="M1637">
        <v>14.73</v>
      </c>
      <c r="N1637">
        <v>8.16</v>
      </c>
    </row>
    <row r="1638" spans="1:14">
      <c r="A1638" s="1" t="s">
        <v>1650</v>
      </c>
      <c r="B1638">
        <f>HYPERLINK("https://www.suredividend.com/sure-analysis-research-database/","Kennedy-Wilson Holdings Inc")</f>
        <v>0</v>
      </c>
      <c r="C1638" t="s">
        <v>3224</v>
      </c>
      <c r="D1638">
        <v>23.69</v>
      </c>
      <c r="E1638">
        <v>0.03828333833109</v>
      </c>
      <c r="F1638">
        <v>0.09090909090909083</v>
      </c>
      <c r="G1638">
        <v>0.07140202794100681</v>
      </c>
      <c r="H1638">
        <v>0.9069322850635361</v>
      </c>
      <c r="I1638">
        <v>3266.256263</v>
      </c>
      <c r="J1638">
        <v>10.42865984211367</v>
      </c>
      <c r="K1638">
        <v>0.4048804844033643</v>
      </c>
      <c r="L1638">
        <v>0.7950251019288691</v>
      </c>
      <c r="M1638">
        <v>25.23</v>
      </c>
      <c r="N1638">
        <v>18.2</v>
      </c>
    </row>
    <row r="1639" spans="1:14">
      <c r="A1639" s="1" t="s">
        <v>1651</v>
      </c>
      <c r="B1639">
        <f>HYPERLINK("https://www.suredividend.com/sure-analysis-research-database/","Quaker Houghton")</f>
        <v>0</v>
      </c>
      <c r="C1639" t="s">
        <v>3218</v>
      </c>
      <c r="D1639">
        <v>160</v>
      </c>
      <c r="E1639">
        <v>0.010216299919892</v>
      </c>
      <c r="F1639">
        <v>0.05063291139240511</v>
      </c>
      <c r="G1639">
        <v>0.03172498707259508</v>
      </c>
      <c r="H1639">
        <v>1.634607987182798</v>
      </c>
      <c r="I1639">
        <v>2863.1592</v>
      </c>
      <c r="J1639">
        <v>23.68419955496364</v>
      </c>
      <c r="K1639">
        <v>0.2414487425676216</v>
      </c>
      <c r="L1639">
        <v>1.17683329343451</v>
      </c>
      <c r="M1639">
        <v>275.36</v>
      </c>
      <c r="N1639">
        <v>159.99</v>
      </c>
    </row>
    <row r="1640" spans="1:14">
      <c r="A1640" s="1" t="s">
        <v>1652</v>
      </c>
      <c r="B1640">
        <f>HYPERLINK("https://www.suredividend.com/sure-analysis-research-database/","Kezar Life Sciences Inc")</f>
        <v>0</v>
      </c>
      <c r="C1640" t="s">
        <v>3217</v>
      </c>
      <c r="D1640">
        <v>14.99</v>
      </c>
      <c r="E1640">
        <v>0</v>
      </c>
      <c r="H1640">
        <v>0</v>
      </c>
      <c r="I1640">
        <v>850.123613</v>
      </c>
      <c r="J1640">
        <v>0</v>
      </c>
      <c r="K1640" t="s">
        <v>3219</v>
      </c>
      <c r="L1640">
        <v>1.185233061722988</v>
      </c>
      <c r="M1640">
        <v>18.55</v>
      </c>
      <c r="N1640">
        <v>4.61</v>
      </c>
    </row>
    <row r="1641" spans="1:14">
      <c r="A1641" s="1" t="s">
        <v>1653</v>
      </c>
      <c r="B1641">
        <f>HYPERLINK("https://www.suredividend.com/sure-analysis-research-database/","Loews Corp.")</f>
        <v>0</v>
      </c>
      <c r="C1641" t="s">
        <v>3221</v>
      </c>
      <c r="D1641">
        <v>65.15000000000001</v>
      </c>
      <c r="E1641">
        <v>0.003834104456876</v>
      </c>
      <c r="F1641">
        <v>0</v>
      </c>
      <c r="G1641">
        <v>0</v>
      </c>
      <c r="H1641">
        <v>0.249791905365515</v>
      </c>
      <c r="I1641">
        <v>16052.594899</v>
      </c>
      <c r="J1641">
        <v>10.17274708453739</v>
      </c>
      <c r="K1641">
        <v>0.04121978636394637</v>
      </c>
      <c r="L1641">
        <v>0.8026191738663211</v>
      </c>
      <c r="M1641">
        <v>66</v>
      </c>
      <c r="N1641">
        <v>51.29</v>
      </c>
    </row>
    <row r="1642" spans="1:14">
      <c r="A1642" s="1" t="s">
        <v>1654</v>
      </c>
      <c r="B1642">
        <f>HYPERLINK("https://www.suredividend.com/sure-analysis-LAD/","Lithia Motors, Inc.")</f>
        <v>0</v>
      </c>
      <c r="C1642" t="s">
        <v>3223</v>
      </c>
      <c r="D1642">
        <v>290.64</v>
      </c>
      <c r="E1642">
        <v>0.004816955684007707</v>
      </c>
      <c r="H1642">
        <v>1.397787225273115</v>
      </c>
      <c r="I1642">
        <v>8570.266473</v>
      </c>
      <c r="J1642">
        <v>8.084394371172531</v>
      </c>
      <c r="K1642">
        <v>0.03823269215736091</v>
      </c>
      <c r="L1642">
        <v>1.12875309115491</v>
      </c>
      <c r="M1642">
        <v>404.8</v>
      </c>
      <c r="N1642">
        <v>273.73</v>
      </c>
    </row>
    <row r="1643" spans="1:14">
      <c r="A1643" s="1" t="s">
        <v>1655</v>
      </c>
      <c r="B1643">
        <f>HYPERLINK("https://www.suredividend.com/sure-analysis-LADR/","Ladder Capital Corp")</f>
        <v>0</v>
      </c>
      <c r="C1643" t="s">
        <v>3224</v>
      </c>
      <c r="D1643">
        <v>12.58</v>
      </c>
      <c r="E1643">
        <v>0.06359300476947537</v>
      </c>
      <c r="F1643">
        <v>0</v>
      </c>
      <c r="G1643">
        <v>-0.07789208851827223</v>
      </c>
      <c r="H1643">
        <v>0.7803821183643971</v>
      </c>
      <c r="I1643">
        <v>1610.478743</v>
      </c>
      <c r="J1643">
        <v>28.49295395138176</v>
      </c>
      <c r="K1643">
        <v>1.7196609042847</v>
      </c>
      <c r="L1643">
        <v>0.8537967384626141</v>
      </c>
      <c r="M1643">
        <v>12.7</v>
      </c>
      <c r="N1643">
        <v>9.960000000000001</v>
      </c>
    </row>
    <row r="1644" spans="1:14">
      <c r="A1644" s="1" t="s">
        <v>1656</v>
      </c>
      <c r="B1644">
        <f>HYPERLINK("https://www.suredividend.com/sure-analysis-research-database/","Lakeland Industries, Inc.")</f>
        <v>0</v>
      </c>
      <c r="C1644" t="s">
        <v>3223</v>
      </c>
      <c r="D1644">
        <v>18.53</v>
      </c>
      <c r="E1644">
        <v>0</v>
      </c>
      <c r="H1644">
        <v>0</v>
      </c>
      <c r="I1644">
        <v>144.078273</v>
      </c>
      <c r="J1644">
        <v>8.067092563269878</v>
      </c>
      <c r="K1644">
        <v>0</v>
      </c>
      <c r="L1644">
        <v>0.432736059588977</v>
      </c>
      <c r="M1644">
        <v>29.64</v>
      </c>
      <c r="N1644">
        <v>18.04</v>
      </c>
    </row>
    <row r="1645" spans="1:14">
      <c r="A1645" s="1" t="s">
        <v>1657</v>
      </c>
      <c r="B1645">
        <f>HYPERLINK("https://www.suredividend.com/sure-analysis-LAMR/","Lamar Advertising Co")</f>
        <v>0</v>
      </c>
      <c r="C1645" t="s">
        <v>3224</v>
      </c>
      <c r="D1645">
        <v>112.75</v>
      </c>
      <c r="E1645">
        <v>0.03902439024390244</v>
      </c>
      <c r="F1645">
        <v>0.4666666666666668</v>
      </c>
      <c r="G1645">
        <v>0.0579445814679882</v>
      </c>
      <c r="H1645">
        <v>3.801486038137769</v>
      </c>
      <c r="I1645">
        <v>9813.309225999999</v>
      </c>
      <c r="J1645">
        <v>25.30997285576117</v>
      </c>
      <c r="K1645">
        <v>0.9925551013414541</v>
      </c>
      <c r="L1645">
        <v>1.010223496498103</v>
      </c>
      <c r="M1645">
        <v>123.11</v>
      </c>
      <c r="N1645">
        <v>91.40000000000001</v>
      </c>
    </row>
    <row r="1646" spans="1:14">
      <c r="A1646" s="1" t="s">
        <v>1658</v>
      </c>
      <c r="B1646">
        <f>HYPERLINK("https://www.suredividend.com/sure-analysis-LANC/","Lancaster Colony Corp.")</f>
        <v>0</v>
      </c>
      <c r="C1646" t="s">
        <v>3225</v>
      </c>
      <c r="D1646">
        <v>155.19</v>
      </c>
      <c r="E1646">
        <v>0.02061988530188801</v>
      </c>
      <c r="F1646">
        <v>0.06666666666666665</v>
      </c>
      <c r="G1646">
        <v>0.07781806771272581</v>
      </c>
      <c r="H1646">
        <v>3.077727196827196</v>
      </c>
      <c r="I1646">
        <v>4273.15665</v>
      </c>
      <c r="J1646">
        <v>34.0895298003207</v>
      </c>
      <c r="K1646">
        <v>0.6749401747428061</v>
      </c>
      <c r="L1646">
        <v>0.346731692667021</v>
      </c>
      <c r="M1646">
        <v>198.42</v>
      </c>
      <c r="N1646">
        <v>144.31</v>
      </c>
    </row>
    <row r="1647" spans="1:14">
      <c r="A1647" s="1" t="s">
        <v>1659</v>
      </c>
      <c r="B1647">
        <f>HYPERLINK("https://www.suredividend.com/sure-analysis-LAND/","Gladstone Land Corp")</f>
        <v>0</v>
      </c>
      <c r="C1647" t="s">
        <v>3224</v>
      </c>
      <c r="D1647">
        <v>39.76</v>
      </c>
      <c r="E1647">
        <v>0.01358148893360161</v>
      </c>
      <c r="F1647">
        <v>0.00221238938053081</v>
      </c>
      <c r="G1647">
        <v>0.002222244146131036</v>
      </c>
      <c r="H1647">
        <v>0.5370907828364511</v>
      </c>
      <c r="I1647">
        <v>1372.517904</v>
      </c>
      <c r="J1647">
        <v>0</v>
      </c>
      <c r="K1647" t="s">
        <v>3219</v>
      </c>
      <c r="L1647">
        <v>0.7201231888380361</v>
      </c>
      <c r="M1647">
        <v>40.8</v>
      </c>
      <c r="N1647">
        <v>19.58</v>
      </c>
    </row>
    <row r="1648" spans="1:14">
      <c r="A1648" s="1" t="s">
        <v>1660</v>
      </c>
      <c r="B1648">
        <f>HYPERLINK("https://www.suredividend.com/sure-analysis-research-database/","Landmark Bancorp Inc")</f>
        <v>0</v>
      </c>
      <c r="C1648" t="s">
        <v>3221</v>
      </c>
      <c r="D1648">
        <v>26.15</v>
      </c>
      <c r="E1648">
        <v>0.029563759532756</v>
      </c>
      <c r="F1648">
        <v>0.04999999999999982</v>
      </c>
      <c r="G1648">
        <v>0.009805797673485328</v>
      </c>
      <c r="H1648">
        <v>0.7730923117815801</v>
      </c>
      <c r="I1648">
        <v>130.683553</v>
      </c>
      <c r="J1648">
        <v>0</v>
      </c>
      <c r="K1648" t="s">
        <v>3219</v>
      </c>
      <c r="M1648">
        <v>29.77</v>
      </c>
      <c r="N1648">
        <v>21.62</v>
      </c>
    </row>
    <row r="1649" spans="1:14">
      <c r="A1649" s="1" t="s">
        <v>1661</v>
      </c>
      <c r="B1649">
        <f>HYPERLINK("https://www.suredividend.com/sure-analysis-research-database/","nLIGHT Inc")</f>
        <v>0</v>
      </c>
      <c r="C1649" t="s">
        <v>3222</v>
      </c>
      <c r="D1649">
        <v>15.01</v>
      </c>
      <c r="E1649">
        <v>0</v>
      </c>
      <c r="H1649">
        <v>0</v>
      </c>
      <c r="I1649">
        <v>665.492621</v>
      </c>
      <c r="J1649">
        <v>0</v>
      </c>
      <c r="K1649" t="s">
        <v>3219</v>
      </c>
      <c r="L1649">
        <v>1.667866277405765</v>
      </c>
      <c r="M1649">
        <v>36.95</v>
      </c>
      <c r="N1649">
        <v>13.85</v>
      </c>
    </row>
    <row r="1650" spans="1:14">
      <c r="A1650" s="1" t="s">
        <v>1662</v>
      </c>
      <c r="B1650">
        <f>HYPERLINK("https://www.suredividend.com/sure-analysis-research-database/","Laureate Education Inc")</f>
        <v>0</v>
      </c>
      <c r="C1650" t="s">
        <v>3225</v>
      </c>
      <c r="D1650">
        <v>12.05</v>
      </c>
      <c r="E1650">
        <v>0</v>
      </c>
      <c r="H1650">
        <v>0</v>
      </c>
      <c r="I1650">
        <v>2150.96732</v>
      </c>
      <c r="J1650">
        <v>11.17699156958316</v>
      </c>
      <c r="K1650">
        <v>0</v>
      </c>
      <c r="M1650">
        <v>13.25</v>
      </c>
      <c r="N1650">
        <v>9.17</v>
      </c>
    </row>
    <row r="1651" spans="1:14">
      <c r="A1651" s="1" t="s">
        <v>1663</v>
      </c>
      <c r="B1651">
        <f>HYPERLINK("https://www.suredividend.com/sure-analysis-research-database/","Lawson Products, Inc.")</f>
        <v>0</v>
      </c>
      <c r="C1651" t="s">
        <v>3220</v>
      </c>
      <c r="D1651">
        <v>35.33</v>
      </c>
      <c r="E1651">
        <v>0</v>
      </c>
      <c r="H1651">
        <v>0</v>
      </c>
      <c r="I1651">
        <v>322.053583</v>
      </c>
      <c r="J1651">
        <v>34.23916465234957</v>
      </c>
      <c r="K1651">
        <v>0</v>
      </c>
      <c r="L1651">
        <v>0.6980335024750921</v>
      </c>
      <c r="M1651">
        <v>62.1</v>
      </c>
      <c r="N1651">
        <v>33.92</v>
      </c>
    </row>
    <row r="1652" spans="1:14">
      <c r="A1652" s="1" t="s">
        <v>1664</v>
      </c>
      <c r="B1652">
        <f>HYPERLINK("https://www.suredividend.com/sure-analysis-LAZ/","Lazard Ltd.")</f>
        <v>0</v>
      </c>
      <c r="C1652" t="s">
        <v>3221</v>
      </c>
      <c r="D1652">
        <v>33.18</v>
      </c>
      <c r="E1652">
        <v>0.05666063893911995</v>
      </c>
      <c r="F1652">
        <v>0</v>
      </c>
      <c r="G1652">
        <v>0.02769158456117293</v>
      </c>
      <c r="H1652">
        <v>1.85013167721774</v>
      </c>
      <c r="I1652">
        <v>3741.578899</v>
      </c>
      <c r="J1652">
        <v>7.203420179508949</v>
      </c>
      <c r="K1652">
        <v>0.4048428177719344</v>
      </c>
      <c r="L1652">
        <v>1.193148342997585</v>
      </c>
      <c r="M1652">
        <v>51.88</v>
      </c>
      <c r="N1652">
        <v>31.64</v>
      </c>
    </row>
    <row r="1653" spans="1:14">
      <c r="A1653" s="1" t="s">
        <v>1665</v>
      </c>
      <c r="B1653">
        <f>HYPERLINK("https://www.suredividend.com/sure-analysis-research-database/","L Brands Inc")</f>
        <v>0</v>
      </c>
      <c r="C1653" t="s">
        <v>3223</v>
      </c>
      <c r="D1653">
        <v>79.92</v>
      </c>
      <c r="E1653">
        <v>0.001876876951457</v>
      </c>
      <c r="H1653">
        <v>0.150000005960464</v>
      </c>
      <c r="I1653">
        <v>21957.908112</v>
      </c>
      <c r="J1653">
        <v>15.48512560789845</v>
      </c>
      <c r="K1653">
        <v>0.02988047927499283</v>
      </c>
      <c r="L1653">
        <v>1.323418425797631</v>
      </c>
      <c r="M1653">
        <v>82</v>
      </c>
      <c r="N1653">
        <v>24.53</v>
      </c>
    </row>
    <row r="1654" spans="1:14">
      <c r="A1654" s="1" t="s">
        <v>1666</v>
      </c>
      <c r="B1654">
        <f>HYPERLINK("https://www.suredividend.com/sure-analysis-research-database/","Lakeland Bancorp, Inc.")</f>
        <v>0</v>
      </c>
      <c r="C1654" t="s">
        <v>3221</v>
      </c>
      <c r="D1654">
        <v>15.87</v>
      </c>
      <c r="E1654">
        <v>0.033652065207563</v>
      </c>
      <c r="H1654">
        <v>0.534058274844028</v>
      </c>
      <c r="I1654">
        <v>1028.052379</v>
      </c>
      <c r="J1654">
        <v>10.9484912401623</v>
      </c>
      <c r="K1654">
        <v>0.2886801485643394</v>
      </c>
      <c r="L1654">
        <v>0.7718808158775571</v>
      </c>
      <c r="M1654">
        <v>20.54</v>
      </c>
      <c r="N1654">
        <v>14.97</v>
      </c>
    </row>
    <row r="1655" spans="1:14">
      <c r="A1655" s="1" t="s">
        <v>1667</v>
      </c>
      <c r="B1655">
        <f>HYPERLINK("https://www.suredividend.com/sure-analysis-research-database/","Luther Burbank Corp")</f>
        <v>0</v>
      </c>
      <c r="C1655" t="s">
        <v>3221</v>
      </c>
      <c r="D1655">
        <v>13.32</v>
      </c>
      <c r="E1655">
        <v>0.030988020359162</v>
      </c>
      <c r="H1655">
        <v>0.41276043118404</v>
      </c>
      <c r="I1655">
        <v>687.963321</v>
      </c>
      <c r="J1655">
        <v>0</v>
      </c>
      <c r="K1655" t="s">
        <v>3219</v>
      </c>
      <c r="L1655">
        <v>0.538675114140144</v>
      </c>
      <c r="M1655">
        <v>15.1</v>
      </c>
      <c r="N1655">
        <v>10.59</v>
      </c>
    </row>
    <row r="1656" spans="1:14">
      <c r="A1656" s="1" t="s">
        <v>1668</v>
      </c>
      <c r="B1656">
        <f>HYPERLINK("https://www.suredividend.com/sure-analysis-research-database/","Liberty Broadband Corp")</f>
        <v>0</v>
      </c>
      <c r="C1656" t="s">
        <v>3228</v>
      </c>
      <c r="D1656">
        <v>133.59</v>
      </c>
      <c r="E1656">
        <v>0</v>
      </c>
      <c r="H1656">
        <v>0</v>
      </c>
      <c r="I1656">
        <v>22719.609119</v>
      </c>
      <c r="J1656">
        <v>0</v>
      </c>
      <c r="K1656" t="s">
        <v>3219</v>
      </c>
      <c r="L1656">
        <v>0.65964312656831</v>
      </c>
      <c r="M1656">
        <v>188.76</v>
      </c>
      <c r="N1656">
        <v>128.82</v>
      </c>
    </row>
    <row r="1657" spans="1:14">
      <c r="A1657" s="1" t="s">
        <v>1669</v>
      </c>
      <c r="B1657">
        <f>HYPERLINK("https://www.suredividend.com/sure-analysis-research-database/","Liberty Broadband Corp")</f>
        <v>0</v>
      </c>
      <c r="C1657" t="s">
        <v>3228</v>
      </c>
      <c r="D1657">
        <v>138.04</v>
      </c>
      <c r="E1657">
        <v>0</v>
      </c>
      <c r="H1657">
        <v>0</v>
      </c>
      <c r="I1657">
        <v>22719.609119</v>
      </c>
      <c r="J1657">
        <v>31.03771737599726</v>
      </c>
      <c r="K1657">
        <v>0</v>
      </c>
      <c r="L1657">
        <v>0.649067120342657</v>
      </c>
      <c r="M1657">
        <v>194.05</v>
      </c>
      <c r="N1657">
        <v>132.58</v>
      </c>
    </row>
    <row r="1658" spans="1:14">
      <c r="A1658" s="1" t="s">
        <v>1670</v>
      </c>
      <c r="B1658">
        <f>HYPERLINK("https://www.suredividend.com/sure-analysis-research-database/","Liberty Oilfield Services Inc")</f>
        <v>0</v>
      </c>
      <c r="C1658" t="s">
        <v>3226</v>
      </c>
      <c r="D1658">
        <v>17.02</v>
      </c>
      <c r="E1658">
        <v>0</v>
      </c>
      <c r="H1658">
        <v>0</v>
      </c>
      <c r="I1658">
        <v>3125.647772</v>
      </c>
      <c r="J1658" t="s">
        <v>3219</v>
      </c>
      <c r="K1658">
        <v>-0</v>
      </c>
      <c r="L1658">
        <v>0.9905382068106271</v>
      </c>
      <c r="M1658">
        <v>17.78</v>
      </c>
      <c r="N1658">
        <v>8.5</v>
      </c>
    </row>
    <row r="1659" spans="1:14">
      <c r="A1659" s="1" t="s">
        <v>1671</v>
      </c>
      <c r="B1659">
        <f>HYPERLINK("https://www.suredividend.com/sure-analysis-research-database/","Liberty Global plc")</f>
        <v>0</v>
      </c>
      <c r="C1659" t="s">
        <v>3228</v>
      </c>
      <c r="D1659">
        <v>25.22</v>
      </c>
      <c r="E1659">
        <v>0</v>
      </c>
      <c r="H1659">
        <v>0</v>
      </c>
      <c r="I1659">
        <v>13405.480085</v>
      </c>
      <c r="J1659">
        <v>0.998412137276194</v>
      </c>
      <c r="K1659">
        <v>0</v>
      </c>
      <c r="L1659">
        <v>0.9219020315420231</v>
      </c>
      <c r="M1659">
        <v>30.58</v>
      </c>
      <c r="N1659">
        <v>23</v>
      </c>
    </row>
    <row r="1660" spans="1:14">
      <c r="A1660" s="1" t="s">
        <v>1672</v>
      </c>
      <c r="B1660">
        <f>HYPERLINK("https://www.suredividend.com/sure-analysis-research-database/","Liberty Global plc")</f>
        <v>0</v>
      </c>
      <c r="C1660" t="s">
        <v>3228</v>
      </c>
      <c r="D1660">
        <v>25.86</v>
      </c>
      <c r="E1660">
        <v>0</v>
      </c>
      <c r="H1660">
        <v>0</v>
      </c>
      <c r="I1660">
        <v>13405.480085</v>
      </c>
      <c r="J1660">
        <v>0</v>
      </c>
      <c r="K1660" t="s">
        <v>3219</v>
      </c>
      <c r="L1660">
        <v>0.923548054936096</v>
      </c>
      <c r="M1660">
        <v>30.49</v>
      </c>
      <c r="N1660">
        <v>23.45</v>
      </c>
    </row>
    <row r="1661" spans="1:14">
      <c r="A1661" s="1" t="s">
        <v>1673</v>
      </c>
      <c r="B1661">
        <f>HYPERLINK("https://www.suredividend.com/sure-analysis-research-database/","LendingClub Corp")</f>
        <v>0</v>
      </c>
      <c r="C1661" t="s">
        <v>3221</v>
      </c>
      <c r="D1661">
        <v>13.52</v>
      </c>
      <c r="E1661">
        <v>0</v>
      </c>
      <c r="H1661">
        <v>0</v>
      </c>
      <c r="I1661">
        <v>1366.113852</v>
      </c>
      <c r="J1661">
        <v>73.52604157588804</v>
      </c>
      <c r="K1661">
        <v>0</v>
      </c>
      <c r="L1661">
        <v>2.736030281839184</v>
      </c>
      <c r="M1661">
        <v>49.21</v>
      </c>
      <c r="N1661">
        <v>11.97</v>
      </c>
    </row>
    <row r="1662" spans="1:14">
      <c r="A1662" s="1" t="s">
        <v>1674</v>
      </c>
      <c r="B1662">
        <f>HYPERLINK("https://www.suredividend.com/sure-analysis-research-database/","Lannett Co., Inc.")</f>
        <v>0</v>
      </c>
      <c r="C1662" t="s">
        <v>3217</v>
      </c>
      <c r="D1662">
        <v>0.7734000000000001</v>
      </c>
      <c r="E1662">
        <v>0</v>
      </c>
      <c r="H1662">
        <v>0</v>
      </c>
      <c r="I1662">
        <v>33.217645</v>
      </c>
      <c r="J1662" t="s">
        <v>3219</v>
      </c>
      <c r="K1662">
        <v>-0</v>
      </c>
      <c r="L1662">
        <v>0.925546151044467</v>
      </c>
      <c r="M1662">
        <v>5.82</v>
      </c>
      <c r="N1662">
        <v>0.7138</v>
      </c>
    </row>
    <row r="1663" spans="1:14">
      <c r="A1663" s="1" t="s">
        <v>1675</v>
      </c>
      <c r="B1663">
        <f>HYPERLINK("https://www.suredividend.com/sure-analysis-research-database/","LCI Industries")</f>
        <v>0</v>
      </c>
      <c r="C1663" t="s">
        <v>3223</v>
      </c>
      <c r="D1663">
        <v>104.18</v>
      </c>
      <c r="E1663">
        <v>0.034206463920179</v>
      </c>
      <c r="F1663">
        <v>0.2</v>
      </c>
      <c r="G1663">
        <v>0.1247461131420948</v>
      </c>
      <c r="H1663">
        <v>3.563629411204338</v>
      </c>
      <c r="I1663">
        <v>2647.366945</v>
      </c>
      <c r="J1663">
        <v>9.200584364997448</v>
      </c>
      <c r="K1663">
        <v>0.3148082518731747</v>
      </c>
      <c r="L1663">
        <v>1.378613906516368</v>
      </c>
      <c r="M1663">
        <v>161.38</v>
      </c>
      <c r="N1663">
        <v>99.23</v>
      </c>
    </row>
    <row r="1664" spans="1:14">
      <c r="A1664" s="1" t="s">
        <v>1676</v>
      </c>
      <c r="B1664">
        <f>HYPERLINK("https://www.suredividend.com/sure-analysis-research-database/","LCNB Corp")</f>
        <v>0</v>
      </c>
      <c r="C1664" t="s">
        <v>3221</v>
      </c>
      <c r="D1664">
        <v>17.2</v>
      </c>
      <c r="E1664">
        <v>0.044645589561749</v>
      </c>
      <c r="F1664">
        <v>0.05263157894736836</v>
      </c>
      <c r="G1664">
        <v>0.04563955259127317</v>
      </c>
      <c r="H1664">
        <v>0.7679041404620911</v>
      </c>
      <c r="I1664">
        <v>196.016756</v>
      </c>
      <c r="J1664">
        <v>0</v>
      </c>
      <c r="K1664" t="s">
        <v>3219</v>
      </c>
      <c r="L1664">
        <v>0.56000516468753</v>
      </c>
      <c r="M1664">
        <v>20.26</v>
      </c>
      <c r="N1664">
        <v>15.35</v>
      </c>
    </row>
    <row r="1665" spans="1:14">
      <c r="A1665" s="1" t="s">
        <v>1677</v>
      </c>
      <c r="B1665">
        <f>HYPERLINK("https://www.suredividend.com/sure-analysis-research-database/","Lineage Cell Therapeutics Inc")</f>
        <v>0</v>
      </c>
      <c r="C1665" t="s">
        <v>3217</v>
      </c>
      <c r="D1665">
        <v>1.26</v>
      </c>
      <c r="E1665">
        <v>0</v>
      </c>
      <c r="H1665">
        <v>0</v>
      </c>
      <c r="I1665">
        <v>213.833708</v>
      </c>
      <c r="J1665" t="s">
        <v>3219</v>
      </c>
      <c r="K1665">
        <v>-0</v>
      </c>
      <c r="L1665">
        <v>1.720579302483299</v>
      </c>
      <c r="M1665">
        <v>3</v>
      </c>
      <c r="N1665">
        <v>1.18</v>
      </c>
    </row>
    <row r="1666" spans="1:14">
      <c r="A1666" s="1" t="s">
        <v>1678</v>
      </c>
      <c r="B1666">
        <f>HYPERLINK("https://www.suredividend.com/sure-analysis-research-database/","Lifetime Brands, Inc.")</f>
        <v>0</v>
      </c>
      <c r="C1666" t="s">
        <v>3223</v>
      </c>
      <c r="D1666">
        <v>13.03</v>
      </c>
      <c r="E1666">
        <v>0.012995030623287</v>
      </c>
      <c r="F1666">
        <v>0</v>
      </c>
      <c r="G1666">
        <v>0</v>
      </c>
      <c r="H1666">
        <v>0.169325249021433</v>
      </c>
      <c r="I1666">
        <v>286.894748</v>
      </c>
      <c r="J1666">
        <v>13.7923536599202</v>
      </c>
      <c r="K1666">
        <v>0.1793889702526041</v>
      </c>
      <c r="L1666">
        <v>0.9590304618920781</v>
      </c>
      <c r="M1666">
        <v>19.83</v>
      </c>
      <c r="N1666">
        <v>11.99</v>
      </c>
    </row>
    <row r="1667" spans="1:14">
      <c r="A1667" s="1" t="s">
        <v>1679</v>
      </c>
      <c r="B1667">
        <f>HYPERLINK("https://www.suredividend.com/sure-analysis-research-database/","Lydall, Inc.")</f>
        <v>0</v>
      </c>
      <c r="C1667" t="s">
        <v>3220</v>
      </c>
      <c r="D1667">
        <v>62.09</v>
      </c>
      <c r="E1667">
        <v>0</v>
      </c>
      <c r="H1667">
        <v>0</v>
      </c>
      <c r="I1667">
        <v>1119.929872</v>
      </c>
      <c r="J1667" t="s">
        <v>3219</v>
      </c>
      <c r="K1667">
        <v>-0</v>
      </c>
      <c r="M1667">
        <v>62.12</v>
      </c>
      <c r="N1667">
        <v>16.75</v>
      </c>
    </row>
    <row r="1668" spans="1:14">
      <c r="A1668" s="1" t="s">
        <v>1680</v>
      </c>
      <c r="B1668">
        <f>HYPERLINK("https://www.suredividend.com/sure-analysis-research-database/","Leidos Holdings Inc")</f>
        <v>0</v>
      </c>
      <c r="C1668" t="s">
        <v>3222</v>
      </c>
      <c r="D1668">
        <v>109.06</v>
      </c>
      <c r="E1668">
        <v>0.012949022104029</v>
      </c>
      <c r="F1668">
        <v>0.0588235294117645</v>
      </c>
      <c r="G1668">
        <v>0.02383625553960966</v>
      </c>
      <c r="H1668">
        <v>1.41222035066543</v>
      </c>
      <c r="I1668">
        <v>14869.454921</v>
      </c>
      <c r="J1668">
        <v>19.74695208634794</v>
      </c>
      <c r="K1668">
        <v>0.2679735010750342</v>
      </c>
      <c r="L1668">
        <v>0.282491675079688</v>
      </c>
      <c r="M1668">
        <v>110.65</v>
      </c>
      <c r="N1668">
        <v>80.78</v>
      </c>
    </row>
    <row r="1669" spans="1:14">
      <c r="A1669" s="1" t="s">
        <v>1681</v>
      </c>
      <c r="B1669">
        <f>HYPERLINK("https://www.suredividend.com/sure-analysis-research-database/","Lands` End, Inc.")</f>
        <v>0</v>
      </c>
      <c r="C1669" t="s">
        <v>3223</v>
      </c>
      <c r="D1669">
        <v>16.48</v>
      </c>
      <c r="E1669">
        <v>0</v>
      </c>
      <c r="H1669">
        <v>0</v>
      </c>
      <c r="I1669">
        <v>546.06508</v>
      </c>
      <c r="J1669">
        <v>0</v>
      </c>
      <c r="K1669" t="s">
        <v>3219</v>
      </c>
      <c r="L1669">
        <v>1.763747071242657</v>
      </c>
      <c r="M1669">
        <v>44.4</v>
      </c>
      <c r="N1669">
        <v>14.73</v>
      </c>
    </row>
    <row r="1670" spans="1:14">
      <c r="A1670" s="1" t="s">
        <v>1682</v>
      </c>
      <c r="B1670">
        <f>HYPERLINK("https://www.suredividend.com/sure-analysis-research-database/","Lear Corp.")</f>
        <v>0</v>
      </c>
      <c r="C1670" t="s">
        <v>3223</v>
      </c>
      <c r="D1670">
        <v>128.12</v>
      </c>
      <c r="E1670">
        <v>0.017779306424979</v>
      </c>
      <c r="H1670">
        <v>2.277884739168434</v>
      </c>
      <c r="I1670">
        <v>7657.026843</v>
      </c>
      <c r="J1670">
        <v>20.47880942273335</v>
      </c>
      <c r="K1670">
        <v>0.3679943035813302</v>
      </c>
      <c r="L1670">
        <v>1.41910702469809</v>
      </c>
      <c r="M1670">
        <v>202.06</v>
      </c>
      <c r="N1670">
        <v>123.28</v>
      </c>
    </row>
    <row r="1671" spans="1:14">
      <c r="A1671" s="1" t="s">
        <v>1683</v>
      </c>
      <c r="B1671">
        <f>HYPERLINK("https://www.suredividend.com/sure-analysis-research-database/","Leaf Group Ltd")</f>
        <v>0</v>
      </c>
      <c r="C1671" t="s">
        <v>3228</v>
      </c>
      <c r="D1671">
        <v>8.49</v>
      </c>
      <c r="E1671">
        <v>0</v>
      </c>
      <c r="H1671">
        <v>0</v>
      </c>
      <c r="I1671">
        <v>305.912487</v>
      </c>
      <c r="J1671" t="s">
        <v>3219</v>
      </c>
      <c r="K1671">
        <v>-0</v>
      </c>
      <c r="L1671">
        <v>0.4975602515426951</v>
      </c>
      <c r="M1671">
        <v>9.5</v>
      </c>
      <c r="N1671">
        <v>2.48</v>
      </c>
    </row>
    <row r="1672" spans="1:14">
      <c r="A1672" s="1" t="s">
        <v>1684</v>
      </c>
      <c r="B1672">
        <f>HYPERLINK("https://www.suredividend.com/sure-analysis-LECO/","Lincoln Electric Holdings, Inc.")</f>
        <v>0</v>
      </c>
      <c r="C1672" t="s">
        <v>3220</v>
      </c>
      <c r="D1672">
        <v>129.47</v>
      </c>
      <c r="E1672">
        <v>0.01730130532169615</v>
      </c>
      <c r="H1672">
        <v>2.127660019478426</v>
      </c>
      <c r="I1672">
        <v>7590.143275</v>
      </c>
      <c r="J1672">
        <v>27.45416534119928</v>
      </c>
      <c r="K1672">
        <v>0.4625347868431361</v>
      </c>
      <c r="L1672">
        <v>0.8475987060633351</v>
      </c>
      <c r="M1672">
        <v>147.36</v>
      </c>
      <c r="N1672">
        <v>119.75</v>
      </c>
    </row>
    <row r="1673" spans="1:14">
      <c r="A1673" s="1" t="s">
        <v>1685</v>
      </c>
      <c r="B1673">
        <f>HYPERLINK("https://www.suredividend.com/sure-analysis-research-database/","Lee Enterprises, Inc.")</f>
        <v>0</v>
      </c>
      <c r="C1673" t="s">
        <v>3228</v>
      </c>
      <c r="D1673">
        <v>25.51</v>
      </c>
      <c r="E1673">
        <v>0</v>
      </c>
      <c r="H1673">
        <v>0</v>
      </c>
      <c r="I1673">
        <v>151.962815</v>
      </c>
      <c r="J1673">
        <v>7.776614037152654</v>
      </c>
      <c r="K1673">
        <v>0</v>
      </c>
      <c r="L1673">
        <v>1.02726419612674</v>
      </c>
      <c r="M1673">
        <v>44.43</v>
      </c>
      <c r="N1673">
        <v>18.45</v>
      </c>
    </row>
    <row r="1674" spans="1:14">
      <c r="A1674" s="1" t="s">
        <v>1686</v>
      </c>
      <c r="B1674">
        <f>HYPERLINK("https://www.suredividend.com/sure-analysis-LEG/","Leggett &amp; Platt, Inc.")</f>
        <v>0</v>
      </c>
      <c r="C1674" t="s">
        <v>3223</v>
      </c>
      <c r="D1674">
        <v>35.87</v>
      </c>
      <c r="E1674">
        <v>0.04683579592974631</v>
      </c>
      <c r="F1674">
        <v>0.04999999999999982</v>
      </c>
      <c r="G1674">
        <v>0.03131030647754507</v>
      </c>
      <c r="H1674">
        <v>1.653220807980786</v>
      </c>
      <c r="I1674">
        <v>4802.250634</v>
      </c>
      <c r="J1674">
        <v>11.93402245149105</v>
      </c>
      <c r="K1674">
        <v>0.5623200027145531</v>
      </c>
      <c r="L1674">
        <v>0.9682889770653731</v>
      </c>
      <c r="M1674">
        <v>56.92</v>
      </c>
      <c r="N1674">
        <v>33.8</v>
      </c>
    </row>
    <row r="1675" spans="1:14">
      <c r="A1675" s="1" t="s">
        <v>1687</v>
      </c>
      <c r="B1675">
        <f>HYPERLINK("https://www.suredividend.com/sure-analysis-research-database/","Legacy Housing Corp")</f>
        <v>0</v>
      </c>
      <c r="C1675" t="s">
        <v>3223</v>
      </c>
      <c r="D1675">
        <v>18.48</v>
      </c>
      <c r="E1675">
        <v>0</v>
      </c>
      <c r="H1675">
        <v>0</v>
      </c>
      <c r="I1675">
        <v>447.392595</v>
      </c>
      <c r="J1675">
        <v>0</v>
      </c>
      <c r="K1675" t="s">
        <v>3219</v>
      </c>
      <c r="L1675">
        <v>1.053118975423493</v>
      </c>
      <c r="M1675">
        <v>28.84</v>
      </c>
      <c r="N1675">
        <v>15.28</v>
      </c>
    </row>
    <row r="1676" spans="1:14">
      <c r="A1676" s="1" t="s">
        <v>1688</v>
      </c>
      <c r="B1676">
        <f>HYPERLINK("https://www.suredividend.com/sure-analysis-research-database/","Lennar Corp.")</f>
        <v>0</v>
      </c>
      <c r="C1676" t="s">
        <v>3223</v>
      </c>
      <c r="D1676">
        <v>76.77</v>
      </c>
      <c r="E1676">
        <v>0.014591459855422</v>
      </c>
      <c r="F1676">
        <v>0.5</v>
      </c>
      <c r="G1676">
        <v>0.5645673222659491</v>
      </c>
      <c r="H1676">
        <v>1.120186373100773</v>
      </c>
      <c r="I1676">
        <v>22265.580626</v>
      </c>
      <c r="J1676">
        <v>5.729204834913658</v>
      </c>
      <c r="K1676">
        <v>0.08730992775532136</v>
      </c>
      <c r="L1676">
        <v>1.381260794730574</v>
      </c>
      <c r="M1676">
        <v>117.09</v>
      </c>
      <c r="N1676">
        <v>73.01000000000001</v>
      </c>
    </row>
    <row r="1677" spans="1:14">
      <c r="A1677" s="1" t="s">
        <v>1689</v>
      </c>
      <c r="B1677">
        <f>HYPERLINK("https://www.suredividend.com/sure-analysis-research-database/","Centrus Energy Corp")</f>
        <v>0</v>
      </c>
      <c r="C1677" t="s">
        <v>3226</v>
      </c>
      <c r="D1677">
        <v>32.51</v>
      </c>
      <c r="E1677">
        <v>0</v>
      </c>
      <c r="H1677">
        <v>0</v>
      </c>
      <c r="I1677">
        <v>444.539562</v>
      </c>
      <c r="J1677">
        <v>3.285584344641536</v>
      </c>
      <c r="K1677">
        <v>0</v>
      </c>
      <c r="L1677">
        <v>2.191294054311071</v>
      </c>
      <c r="M1677">
        <v>88.88</v>
      </c>
      <c r="N1677">
        <v>20.09</v>
      </c>
    </row>
    <row r="1678" spans="1:14">
      <c r="A1678" s="1" t="s">
        <v>1690</v>
      </c>
      <c r="B1678">
        <f>HYPERLINK("https://www.suredividend.com/sure-analysis-research-database/","Levi Strauss &amp; Co.")</f>
        <v>0</v>
      </c>
      <c r="C1678" t="s">
        <v>3223</v>
      </c>
      <c r="D1678">
        <v>19.13</v>
      </c>
      <c r="E1678">
        <v>0.016645251273789</v>
      </c>
      <c r="H1678">
        <v>0.3184236568675931</v>
      </c>
      <c r="I1678">
        <v>1853.470558</v>
      </c>
      <c r="J1678">
        <v>3.054097281488927</v>
      </c>
      <c r="K1678">
        <v>0.2137071522601296</v>
      </c>
      <c r="L1678">
        <v>1.530671251845928</v>
      </c>
      <c r="M1678">
        <v>30.46</v>
      </c>
      <c r="N1678">
        <v>17.34</v>
      </c>
    </row>
    <row r="1679" spans="1:14">
      <c r="A1679" s="1" t="s">
        <v>1691</v>
      </c>
      <c r="B1679">
        <f>HYPERLINK("https://www.suredividend.com/sure-analysis-research-database/","Littelfuse, Inc.")</f>
        <v>0</v>
      </c>
      <c r="C1679" t="s">
        <v>3222</v>
      </c>
      <c r="D1679">
        <v>229.02</v>
      </c>
      <c r="E1679">
        <v>0.009013197542235001</v>
      </c>
      <c r="F1679">
        <v>0.1041666666666667</v>
      </c>
      <c r="G1679">
        <v>0.09939152802623497</v>
      </c>
      <c r="H1679">
        <v>2.064202501122887</v>
      </c>
      <c r="I1679">
        <v>5654.441965</v>
      </c>
      <c r="J1679">
        <v>19.92361671212025</v>
      </c>
      <c r="K1679">
        <v>0.1813886204853152</v>
      </c>
      <c r="L1679">
        <v>1.292233424249327</v>
      </c>
      <c r="M1679">
        <v>334.14</v>
      </c>
      <c r="N1679">
        <v>228.81</v>
      </c>
    </row>
    <row r="1680" spans="1:14">
      <c r="A1680" s="1" t="s">
        <v>1692</v>
      </c>
      <c r="B1680">
        <f>HYPERLINK("https://www.suredividend.com/sure-analysis-research-database/","Lifevantage Corporation")</f>
        <v>0</v>
      </c>
      <c r="C1680" t="s">
        <v>3225</v>
      </c>
      <c r="D1680">
        <v>4.62</v>
      </c>
      <c r="E1680">
        <v>0</v>
      </c>
      <c r="H1680">
        <v>0</v>
      </c>
      <c r="I1680">
        <v>59.37046</v>
      </c>
      <c r="J1680">
        <v>5.9216497486535</v>
      </c>
      <c r="K1680">
        <v>0</v>
      </c>
      <c r="L1680">
        <v>0.5925101631055321</v>
      </c>
      <c r="M1680">
        <v>8.9</v>
      </c>
      <c r="N1680">
        <v>4.5</v>
      </c>
    </row>
    <row r="1681" spans="1:14">
      <c r="A1681" s="1" t="s">
        <v>1693</v>
      </c>
      <c r="B1681">
        <f>HYPERLINK("https://www.suredividend.com/sure-analysis-research-database/","LGI Homes Inc")</f>
        <v>0</v>
      </c>
      <c r="C1681" t="s">
        <v>3223</v>
      </c>
      <c r="D1681">
        <v>90.06</v>
      </c>
      <c r="E1681">
        <v>0</v>
      </c>
      <c r="H1681">
        <v>0</v>
      </c>
      <c r="I1681">
        <v>2141.189829</v>
      </c>
      <c r="J1681">
        <v>4.983625618545544</v>
      </c>
      <c r="K1681">
        <v>0</v>
      </c>
      <c r="L1681">
        <v>1.38146107193444</v>
      </c>
      <c r="M1681">
        <v>188</v>
      </c>
      <c r="N1681">
        <v>88.13</v>
      </c>
    </row>
    <row r="1682" spans="1:14">
      <c r="A1682" s="1" t="s">
        <v>1694</v>
      </c>
      <c r="B1682">
        <f>HYPERLINK("https://www.suredividend.com/sure-analysis-research-database/","LGL Group Inc")</f>
        <v>0</v>
      </c>
      <c r="C1682" t="s">
        <v>3222</v>
      </c>
      <c r="D1682">
        <v>10.99</v>
      </c>
      <c r="E1682">
        <v>0</v>
      </c>
      <c r="H1682">
        <v>0</v>
      </c>
      <c r="I1682">
        <v>58.964163</v>
      </c>
      <c r="J1682">
        <v>0</v>
      </c>
      <c r="K1682" t="s">
        <v>3219</v>
      </c>
      <c r="M1682">
        <v>14.49</v>
      </c>
      <c r="N1682">
        <v>9.51</v>
      </c>
    </row>
    <row r="1683" spans="1:14">
      <c r="A1683" s="1" t="s">
        <v>1695</v>
      </c>
      <c r="B1683">
        <f>HYPERLINK("https://www.suredividend.com/sure-analysis-research-database/","Ligand Pharmaceuticals, Inc.")</f>
        <v>0</v>
      </c>
      <c r="C1683" t="s">
        <v>3217</v>
      </c>
      <c r="D1683">
        <v>105.26</v>
      </c>
      <c r="E1683">
        <v>0</v>
      </c>
      <c r="H1683">
        <v>0</v>
      </c>
      <c r="I1683">
        <v>1773.909939</v>
      </c>
      <c r="J1683">
        <v>31.04606284784206</v>
      </c>
      <c r="K1683">
        <v>0</v>
      </c>
      <c r="L1683">
        <v>1.267643888076698</v>
      </c>
      <c r="M1683">
        <v>169.98</v>
      </c>
      <c r="N1683">
        <v>88.5</v>
      </c>
    </row>
    <row r="1684" spans="1:14">
      <c r="A1684" s="1" t="s">
        <v>1696</v>
      </c>
      <c r="B1684">
        <f>HYPERLINK("https://www.suredividend.com/sure-analysis-research-database/","Laboratory Corp. Of America Holdings")</f>
        <v>0</v>
      </c>
      <c r="C1684" t="s">
        <v>3217</v>
      </c>
      <c r="D1684">
        <v>269.04</v>
      </c>
      <c r="E1684">
        <v>0</v>
      </c>
      <c r="H1684">
        <v>0</v>
      </c>
      <c r="I1684">
        <v>25068.053283</v>
      </c>
      <c r="J1684">
        <v>10.54475803784125</v>
      </c>
      <c r="K1684">
        <v>0</v>
      </c>
      <c r="L1684">
        <v>0.501287558523797</v>
      </c>
      <c r="M1684">
        <v>317.17</v>
      </c>
      <c r="N1684">
        <v>255.85</v>
      </c>
    </row>
    <row r="1685" spans="1:14">
      <c r="A1685" s="1" t="s">
        <v>1697</v>
      </c>
      <c r="B1685">
        <f>HYPERLINK("https://www.suredividend.com/sure-analysis-research-database/","LHC Group Inc")</f>
        <v>0</v>
      </c>
      <c r="C1685" t="s">
        <v>3217</v>
      </c>
      <c r="D1685">
        <v>167.14</v>
      </c>
      <c r="E1685">
        <v>0</v>
      </c>
      <c r="H1685">
        <v>0</v>
      </c>
      <c r="I1685">
        <v>5295.430433</v>
      </c>
      <c r="J1685">
        <v>45.75755592907507</v>
      </c>
      <c r="K1685">
        <v>0</v>
      </c>
      <c r="L1685">
        <v>1.191919767414137</v>
      </c>
      <c r="M1685">
        <v>223.63</v>
      </c>
      <c r="N1685">
        <v>108.42</v>
      </c>
    </row>
    <row r="1686" spans="1:14">
      <c r="A1686" s="1" t="s">
        <v>1698</v>
      </c>
      <c r="B1686">
        <f>HYPERLINK("https://www.suredividend.com/sure-analysis-LHX/","L3Harris Technologies Inc")</f>
        <v>0</v>
      </c>
      <c r="C1686" t="s">
        <v>3220</v>
      </c>
      <c r="D1686">
        <v>257.41</v>
      </c>
      <c r="E1686">
        <v>0.01740414125325357</v>
      </c>
      <c r="F1686">
        <v>0.09803921568627461</v>
      </c>
      <c r="G1686">
        <v>0.1614176738467334</v>
      </c>
      <c r="H1686">
        <v>4.152790603656031</v>
      </c>
      <c r="I1686">
        <v>49695.522603</v>
      </c>
      <c r="J1686">
        <v>26.92065146434453</v>
      </c>
      <c r="K1686">
        <v>0.4573557933541885</v>
      </c>
      <c r="L1686">
        <v>0.254758746577966</v>
      </c>
      <c r="M1686">
        <v>278.48</v>
      </c>
      <c r="N1686">
        <v>199.83</v>
      </c>
    </row>
    <row r="1687" spans="1:14">
      <c r="A1687" s="1" t="s">
        <v>1699</v>
      </c>
      <c r="B1687">
        <f>HYPERLINK("https://www.suredividend.com/sure-analysis-research-database/","Atyr Pharma Inc")</f>
        <v>0</v>
      </c>
      <c r="C1687" t="s">
        <v>3217</v>
      </c>
      <c r="D1687">
        <v>4.95</v>
      </c>
      <c r="E1687">
        <v>0</v>
      </c>
      <c r="H1687">
        <v>0</v>
      </c>
      <c r="I1687">
        <v>137.58918</v>
      </c>
      <c r="J1687">
        <v>0</v>
      </c>
      <c r="K1687" t="s">
        <v>3219</v>
      </c>
      <c r="L1687">
        <v>0.694602008288003</v>
      </c>
      <c r="M1687">
        <v>13.1</v>
      </c>
      <c r="N1687">
        <v>3.5</v>
      </c>
    </row>
    <row r="1688" spans="1:14">
      <c r="A1688" s="1" t="s">
        <v>1700</v>
      </c>
      <c r="B1688">
        <f>HYPERLINK("https://www.suredividend.com/sure-analysis-research-database/","Lennox International Inc")</f>
        <v>0</v>
      </c>
      <c r="C1688" t="s">
        <v>3220</v>
      </c>
      <c r="D1688">
        <v>239.96</v>
      </c>
      <c r="E1688">
        <v>0.015263317418594</v>
      </c>
      <c r="F1688">
        <v>0.1948051948051948</v>
      </c>
      <c r="G1688">
        <v>0.1252357720621626</v>
      </c>
      <c r="H1688">
        <v>3.662585647765961</v>
      </c>
      <c r="I1688">
        <v>8648.744142</v>
      </c>
      <c r="J1688">
        <v>18.63953478956897</v>
      </c>
      <c r="K1688">
        <v>0.2960861477579597</v>
      </c>
      <c r="L1688">
        <v>0.9620767358295291</v>
      </c>
      <c r="M1688">
        <v>352.1</v>
      </c>
      <c r="N1688">
        <v>239.55</v>
      </c>
    </row>
    <row r="1689" spans="1:14">
      <c r="A1689" s="1" t="s">
        <v>1701</v>
      </c>
      <c r="B1689">
        <f>HYPERLINK("https://www.suredividend.com/sure-analysis-research-database/","Liberty Latin America Ltd")</f>
        <v>0</v>
      </c>
      <c r="C1689" t="s">
        <v>3228</v>
      </c>
      <c r="D1689">
        <v>10.79</v>
      </c>
      <c r="E1689">
        <v>0</v>
      </c>
      <c r="H1689">
        <v>0</v>
      </c>
      <c r="I1689">
        <v>2433.417389</v>
      </c>
      <c r="J1689">
        <v>0</v>
      </c>
      <c r="K1689" t="s">
        <v>3219</v>
      </c>
      <c r="L1689">
        <v>1.184896816879633</v>
      </c>
      <c r="M1689">
        <v>14.79</v>
      </c>
      <c r="N1689">
        <v>9.109999999999999</v>
      </c>
    </row>
    <row r="1690" spans="1:14">
      <c r="A1690" s="1" t="s">
        <v>1702</v>
      </c>
      <c r="B1690">
        <f>HYPERLINK("https://www.suredividend.com/sure-analysis-research-database/","Liberty Latin America Ltd")</f>
        <v>0</v>
      </c>
      <c r="C1690" t="s">
        <v>3228</v>
      </c>
      <c r="D1690">
        <v>10.71</v>
      </c>
      <c r="E1690">
        <v>0</v>
      </c>
      <c r="H1690">
        <v>0</v>
      </c>
      <c r="I1690">
        <v>2433.417389</v>
      </c>
      <c r="J1690">
        <v>0</v>
      </c>
      <c r="K1690" t="s">
        <v>3219</v>
      </c>
      <c r="L1690">
        <v>1.202067500409007</v>
      </c>
      <c r="M1690">
        <v>14.96</v>
      </c>
      <c r="N1690">
        <v>9.06</v>
      </c>
    </row>
    <row r="1691" spans="1:14">
      <c r="A1691" s="1" t="s">
        <v>1703</v>
      </c>
      <c r="B1691">
        <f>HYPERLINK("https://www.suredividend.com/sure-analysis-LIN/","Linde Plc")</f>
        <v>0</v>
      </c>
      <c r="C1691" t="s">
        <v>3218</v>
      </c>
      <c r="D1691">
        <v>318.52</v>
      </c>
      <c r="E1691">
        <v>0.01469295491648876</v>
      </c>
      <c r="H1691">
        <v>4.326705938253121</v>
      </c>
      <c r="I1691">
        <v>163258.932918</v>
      </c>
      <c r="J1691">
        <v>42.67091816992159</v>
      </c>
      <c r="K1691">
        <v>0.5902736614260738</v>
      </c>
      <c r="L1691">
        <v>1.021741161545197</v>
      </c>
      <c r="M1691">
        <v>350.77</v>
      </c>
      <c r="N1691">
        <v>266.44</v>
      </c>
    </row>
    <row r="1692" spans="1:14">
      <c r="A1692" s="1" t="s">
        <v>1704</v>
      </c>
      <c r="B1692">
        <f>HYPERLINK("https://www.suredividend.com/sure-analysis-research-database/","Lincoln Educational Services Corp")</f>
        <v>0</v>
      </c>
      <c r="C1692" t="s">
        <v>3225</v>
      </c>
      <c r="D1692">
        <v>6.79</v>
      </c>
      <c r="E1692">
        <v>0</v>
      </c>
      <c r="H1692">
        <v>0</v>
      </c>
      <c r="I1692">
        <v>186.380088</v>
      </c>
      <c r="J1692">
        <v>7.140452393303195</v>
      </c>
      <c r="K1692">
        <v>0</v>
      </c>
      <c r="L1692">
        <v>0.6371419411275621</v>
      </c>
      <c r="M1692">
        <v>8.199999999999999</v>
      </c>
      <c r="N1692">
        <v>6</v>
      </c>
    </row>
    <row r="1693" spans="1:14">
      <c r="A1693" s="1" t="s">
        <v>1705</v>
      </c>
      <c r="B1693">
        <f>HYPERLINK("https://www.suredividend.com/sure-analysis-research-database/","Lindblad Expeditions Holdings Inc")</f>
        <v>0</v>
      </c>
      <c r="C1693" t="s">
        <v>3223</v>
      </c>
      <c r="D1693">
        <v>15.79</v>
      </c>
      <c r="E1693">
        <v>0</v>
      </c>
      <c r="H1693">
        <v>0</v>
      </c>
      <c r="I1693">
        <v>802.279036</v>
      </c>
      <c r="J1693">
        <v>0</v>
      </c>
      <c r="K1693" t="s">
        <v>3219</v>
      </c>
      <c r="L1693">
        <v>2.045465835899505</v>
      </c>
      <c r="M1693">
        <v>19.13</v>
      </c>
      <c r="N1693">
        <v>11.19</v>
      </c>
    </row>
    <row r="1694" spans="1:14">
      <c r="A1694" s="1" t="s">
        <v>1706</v>
      </c>
      <c r="B1694">
        <f>HYPERLINK("https://www.suredividend.com/sure-analysis-research-database/","LiqTech International Inc")</f>
        <v>0</v>
      </c>
      <c r="C1694" t="s">
        <v>3220</v>
      </c>
      <c r="D1694">
        <v>2.03</v>
      </c>
      <c r="E1694">
        <v>0</v>
      </c>
      <c r="H1694">
        <v>0</v>
      </c>
      <c r="I1694">
        <v>43.345957</v>
      </c>
      <c r="J1694">
        <v>0</v>
      </c>
      <c r="K1694" t="s">
        <v>3219</v>
      </c>
      <c r="L1694">
        <v>0.289123426190386</v>
      </c>
      <c r="M1694">
        <v>8.58</v>
      </c>
      <c r="N1694">
        <v>1.95</v>
      </c>
    </row>
    <row r="1695" spans="1:14">
      <c r="A1695" s="1" t="s">
        <v>1707</v>
      </c>
      <c r="B1695">
        <f>HYPERLINK("https://www.suredividend.com/sure-analysis-research-database/","Lumentum Holdings Inc")</f>
        <v>0</v>
      </c>
      <c r="C1695" t="s">
        <v>3222</v>
      </c>
      <c r="D1695">
        <v>85.65000000000001</v>
      </c>
      <c r="E1695">
        <v>0</v>
      </c>
      <c r="H1695">
        <v>0</v>
      </c>
      <c r="I1695">
        <v>6183.93</v>
      </c>
      <c r="J1695">
        <v>16.05381619937695</v>
      </c>
      <c r="K1695">
        <v>0</v>
      </c>
      <c r="L1695">
        <v>1.414649907681619</v>
      </c>
      <c r="M1695">
        <v>108.9</v>
      </c>
      <c r="N1695">
        <v>65.67</v>
      </c>
    </row>
    <row r="1696" spans="1:14">
      <c r="A1696" s="1" t="s">
        <v>1708</v>
      </c>
      <c r="B1696">
        <f>HYPERLINK("https://www.suredividend.com/sure-analysis-research-database/","Live Ventures Inc")</f>
        <v>0</v>
      </c>
      <c r="C1696" t="s">
        <v>3223</v>
      </c>
      <c r="D1696">
        <v>39</v>
      </c>
      <c r="E1696">
        <v>0</v>
      </c>
      <c r="H1696">
        <v>0</v>
      </c>
      <c r="I1696">
        <v>61.711026</v>
      </c>
      <c r="J1696">
        <v>0</v>
      </c>
      <c r="K1696" t="s">
        <v>3219</v>
      </c>
      <c r="L1696">
        <v>0.811430400455567</v>
      </c>
      <c r="M1696">
        <v>75.25</v>
      </c>
      <c r="N1696">
        <v>23.74</v>
      </c>
    </row>
    <row r="1697" spans="1:14">
      <c r="A1697" s="1" t="s">
        <v>1709</v>
      </c>
      <c r="B1697">
        <f>HYPERLINK("https://www.suredividend.com/sure-analysis-research-database/","LivaNova PLC")</f>
        <v>0</v>
      </c>
      <c r="C1697" t="s">
        <v>3217</v>
      </c>
      <c r="D1697">
        <v>81.62</v>
      </c>
      <c r="E1697">
        <v>0</v>
      </c>
      <c r="H1697">
        <v>0</v>
      </c>
      <c r="I1697">
        <v>4347.372012</v>
      </c>
      <c r="J1697" t="s">
        <v>3219</v>
      </c>
      <c r="K1697">
        <v>-0</v>
      </c>
      <c r="L1697">
        <v>1.000325170619503</v>
      </c>
      <c r="M1697">
        <v>93.89</v>
      </c>
      <c r="N1697">
        <v>68.68000000000001</v>
      </c>
    </row>
    <row r="1698" spans="1:14">
      <c r="A1698" s="1" t="s">
        <v>1710</v>
      </c>
      <c r="B1698">
        <f>HYPERLINK("https://www.suredividend.com/sure-analysis-research-database/","LiveXLive Media Inc")</f>
        <v>0</v>
      </c>
      <c r="C1698" t="s">
        <v>3228</v>
      </c>
      <c r="D1698">
        <v>3.01</v>
      </c>
      <c r="E1698">
        <v>0</v>
      </c>
      <c r="H1698">
        <v>0</v>
      </c>
      <c r="I1698">
        <v>240.518751</v>
      </c>
      <c r="J1698" t="s">
        <v>3219</v>
      </c>
      <c r="K1698">
        <v>-0</v>
      </c>
      <c r="L1698">
        <v>1.49641861883758</v>
      </c>
      <c r="M1698">
        <v>6.95</v>
      </c>
      <c r="N1698">
        <v>1.78</v>
      </c>
    </row>
    <row r="1699" spans="1:14">
      <c r="A1699" s="1" t="s">
        <v>1711</v>
      </c>
      <c r="B1699">
        <f>HYPERLINK("https://www.suredividend.com/sure-analysis-research-database/","La Jolla Pharmaceutical Co.")</f>
        <v>0</v>
      </c>
      <c r="C1699" t="s">
        <v>3217</v>
      </c>
      <c r="D1699">
        <v>4.37</v>
      </c>
      <c r="E1699">
        <v>0</v>
      </c>
      <c r="H1699">
        <v>0</v>
      </c>
      <c r="I1699">
        <v>120.280002</v>
      </c>
      <c r="J1699">
        <v>0</v>
      </c>
      <c r="K1699" t="s">
        <v>3219</v>
      </c>
      <c r="L1699">
        <v>1.236472648961369</v>
      </c>
      <c r="M1699">
        <v>5.69</v>
      </c>
      <c r="N1699">
        <v>3.35</v>
      </c>
    </row>
    <row r="1700" spans="1:14">
      <c r="A1700" s="1" t="s">
        <v>1712</v>
      </c>
      <c r="B1700">
        <f>HYPERLINK("https://www.suredividend.com/sure-analysis-research-database/","Lakeland Financial Corp.")</f>
        <v>0</v>
      </c>
      <c r="C1700" t="s">
        <v>3221</v>
      </c>
      <c r="D1700">
        <v>74</v>
      </c>
      <c r="E1700">
        <v>0.019053516660442</v>
      </c>
      <c r="F1700">
        <v>0.1764705882352942</v>
      </c>
      <c r="G1700">
        <v>0.1270092020979254</v>
      </c>
      <c r="H1700">
        <v>1.409960232872728</v>
      </c>
      <c r="I1700">
        <v>1910.359136</v>
      </c>
      <c r="J1700">
        <v>19.95507438396373</v>
      </c>
      <c r="K1700">
        <v>0.3769947146718524</v>
      </c>
      <c r="L1700">
        <v>0.510721389671967</v>
      </c>
      <c r="M1700">
        <v>85.28</v>
      </c>
      <c r="N1700">
        <v>55.53</v>
      </c>
    </row>
    <row r="1701" spans="1:14">
      <c r="A1701" s="1" t="s">
        <v>1713</v>
      </c>
      <c r="B1701">
        <f>HYPERLINK("https://www.suredividend.com/sure-analysis-research-database/","LKQ Corp")</f>
        <v>0</v>
      </c>
      <c r="C1701" t="s">
        <v>3223</v>
      </c>
      <c r="D1701">
        <v>47</v>
      </c>
      <c r="E1701">
        <v>0.010609299512426</v>
      </c>
      <c r="H1701">
        <v>0.49863707708406</v>
      </c>
      <c r="I1701">
        <v>13394.546732</v>
      </c>
      <c r="J1701">
        <v>12.27874072600568</v>
      </c>
      <c r="K1701">
        <v>0.1362396385475574</v>
      </c>
      <c r="L1701">
        <v>1.328998268176241</v>
      </c>
      <c r="M1701">
        <v>60.1</v>
      </c>
      <c r="N1701">
        <v>42.36</v>
      </c>
    </row>
    <row r="1702" spans="1:14">
      <c r="A1702" s="1" t="s">
        <v>1714</v>
      </c>
      <c r="B1702">
        <f>HYPERLINK("https://www.suredividend.com/sure-analysis-research-database/","LL Flooring Holdings Inc")</f>
        <v>0</v>
      </c>
      <c r="C1702" t="s">
        <v>3223</v>
      </c>
      <c r="D1702">
        <v>13.92</v>
      </c>
      <c r="E1702">
        <v>0</v>
      </c>
      <c r="H1702">
        <v>0</v>
      </c>
      <c r="I1702">
        <v>416.210227</v>
      </c>
      <c r="J1702">
        <v>9.981539335219916</v>
      </c>
      <c r="K1702">
        <v>0</v>
      </c>
      <c r="L1702">
        <v>1.086506298254578</v>
      </c>
      <c r="M1702">
        <v>27.46</v>
      </c>
      <c r="N1702">
        <v>13.27</v>
      </c>
    </row>
    <row r="1703" spans="1:14">
      <c r="A1703" s="1" t="s">
        <v>1715</v>
      </c>
      <c r="B1703">
        <f>HYPERLINK("https://www.suredividend.com/sure-analysis-research-database/","Limelight Networks Inc")</f>
        <v>0</v>
      </c>
      <c r="C1703" t="s">
        <v>3222</v>
      </c>
      <c r="D1703">
        <v>5.41</v>
      </c>
      <c r="E1703">
        <v>0</v>
      </c>
      <c r="H1703">
        <v>0</v>
      </c>
      <c r="I1703">
        <v>730.9130730000001</v>
      </c>
      <c r="J1703" t="s">
        <v>3219</v>
      </c>
      <c r="K1703">
        <v>-0</v>
      </c>
      <c r="L1703">
        <v>0.6135296129430501</v>
      </c>
      <c r="M1703">
        <v>5.55</v>
      </c>
      <c r="N1703">
        <v>2.3</v>
      </c>
    </row>
    <row r="1704" spans="1:14">
      <c r="A1704" s="1" t="s">
        <v>1716</v>
      </c>
      <c r="B1704">
        <f>HYPERLINK("https://www.suredividend.com/sure-analysis-LLY/","Lilly(Eli) &amp; Co")</f>
        <v>0</v>
      </c>
      <c r="C1704" t="s">
        <v>3217</v>
      </c>
      <c r="D1704">
        <v>301.86</v>
      </c>
      <c r="E1704">
        <v>0.01298615252103624</v>
      </c>
      <c r="F1704">
        <v>0.1529411764705881</v>
      </c>
      <c r="G1704">
        <v>0.1351272418627076</v>
      </c>
      <c r="H1704">
        <v>3.511204439362939</v>
      </c>
      <c r="I1704">
        <v>287475.503454</v>
      </c>
      <c r="J1704">
        <v>51.50321648500636</v>
      </c>
      <c r="K1704">
        <v>0.5737262155821796</v>
      </c>
      <c r="L1704">
        <v>0.6095443331444971</v>
      </c>
      <c r="M1704">
        <v>314</v>
      </c>
      <c r="N1704">
        <v>175.91</v>
      </c>
    </row>
    <row r="1705" spans="1:14">
      <c r="A1705" s="1" t="s">
        <v>1717</v>
      </c>
      <c r="B1705">
        <f>HYPERLINK("https://www.suredividend.com/sure-analysis-research-database/","Lemaitre Vascular Inc")</f>
        <v>0</v>
      </c>
      <c r="C1705" t="s">
        <v>3217</v>
      </c>
      <c r="D1705">
        <v>46.51</v>
      </c>
      <c r="E1705">
        <v>0.009750148771131001</v>
      </c>
      <c r="F1705">
        <v>0.1363636363636365</v>
      </c>
      <c r="G1705">
        <v>0.1784453978479226</v>
      </c>
      <c r="H1705">
        <v>0.4534794193453041</v>
      </c>
      <c r="I1705">
        <v>1020.984636</v>
      </c>
      <c r="J1705">
        <v>0</v>
      </c>
      <c r="K1705" t="s">
        <v>3219</v>
      </c>
      <c r="L1705">
        <v>0.9414383723290241</v>
      </c>
      <c r="M1705">
        <v>64.06999999999999</v>
      </c>
      <c r="N1705">
        <v>39.38</v>
      </c>
    </row>
    <row r="1706" spans="1:14">
      <c r="A1706" s="1" t="s">
        <v>1718</v>
      </c>
      <c r="B1706">
        <f>HYPERLINK("https://www.suredividend.com/sure-analysis-research-database/","LM Funding America Inc")</f>
        <v>0</v>
      </c>
      <c r="C1706" t="s">
        <v>3221</v>
      </c>
      <c r="D1706">
        <v>2.39</v>
      </c>
      <c r="E1706">
        <v>0</v>
      </c>
      <c r="H1706">
        <v>0</v>
      </c>
      <c r="I1706">
        <v>31.2896</v>
      </c>
      <c r="J1706">
        <v>0</v>
      </c>
      <c r="K1706" t="s">
        <v>3219</v>
      </c>
      <c r="L1706">
        <v>2.186355041215018</v>
      </c>
      <c r="M1706">
        <v>7.81</v>
      </c>
      <c r="N1706">
        <v>2.37</v>
      </c>
    </row>
    <row r="1707" spans="1:14">
      <c r="A1707" s="1" t="s">
        <v>1719</v>
      </c>
      <c r="B1707">
        <f>HYPERLINK("https://www.suredividend.com/sure-analysis-research-database/","Limoneira Co")</f>
        <v>0</v>
      </c>
      <c r="C1707" t="s">
        <v>3225</v>
      </c>
      <c r="D1707">
        <v>13.85</v>
      </c>
      <c r="E1707">
        <v>0.021496483115573</v>
      </c>
      <c r="F1707">
        <v>0</v>
      </c>
      <c r="G1707">
        <v>0.06399531281508364</v>
      </c>
      <c r="H1707">
        <v>0.297726291150697</v>
      </c>
      <c r="I1707">
        <v>244.761632</v>
      </c>
      <c r="J1707" t="s">
        <v>3219</v>
      </c>
      <c r="K1707" t="s">
        <v>3219</v>
      </c>
      <c r="L1707">
        <v>0.521430970812171</v>
      </c>
      <c r="M1707">
        <v>20.35</v>
      </c>
      <c r="N1707">
        <v>12.28</v>
      </c>
    </row>
    <row r="1708" spans="1:14">
      <c r="A1708" s="1" t="s">
        <v>1720</v>
      </c>
      <c r="B1708">
        <f>HYPERLINK("https://www.suredividend.com/sure-analysis-research-database/","Luminex Corp")</f>
        <v>0</v>
      </c>
      <c r="C1708" t="s">
        <v>3217</v>
      </c>
      <c r="D1708">
        <v>36.99</v>
      </c>
      <c r="E1708">
        <v>0</v>
      </c>
      <c r="H1708">
        <v>0.390000008046627</v>
      </c>
      <c r="I1708">
        <v>0</v>
      </c>
      <c r="J1708">
        <v>0</v>
      </c>
      <c r="K1708">
        <v>0.7792207952979561</v>
      </c>
    </row>
    <row r="1709" spans="1:14">
      <c r="A1709" s="1" t="s">
        <v>1721</v>
      </c>
      <c r="B1709">
        <f>HYPERLINK("https://www.suredividend.com/sure-analysis-research-database/","Limestone Bancorp Inc")</f>
        <v>0</v>
      </c>
      <c r="C1709" t="s">
        <v>3221</v>
      </c>
      <c r="D1709">
        <v>20.97</v>
      </c>
      <c r="E1709">
        <v>0.002384358643064</v>
      </c>
      <c r="H1709">
        <v>0.050000000745058</v>
      </c>
      <c r="I1709">
        <v>138.76432</v>
      </c>
      <c r="J1709">
        <v>9.446175606535055</v>
      </c>
      <c r="K1709">
        <v>0.02551020446176429</v>
      </c>
      <c r="M1709">
        <v>23.7</v>
      </c>
      <c r="N1709">
        <v>15.36</v>
      </c>
    </row>
    <row r="1710" spans="1:14">
      <c r="A1710" s="1" t="s">
        <v>1722</v>
      </c>
      <c r="B1710">
        <f>HYPERLINK("https://www.suredividend.com/sure-analysis-LMT/","Lockheed Martin Corp.")</f>
        <v>0</v>
      </c>
      <c r="C1710" t="s">
        <v>3220</v>
      </c>
      <c r="D1710">
        <v>467.66</v>
      </c>
      <c r="E1710">
        <v>0.02394902279433776</v>
      </c>
      <c r="F1710">
        <v>0.07692307692307687</v>
      </c>
      <c r="G1710">
        <v>0.08997698704834534</v>
      </c>
      <c r="H1710">
        <v>10.68452840920303</v>
      </c>
      <c r="I1710">
        <v>124647.336738</v>
      </c>
      <c r="J1710">
        <v>19.73829560385432</v>
      </c>
      <c r="K1710">
        <v>0.4694432517224528</v>
      </c>
      <c r="L1710">
        <v>0.115655868905478</v>
      </c>
      <c r="M1710">
        <v>479.99</v>
      </c>
      <c r="N1710">
        <v>319.37</v>
      </c>
    </row>
    <row r="1711" spans="1:14">
      <c r="A1711" s="1" t="s">
        <v>1723</v>
      </c>
      <c r="B1711">
        <f>HYPERLINK("https://www.suredividend.com/sure-analysis-LNC/","Lincoln National Corp.")</f>
        <v>0</v>
      </c>
      <c r="C1711" t="s">
        <v>3221</v>
      </c>
      <c r="D1711">
        <v>64.92</v>
      </c>
      <c r="E1711">
        <v>0.02772643253234751</v>
      </c>
      <c r="F1711">
        <v>0.0714285714285714</v>
      </c>
      <c r="G1711">
        <v>0.09184981078954069</v>
      </c>
      <c r="H1711">
        <v>1.72324976813127</v>
      </c>
      <c r="I1711">
        <v>11159.150801</v>
      </c>
      <c r="J1711">
        <v>7.942456086064057</v>
      </c>
      <c r="K1711">
        <v>0.2319313281468735</v>
      </c>
      <c r="L1711">
        <v>1.463239670634037</v>
      </c>
      <c r="M1711">
        <v>76.54000000000001</v>
      </c>
      <c r="N1711">
        <v>55.34</v>
      </c>
    </row>
    <row r="1712" spans="1:14">
      <c r="A1712" s="1" t="s">
        <v>1724</v>
      </c>
      <c r="B1712">
        <f>HYPERLINK("https://www.suredividend.com/sure-analysis-research-database/","Landec Corp.")</f>
        <v>0</v>
      </c>
      <c r="C1712" t="s">
        <v>3225</v>
      </c>
      <c r="D1712">
        <v>10.26</v>
      </c>
      <c r="E1712">
        <v>0</v>
      </c>
      <c r="H1712">
        <v>0</v>
      </c>
      <c r="I1712">
        <v>302.49084</v>
      </c>
      <c r="J1712" t="s">
        <v>3219</v>
      </c>
      <c r="K1712">
        <v>-0</v>
      </c>
      <c r="L1712">
        <v>0.4385920384818131</v>
      </c>
      <c r="M1712">
        <v>12.88</v>
      </c>
      <c r="N1712">
        <v>7.65</v>
      </c>
    </row>
    <row r="1713" spans="1:14">
      <c r="A1713" s="1" t="s">
        <v>1725</v>
      </c>
      <c r="B1713">
        <f>HYPERLINK("https://www.suredividend.com/sure-analysis-research-database/","Cheniere Energy Inc.")</f>
        <v>0</v>
      </c>
      <c r="C1713" t="s">
        <v>3226</v>
      </c>
      <c r="D1713">
        <v>139.53</v>
      </c>
      <c r="E1713">
        <v>0.004723373159433</v>
      </c>
      <c r="H1713">
        <v>0.6590522569357541</v>
      </c>
      <c r="I1713">
        <v>35494.396118</v>
      </c>
      <c r="J1713" t="s">
        <v>3219</v>
      </c>
      <c r="K1713" t="s">
        <v>3219</v>
      </c>
      <c r="L1713">
        <v>0.550252688981213</v>
      </c>
      <c r="M1713">
        <v>149.42</v>
      </c>
      <c r="N1713">
        <v>71.47</v>
      </c>
    </row>
    <row r="1714" spans="1:14">
      <c r="A1714" s="1" t="s">
        <v>1726</v>
      </c>
      <c r="B1714">
        <f>HYPERLINK("https://www.suredividend.com/sure-analysis-research-database/","Lindsay Corporation")</f>
        <v>0</v>
      </c>
      <c r="C1714" t="s">
        <v>3220</v>
      </c>
      <c r="D1714">
        <v>146.91</v>
      </c>
      <c r="E1714">
        <v>0.00895407059637</v>
      </c>
      <c r="H1714">
        <v>1.315442511312844</v>
      </c>
      <c r="I1714">
        <v>1612.732732</v>
      </c>
      <c r="J1714">
        <v>35.00765676217765</v>
      </c>
      <c r="K1714">
        <v>0.3146991653858479</v>
      </c>
      <c r="L1714">
        <v>0.9422442984620971</v>
      </c>
      <c r="M1714">
        <v>178.09</v>
      </c>
      <c r="N1714">
        <v>117.97</v>
      </c>
    </row>
    <row r="1715" spans="1:14">
      <c r="A1715" s="1" t="s">
        <v>1727</v>
      </c>
      <c r="B1715">
        <f>HYPERLINK("https://www.suredividend.com/sure-analysis-LNT/","Alliant Energy Corp.")</f>
        <v>0</v>
      </c>
      <c r="C1715" t="s">
        <v>3227</v>
      </c>
      <c r="D1715">
        <v>63.39</v>
      </c>
      <c r="E1715">
        <v>0.0269758637008992</v>
      </c>
      <c r="F1715">
        <v>0.06211180124223614</v>
      </c>
      <c r="G1715">
        <v>0.06298004826234438</v>
      </c>
      <c r="H1715">
        <v>1.617888502390863</v>
      </c>
      <c r="I1715">
        <v>15898.385752</v>
      </c>
      <c r="J1715">
        <v>24.12501631561457</v>
      </c>
      <c r="K1715">
        <v>0.6151667309470962</v>
      </c>
      <c r="L1715">
        <v>0.179749100499304</v>
      </c>
      <c r="M1715">
        <v>65.37</v>
      </c>
      <c r="N1715">
        <v>53.46</v>
      </c>
    </row>
    <row r="1716" spans="1:14">
      <c r="A1716" s="1" t="s">
        <v>1728</v>
      </c>
      <c r="B1716">
        <f>HYPERLINK("https://www.suredividend.com/sure-analysis-research-database/","Lantheus Holdings Inc")</f>
        <v>0</v>
      </c>
      <c r="C1716" t="s">
        <v>3217</v>
      </c>
      <c r="D1716">
        <v>60.28</v>
      </c>
      <c r="E1716">
        <v>0</v>
      </c>
      <c r="H1716">
        <v>0</v>
      </c>
      <c r="I1716">
        <v>4105.979072</v>
      </c>
      <c r="J1716" t="s">
        <v>3219</v>
      </c>
      <c r="K1716">
        <v>-0</v>
      </c>
      <c r="L1716">
        <v>1.440061163748894</v>
      </c>
      <c r="M1716">
        <v>61.26</v>
      </c>
      <c r="N1716">
        <v>19.3</v>
      </c>
    </row>
    <row r="1717" spans="1:14">
      <c r="A1717" s="1" t="s">
        <v>1729</v>
      </c>
      <c r="B1717">
        <f>HYPERLINK("https://www.suredividend.com/sure-analysis-research-database/","Manhattan Bridge Capital Inc")</f>
        <v>0</v>
      </c>
      <c r="C1717" t="s">
        <v>3224</v>
      </c>
      <c r="D1717">
        <v>5.8</v>
      </c>
      <c r="E1717">
        <v>0.08360361565383301</v>
      </c>
      <c r="F1717">
        <v>0.1363636363636365</v>
      </c>
      <c r="G1717">
        <v>0.04048836820440749</v>
      </c>
      <c r="H1717">
        <v>0.484900970792233</v>
      </c>
      <c r="I1717">
        <v>66.670681</v>
      </c>
      <c r="J1717">
        <v>15.07252598441218</v>
      </c>
      <c r="K1717">
        <v>1.153702048042429</v>
      </c>
      <c r="L1717">
        <v>0.202380329883199</v>
      </c>
      <c r="M1717">
        <v>7.57</v>
      </c>
      <c r="N1717">
        <v>5.11</v>
      </c>
    </row>
    <row r="1718" spans="1:14">
      <c r="A1718" s="1" t="s">
        <v>1730</v>
      </c>
      <c r="B1718">
        <f>HYPERLINK("https://www.suredividend.com/sure-analysis-research-database/","Live Oak Bancshares Inc")</f>
        <v>0</v>
      </c>
      <c r="C1718" t="s">
        <v>3221</v>
      </c>
      <c r="D1718">
        <v>46.97</v>
      </c>
      <c r="E1718">
        <v>0.002553195737337</v>
      </c>
      <c r="F1718">
        <v>0</v>
      </c>
      <c r="G1718">
        <v>0.08447177119769855</v>
      </c>
      <c r="H1718">
        <v>0.119923603782747</v>
      </c>
      <c r="I1718">
        <v>2055.786483</v>
      </c>
      <c r="J1718">
        <v>12.31046727596635</v>
      </c>
      <c r="K1718">
        <v>0.03232442150478356</v>
      </c>
      <c r="L1718">
        <v>1.870493304208262</v>
      </c>
      <c r="M1718">
        <v>99.81</v>
      </c>
      <c r="N1718">
        <v>45.68</v>
      </c>
    </row>
    <row r="1719" spans="1:14">
      <c r="A1719" s="1" t="s">
        <v>1731</v>
      </c>
      <c r="B1719">
        <f>HYPERLINK("https://www.suredividend.com/sure-analysis-research-database/","El Pollo Loco Holdings Inc")</f>
        <v>0</v>
      </c>
      <c r="C1719" t="s">
        <v>3223</v>
      </c>
      <c r="D1719">
        <v>11.09</v>
      </c>
      <c r="E1719">
        <v>0</v>
      </c>
      <c r="H1719">
        <v>0</v>
      </c>
      <c r="I1719">
        <v>407.489441</v>
      </c>
      <c r="J1719">
        <v>13.99297553895814</v>
      </c>
      <c r="K1719">
        <v>0</v>
      </c>
      <c r="L1719">
        <v>0.9142477604504721</v>
      </c>
      <c r="M1719">
        <v>19.25</v>
      </c>
      <c r="N1719">
        <v>10.66</v>
      </c>
    </row>
    <row r="1720" spans="1:14">
      <c r="A1720" s="1" t="s">
        <v>1732</v>
      </c>
      <c r="B1720">
        <f>HYPERLINK("https://www.suredividend.com/sure-analysis-research-database/","Comstock Mining Inc")</f>
        <v>0</v>
      </c>
      <c r="C1720" t="s">
        <v>3224</v>
      </c>
      <c r="D1720">
        <v>1.51</v>
      </c>
      <c r="E1720">
        <v>0</v>
      </c>
      <c r="H1720">
        <v>0</v>
      </c>
      <c r="I1720">
        <v>102.238826</v>
      </c>
      <c r="J1720">
        <v>0</v>
      </c>
      <c r="K1720" t="s">
        <v>3219</v>
      </c>
      <c r="L1720">
        <v>1.041509055705561</v>
      </c>
      <c r="M1720">
        <v>4.77</v>
      </c>
      <c r="N1720">
        <v>1.24</v>
      </c>
    </row>
    <row r="1721" spans="1:14">
      <c r="A1721" s="1" t="s">
        <v>1733</v>
      </c>
      <c r="B1721">
        <f>HYPERLINK("https://www.suredividend.com/sure-analysis-research-database/","Lonestar Resources US Inc")</f>
        <v>0</v>
      </c>
      <c r="C1721" t="s">
        <v>3226</v>
      </c>
      <c r="D1721">
        <v>16</v>
      </c>
      <c r="E1721">
        <v>0</v>
      </c>
      <c r="H1721">
        <v>0</v>
      </c>
      <c r="I1721">
        <v>161.713296</v>
      </c>
      <c r="J1721">
        <v>0</v>
      </c>
      <c r="K1721" t="s">
        <v>3219</v>
      </c>
      <c r="M1721">
        <v>20.99</v>
      </c>
      <c r="N1721">
        <v>4.01</v>
      </c>
    </row>
    <row r="1722" spans="1:14">
      <c r="A1722" s="1" t="s">
        <v>1734</v>
      </c>
      <c r="B1722">
        <f>HYPERLINK("https://www.suredividend.com/sure-analysis-research-database/","Loop Industries Inc")</f>
        <v>0</v>
      </c>
      <c r="C1722" t="s">
        <v>3218</v>
      </c>
      <c r="D1722">
        <v>7.85</v>
      </c>
      <c r="E1722">
        <v>0</v>
      </c>
      <c r="H1722">
        <v>0</v>
      </c>
      <c r="I1722">
        <v>371.99624</v>
      </c>
      <c r="J1722">
        <v>0</v>
      </c>
      <c r="K1722" t="s">
        <v>3219</v>
      </c>
      <c r="L1722">
        <v>1.309358461067351</v>
      </c>
      <c r="M1722">
        <v>18.2</v>
      </c>
      <c r="N1722">
        <v>5.9</v>
      </c>
    </row>
    <row r="1723" spans="1:14">
      <c r="A1723" s="1" t="s">
        <v>1735</v>
      </c>
      <c r="B1723">
        <f>HYPERLINK("https://www.suredividend.com/sure-analysis-research-database/","Grand Canyon Education Inc")</f>
        <v>0</v>
      </c>
      <c r="C1723" t="s">
        <v>3225</v>
      </c>
      <c r="D1723">
        <v>101.28</v>
      </c>
      <c r="E1723">
        <v>0</v>
      </c>
      <c r="H1723">
        <v>0</v>
      </c>
      <c r="I1723">
        <v>3577.891214</v>
      </c>
      <c r="J1723">
        <v>13.74293709246228</v>
      </c>
      <c r="K1723">
        <v>0</v>
      </c>
      <c r="L1723">
        <v>0.410800939415488</v>
      </c>
      <c r="M1723">
        <v>115.96</v>
      </c>
      <c r="N1723">
        <v>70</v>
      </c>
    </row>
    <row r="1724" spans="1:14">
      <c r="A1724" s="1" t="s">
        <v>1736</v>
      </c>
      <c r="B1724">
        <f>HYPERLINK("https://www.suredividend.com/sure-analysis-research-database/","Loral Space &amp; Communications Inc")</f>
        <v>0</v>
      </c>
      <c r="C1724" t="s">
        <v>3228</v>
      </c>
      <c r="D1724">
        <v>41.52</v>
      </c>
      <c r="E1724">
        <v>0</v>
      </c>
      <c r="H1724">
        <v>0</v>
      </c>
      <c r="I1724">
        <v>0</v>
      </c>
      <c r="J1724">
        <v>0</v>
      </c>
      <c r="K1724" t="s">
        <v>3219</v>
      </c>
    </row>
    <row r="1725" spans="1:14">
      <c r="A1725" s="1" t="s">
        <v>1737</v>
      </c>
      <c r="B1725">
        <f>HYPERLINK("https://www.suredividend.com/sure-analysis-research-database/","Lovesac Company")</f>
        <v>0</v>
      </c>
      <c r="C1725" t="s">
        <v>3223</v>
      </c>
      <c r="D1725">
        <v>47.12</v>
      </c>
      <c r="E1725">
        <v>0</v>
      </c>
      <c r="H1725">
        <v>0</v>
      </c>
      <c r="I1725">
        <v>712.685759</v>
      </c>
      <c r="J1725">
        <v>0</v>
      </c>
      <c r="K1725" t="s">
        <v>3219</v>
      </c>
      <c r="L1725">
        <v>2.375866514199386</v>
      </c>
      <c r="M1725">
        <v>95.51000000000001</v>
      </c>
      <c r="N1725">
        <v>35.07</v>
      </c>
    </row>
    <row r="1726" spans="1:14">
      <c r="A1726" s="1" t="s">
        <v>1738</v>
      </c>
      <c r="B1726">
        <f>HYPERLINK("https://www.suredividend.com/sure-analysis-LOW/","Lowe`s Cos., Inc.")</f>
        <v>0</v>
      </c>
      <c r="C1726" t="s">
        <v>3223</v>
      </c>
      <c r="D1726">
        <v>201.28</v>
      </c>
      <c r="E1726">
        <v>0.01589825119236884</v>
      </c>
      <c r="F1726">
        <v>0.3333333333333333</v>
      </c>
      <c r="G1726">
        <v>0.1797891247127799</v>
      </c>
      <c r="H1726">
        <v>2.992469682697018</v>
      </c>
      <c r="I1726">
        <v>133070.433672</v>
      </c>
      <c r="J1726">
        <v>15.82476319090498</v>
      </c>
      <c r="K1726">
        <v>0.2487505970654213</v>
      </c>
      <c r="L1726">
        <v>0.820272665478841</v>
      </c>
      <c r="M1726">
        <v>263.31</v>
      </c>
      <c r="N1726">
        <v>181.42</v>
      </c>
    </row>
    <row r="1727" spans="1:14">
      <c r="A1727" s="1" t="s">
        <v>1739</v>
      </c>
      <c r="B1727">
        <f>HYPERLINK("https://www.suredividend.com/sure-analysis-research-database/","Lipocine Inc")</f>
        <v>0</v>
      </c>
      <c r="C1727" t="s">
        <v>3217</v>
      </c>
      <c r="D1727">
        <v>1.06</v>
      </c>
      <c r="E1727">
        <v>0</v>
      </c>
      <c r="H1727">
        <v>0</v>
      </c>
      <c r="I1727">
        <v>93.808859</v>
      </c>
      <c r="J1727">
        <v>0</v>
      </c>
      <c r="K1727" t="s">
        <v>3219</v>
      </c>
      <c r="L1727">
        <v>1.048056699048014</v>
      </c>
      <c r="M1727">
        <v>1.89</v>
      </c>
      <c r="N1727">
        <v>0.8032</v>
      </c>
    </row>
    <row r="1728" spans="1:14">
      <c r="A1728" s="1" t="s">
        <v>1740</v>
      </c>
      <c r="B1728">
        <f>HYPERLINK("https://www.suredividend.com/sure-analysis-research-database/","Dorian LPG Ltd")</f>
        <v>0</v>
      </c>
      <c r="C1728" t="s">
        <v>3226</v>
      </c>
      <c r="D1728">
        <v>15.77</v>
      </c>
      <c r="E1728">
        <v>0</v>
      </c>
      <c r="H1728">
        <v>0</v>
      </c>
      <c r="I1728">
        <v>632.991336</v>
      </c>
      <c r="J1728">
        <v>0</v>
      </c>
      <c r="K1728" t="s">
        <v>3219</v>
      </c>
      <c r="L1728">
        <v>0.5600078086558911</v>
      </c>
      <c r="M1728">
        <v>16.05</v>
      </c>
      <c r="N1728">
        <v>9.94</v>
      </c>
    </row>
    <row r="1729" spans="1:14">
      <c r="A1729" s="1" t="s">
        <v>1741</v>
      </c>
      <c r="B1729">
        <f>HYPERLINK("https://www.suredividend.com/sure-analysis-research-database/","Laredo Petroleum Inc.")</f>
        <v>0</v>
      </c>
      <c r="C1729" t="s">
        <v>3226</v>
      </c>
      <c r="D1729">
        <v>83.81999999999999</v>
      </c>
      <c r="E1729">
        <v>0</v>
      </c>
      <c r="H1729">
        <v>0</v>
      </c>
      <c r="I1729">
        <v>1450.280462</v>
      </c>
      <c r="J1729">
        <v>10.00138242303873</v>
      </c>
      <c r="K1729">
        <v>0</v>
      </c>
      <c r="L1729">
        <v>1.639126824398193</v>
      </c>
      <c r="M1729">
        <v>99.26000000000001</v>
      </c>
      <c r="N1729">
        <v>32.52</v>
      </c>
    </row>
    <row r="1730" spans="1:14">
      <c r="A1730" s="1" t="s">
        <v>1742</v>
      </c>
      <c r="B1730">
        <f>HYPERLINK("https://www.suredividend.com/sure-analysis-research-database/","LPL Financial Holdings Inc")</f>
        <v>0</v>
      </c>
      <c r="C1730" t="s">
        <v>3221</v>
      </c>
      <c r="D1730">
        <v>215.24</v>
      </c>
      <c r="E1730">
        <v>0.004634976393556</v>
      </c>
      <c r="F1730">
        <v>0</v>
      </c>
      <c r="G1730">
        <v>0</v>
      </c>
      <c r="H1730">
        <v>0.997632318949179</v>
      </c>
      <c r="I1730">
        <v>17231.473415</v>
      </c>
      <c r="J1730">
        <v>37.47064017622525</v>
      </c>
      <c r="K1730">
        <v>0.1771993461721455</v>
      </c>
      <c r="L1730">
        <v>1.503584232649555</v>
      </c>
      <c r="M1730">
        <v>216.13</v>
      </c>
      <c r="N1730">
        <v>126.42</v>
      </c>
    </row>
    <row r="1731" spans="1:14">
      <c r="A1731" s="1" t="s">
        <v>1743</v>
      </c>
      <c r="B1731">
        <f>HYPERLINK("https://www.suredividend.com/sure-analysis-research-database/","Liveperson Inc")</f>
        <v>0</v>
      </c>
      <c r="C1731" t="s">
        <v>3222</v>
      </c>
      <c r="D1731">
        <v>25.22</v>
      </c>
      <c r="E1731">
        <v>0</v>
      </c>
      <c r="H1731">
        <v>0</v>
      </c>
      <c r="I1731">
        <v>1830.234567</v>
      </c>
      <c r="J1731" t="s">
        <v>3219</v>
      </c>
      <c r="K1731">
        <v>-0</v>
      </c>
      <c r="L1731">
        <v>1.130584964143906</v>
      </c>
      <c r="M1731">
        <v>68.81999999999999</v>
      </c>
      <c r="N1731">
        <v>16</v>
      </c>
    </row>
    <row r="1732" spans="1:14">
      <c r="A1732" s="1" t="s">
        <v>1744</v>
      </c>
      <c r="B1732">
        <f>HYPERLINK("https://www.suredividend.com/sure-analysis-research-database/","Lightpath Technologies, Inc.")</f>
        <v>0</v>
      </c>
      <c r="C1732" t="s">
        <v>3222</v>
      </c>
      <c r="D1732">
        <v>1.61</v>
      </c>
      <c r="E1732">
        <v>0</v>
      </c>
      <c r="H1732">
        <v>0</v>
      </c>
      <c r="I1732">
        <v>43.525168</v>
      </c>
      <c r="J1732">
        <v>0</v>
      </c>
      <c r="K1732" t="s">
        <v>3219</v>
      </c>
      <c r="L1732">
        <v>1.371677493223483</v>
      </c>
      <c r="M1732">
        <v>3.57</v>
      </c>
      <c r="N1732">
        <v>1.52</v>
      </c>
    </row>
    <row r="1733" spans="1:14">
      <c r="A1733" s="1" t="s">
        <v>1745</v>
      </c>
      <c r="B1733">
        <f>HYPERLINK("https://www.suredividend.com/sure-analysis-research-database/","Louisiana-Pacific Corp.")</f>
        <v>0</v>
      </c>
      <c r="C1733" t="s">
        <v>3220</v>
      </c>
      <c r="D1733">
        <v>60.69</v>
      </c>
      <c r="E1733">
        <v>0.012141334589423</v>
      </c>
      <c r="H1733">
        <v>0.736857596232104</v>
      </c>
      <c r="I1733">
        <v>5221.030277</v>
      </c>
      <c r="J1733">
        <v>3.791597877407407</v>
      </c>
      <c r="K1733">
        <v>0.05244538051474049</v>
      </c>
      <c r="L1733">
        <v>1.584496979908342</v>
      </c>
      <c r="M1733">
        <v>79.5</v>
      </c>
      <c r="N1733">
        <v>49.66</v>
      </c>
    </row>
    <row r="1734" spans="1:14">
      <c r="A1734" s="1" t="s">
        <v>1746</v>
      </c>
      <c r="B1734">
        <f>HYPERLINK("https://www.suredividend.com/sure-analysis-research-database/","Liquidia Corp")</f>
        <v>0</v>
      </c>
      <c r="C1734" t="s">
        <v>3217</v>
      </c>
      <c r="D1734">
        <v>5.28</v>
      </c>
      <c r="E1734">
        <v>0</v>
      </c>
      <c r="H1734">
        <v>0</v>
      </c>
      <c r="I1734">
        <v>280.20942</v>
      </c>
      <c r="J1734">
        <v>0</v>
      </c>
      <c r="K1734" t="s">
        <v>3219</v>
      </c>
      <c r="L1734">
        <v>1.065364790344215</v>
      </c>
      <c r="M1734">
        <v>7.78</v>
      </c>
      <c r="N1734">
        <v>2.25</v>
      </c>
    </row>
    <row r="1735" spans="1:14">
      <c r="A1735" s="1" t="s">
        <v>1747</v>
      </c>
      <c r="B1735">
        <f>HYPERLINK("https://www.suredividend.com/sure-analysis-research-database/","Liquidity Services Inc")</f>
        <v>0</v>
      </c>
      <c r="C1735" t="s">
        <v>3223</v>
      </c>
      <c r="D1735">
        <v>18.02</v>
      </c>
      <c r="E1735">
        <v>0</v>
      </c>
      <c r="H1735">
        <v>0</v>
      </c>
      <c r="I1735">
        <v>639.548829</v>
      </c>
      <c r="J1735">
        <v>12.78151825888842</v>
      </c>
      <c r="K1735">
        <v>0</v>
      </c>
      <c r="L1735">
        <v>1.448643172960419</v>
      </c>
      <c r="M1735">
        <v>30</v>
      </c>
      <c r="N1735">
        <v>14.64</v>
      </c>
    </row>
    <row r="1736" spans="1:14">
      <c r="A1736" s="1" t="s">
        <v>1748</v>
      </c>
      <c r="B1736">
        <f>HYPERLINK("https://www.suredividend.com/sure-analysis-LRCX/","Lam Research Corp.")</f>
        <v>0</v>
      </c>
      <c r="C1736" t="s">
        <v>3222</v>
      </c>
      <c r="D1736">
        <v>456.16</v>
      </c>
      <c r="E1736">
        <v>0.01359172220273588</v>
      </c>
      <c r="F1736">
        <v>0.1538461538461537</v>
      </c>
      <c r="G1736">
        <v>0.2722596365393921</v>
      </c>
      <c r="H1736">
        <v>5.776968666816128</v>
      </c>
      <c r="I1736">
        <v>63634.385231</v>
      </c>
      <c r="J1736">
        <v>13.86263738181299</v>
      </c>
      <c r="K1736">
        <v>0.1800239534688728</v>
      </c>
      <c r="L1736">
        <v>1.895235194481633</v>
      </c>
      <c r="M1736">
        <v>729.51</v>
      </c>
      <c r="N1736">
        <v>455.84</v>
      </c>
    </row>
    <row r="1737" spans="1:14">
      <c r="A1737" s="1" t="s">
        <v>1749</v>
      </c>
      <c r="B1737">
        <f>HYPERLINK("https://www.suredividend.com/sure-analysis-research-database/","Stride Inc")</f>
        <v>0</v>
      </c>
      <c r="C1737" t="s">
        <v>3225</v>
      </c>
      <c r="D1737">
        <v>34.54</v>
      </c>
      <c r="E1737">
        <v>0</v>
      </c>
      <c r="H1737">
        <v>0</v>
      </c>
      <c r="I1737">
        <v>1477.888574</v>
      </c>
      <c r="J1737">
        <v>20.9912445726866</v>
      </c>
      <c r="K1737">
        <v>0</v>
      </c>
      <c r="L1737">
        <v>0.9272958013268641</v>
      </c>
      <c r="M1737">
        <v>38.4</v>
      </c>
      <c r="N1737">
        <v>25.55</v>
      </c>
    </row>
    <row r="1738" spans="1:14">
      <c r="A1738" s="1" t="s">
        <v>1750</v>
      </c>
      <c r="B1738">
        <f>HYPERLINK("https://www.suredividend.com/sure-analysis-research-database/","Lake Shore Bancorp")</f>
        <v>0</v>
      </c>
      <c r="C1738" t="s">
        <v>3221</v>
      </c>
      <c r="D1738">
        <v>15.109</v>
      </c>
      <c r="E1738">
        <v>0.028192663393948</v>
      </c>
      <c r="F1738">
        <v>0.2307692307692308</v>
      </c>
      <c r="G1738">
        <v>0.1486983549970351</v>
      </c>
      <c r="H1738">
        <v>0.4259629512191611</v>
      </c>
      <c r="I1738">
        <v>86.075777</v>
      </c>
      <c r="J1738">
        <v>0</v>
      </c>
      <c r="K1738" t="s">
        <v>3219</v>
      </c>
      <c r="M1738">
        <v>15.21</v>
      </c>
      <c r="N1738">
        <v>13.77</v>
      </c>
    </row>
    <row r="1739" spans="1:14">
      <c r="A1739" s="1" t="s">
        <v>1751</v>
      </c>
      <c r="B1739">
        <f>HYPERLINK("https://www.suredividend.com/sure-analysis-research-database/","Lattice Semiconductor Corp.")</f>
        <v>0</v>
      </c>
      <c r="C1739" t="s">
        <v>3222</v>
      </c>
      <c r="D1739">
        <v>49.38</v>
      </c>
      <c r="E1739">
        <v>0</v>
      </c>
      <c r="H1739">
        <v>0</v>
      </c>
      <c r="I1739">
        <v>6792.876692</v>
      </c>
      <c r="J1739">
        <v>70.81667075561394</v>
      </c>
      <c r="K1739">
        <v>0</v>
      </c>
      <c r="L1739">
        <v>2.487471543695896</v>
      </c>
      <c r="M1739">
        <v>85.45</v>
      </c>
      <c r="N1739">
        <v>42.94</v>
      </c>
    </row>
    <row r="1740" spans="1:14">
      <c r="A1740" s="1" t="s">
        <v>1752</v>
      </c>
      <c r="B1740">
        <f>HYPERLINK("https://www.suredividend.com/sure-analysis-LSI/","Life Storage Inc")</f>
        <v>0</v>
      </c>
      <c r="C1740" t="s">
        <v>3224</v>
      </c>
      <c r="D1740">
        <v>145.47</v>
      </c>
      <c r="E1740">
        <v>0.02749707843541624</v>
      </c>
      <c r="F1740">
        <v>0.3513513513513513</v>
      </c>
      <c r="G1740">
        <v>0</v>
      </c>
      <c r="H1740">
        <v>3.565770716759442</v>
      </c>
      <c r="I1740">
        <v>12248.538942</v>
      </c>
      <c r="J1740">
        <v>49.12837448601579</v>
      </c>
      <c r="K1740">
        <v>1.12484880654872</v>
      </c>
      <c r="L1740">
        <v>0.54695744511424</v>
      </c>
      <c r="M1740">
        <v>152.32</v>
      </c>
      <c r="N1740">
        <v>88.89</v>
      </c>
    </row>
    <row r="1741" spans="1:14">
      <c r="A1741" s="1" t="s">
        <v>1753</v>
      </c>
      <c r="B1741">
        <f>HYPERLINK("https://www.suredividend.com/sure-analysis-research-database/","Landstar System, Inc.")</f>
        <v>0</v>
      </c>
      <c r="C1741" t="s">
        <v>3220</v>
      </c>
      <c r="D1741">
        <v>144.71</v>
      </c>
      <c r="E1741">
        <v>0.006564806730811001</v>
      </c>
      <c r="F1741">
        <v>0.1904761904761905</v>
      </c>
      <c r="G1741">
        <v>0.1075663432482901</v>
      </c>
      <c r="H1741">
        <v>0.9499931820156781</v>
      </c>
      <c r="I1741">
        <v>5372.739771</v>
      </c>
      <c r="J1741">
        <v>14.08231139176042</v>
      </c>
      <c r="K1741">
        <v>0.09518969759676132</v>
      </c>
      <c r="L1741">
        <v>0.862117599564155</v>
      </c>
      <c r="M1741">
        <v>185.96</v>
      </c>
      <c r="N1741">
        <v>139.12</v>
      </c>
    </row>
    <row r="1742" spans="1:14">
      <c r="A1742" s="1" t="s">
        <v>1754</v>
      </c>
      <c r="B1742">
        <f>HYPERLINK("https://www.suredividend.com/sure-analysis-research-database/","Liberty Media Corp.")</f>
        <v>0</v>
      </c>
      <c r="C1742" t="s">
        <v>3228</v>
      </c>
      <c r="D1742">
        <v>45.38</v>
      </c>
      <c r="E1742">
        <v>0</v>
      </c>
      <c r="H1742">
        <v>0</v>
      </c>
      <c r="I1742">
        <v>32021.177511</v>
      </c>
      <c r="J1742">
        <v>0</v>
      </c>
      <c r="K1742" t="s">
        <v>3219</v>
      </c>
      <c r="L1742">
        <v>0.744415222280378</v>
      </c>
      <c r="M1742">
        <v>56.26</v>
      </c>
      <c r="N1742">
        <v>40</v>
      </c>
    </row>
    <row r="1743" spans="1:14">
      <c r="A1743" s="1" t="s">
        <v>1755</v>
      </c>
      <c r="B1743">
        <f>HYPERLINK("https://www.suredividend.com/sure-analysis-research-database/","Liberty Media Corp.")</f>
        <v>0</v>
      </c>
      <c r="C1743" t="s">
        <v>3228</v>
      </c>
      <c r="D1743">
        <v>45.32</v>
      </c>
      <c r="E1743">
        <v>0</v>
      </c>
      <c r="H1743">
        <v>0</v>
      </c>
      <c r="I1743">
        <v>32021.177511</v>
      </c>
      <c r="J1743">
        <v>0</v>
      </c>
      <c r="K1743" t="s">
        <v>3219</v>
      </c>
      <c r="L1743">
        <v>0.7874920031323921</v>
      </c>
      <c r="M1743">
        <v>56.19</v>
      </c>
      <c r="N1743">
        <v>40.05</v>
      </c>
    </row>
    <row r="1744" spans="1:14">
      <c r="A1744" s="1" t="s">
        <v>1756</v>
      </c>
      <c r="B1744">
        <f>HYPERLINK("https://www.suredividend.com/sure-analysis-research-database/","Lightbridge Corp")</f>
        <v>0</v>
      </c>
      <c r="C1744" t="s">
        <v>3220</v>
      </c>
      <c r="D1744">
        <v>8.359999999999999</v>
      </c>
      <c r="E1744">
        <v>0</v>
      </c>
      <c r="H1744">
        <v>0</v>
      </c>
      <c r="I1744">
        <v>88.521315</v>
      </c>
      <c r="J1744">
        <v>0</v>
      </c>
      <c r="K1744" t="s">
        <v>3219</v>
      </c>
      <c r="L1744">
        <v>1.793121797794163</v>
      </c>
      <c r="M1744">
        <v>14.6</v>
      </c>
      <c r="N1744">
        <v>4.15</v>
      </c>
    </row>
    <row r="1745" spans="1:14">
      <c r="A1745" s="1" t="s">
        <v>1757</v>
      </c>
      <c r="B1745">
        <f>HYPERLINK("https://www.suredividend.com/sure-analysis-LTC/","LTC Properties, Inc.")</f>
        <v>0</v>
      </c>
      <c r="C1745" t="s">
        <v>3224</v>
      </c>
      <c r="D1745">
        <v>36.78</v>
      </c>
      <c r="E1745">
        <v>0.06199021207177813</v>
      </c>
      <c r="F1745">
        <v>0</v>
      </c>
      <c r="G1745">
        <v>0</v>
      </c>
      <c r="H1745">
        <v>2.213565101624102</v>
      </c>
      <c r="I1745">
        <v>1452.696313</v>
      </c>
      <c r="J1745">
        <v>26.22053522408535</v>
      </c>
      <c r="K1745">
        <v>1.56990432739298</v>
      </c>
      <c r="L1745">
        <v>0.4537082526292071</v>
      </c>
      <c r="M1745">
        <v>41.38</v>
      </c>
      <c r="N1745">
        <v>30.58</v>
      </c>
    </row>
    <row r="1746" spans="1:14">
      <c r="A1746" s="1" t="s">
        <v>1758</v>
      </c>
      <c r="B1746">
        <f>HYPERLINK("https://www.suredividend.com/sure-analysis-research-database/","Livent Corp")</f>
        <v>0</v>
      </c>
      <c r="C1746" t="s">
        <v>3218</v>
      </c>
      <c r="D1746">
        <v>25.02</v>
      </c>
      <c r="E1746">
        <v>0</v>
      </c>
      <c r="H1746">
        <v>0</v>
      </c>
      <c r="I1746">
        <v>4048.223665</v>
      </c>
      <c r="J1746">
        <v>6747.0394419</v>
      </c>
      <c r="K1746">
        <v>0</v>
      </c>
      <c r="L1746">
        <v>2.105389939864886</v>
      </c>
      <c r="M1746">
        <v>33.04</v>
      </c>
      <c r="N1746">
        <v>15.98</v>
      </c>
    </row>
    <row r="1747" spans="1:14">
      <c r="A1747" s="1" t="s">
        <v>1759</v>
      </c>
      <c r="B1747">
        <f>HYPERLINK("https://www.suredividend.com/sure-analysis-research-database/","Liberty TripAdvisor Holdings Inc")</f>
        <v>0</v>
      </c>
      <c r="C1747" t="s">
        <v>3228</v>
      </c>
      <c r="D1747">
        <v>1.72</v>
      </c>
      <c r="E1747">
        <v>0</v>
      </c>
      <c r="H1747">
        <v>0</v>
      </c>
      <c r="I1747">
        <v>173.461389</v>
      </c>
      <c r="J1747">
        <v>0</v>
      </c>
      <c r="K1747" t="s">
        <v>3219</v>
      </c>
      <c r="L1747">
        <v>2.308427151279499</v>
      </c>
      <c r="M1747">
        <v>5.8</v>
      </c>
      <c r="N1747">
        <v>1.58</v>
      </c>
    </row>
    <row r="1748" spans="1:14">
      <c r="A1748" s="1" t="s">
        <v>1760</v>
      </c>
      <c r="B1748">
        <f>HYPERLINK("https://www.suredividend.com/sure-analysis-research-database/","Lantronix Inc")</f>
        <v>0</v>
      </c>
      <c r="C1748" t="s">
        <v>3222</v>
      </c>
      <c r="D1748">
        <v>6.55</v>
      </c>
      <c r="E1748">
        <v>0</v>
      </c>
      <c r="H1748">
        <v>0</v>
      </c>
      <c r="I1748">
        <v>226.930318</v>
      </c>
      <c r="J1748" t="s">
        <v>3219</v>
      </c>
      <c r="K1748">
        <v>-0</v>
      </c>
      <c r="L1748">
        <v>1.228709957313403</v>
      </c>
      <c r="M1748">
        <v>10.25</v>
      </c>
      <c r="N1748">
        <v>4.32</v>
      </c>
    </row>
    <row r="1749" spans="1:14">
      <c r="A1749" s="1" t="s">
        <v>1761</v>
      </c>
      <c r="B1749">
        <f>HYPERLINK("https://www.suredividend.com/sure-analysis-research-database/","Luby`s, Inc.")</f>
        <v>0</v>
      </c>
      <c r="C1749" t="s">
        <v>3223</v>
      </c>
      <c r="D1749">
        <v>2.1994</v>
      </c>
      <c r="E1749">
        <v>0</v>
      </c>
      <c r="H1749">
        <v>0</v>
      </c>
      <c r="I1749">
        <v>68.22370100000001</v>
      </c>
      <c r="J1749" t="s">
        <v>3219</v>
      </c>
      <c r="K1749">
        <v>-0</v>
      </c>
      <c r="L1749">
        <v>0.170465028364744</v>
      </c>
      <c r="M1749">
        <v>4.2</v>
      </c>
      <c r="N1749">
        <v>2.19</v>
      </c>
    </row>
    <row r="1750" spans="1:14">
      <c r="A1750" s="1" t="s">
        <v>1762</v>
      </c>
      <c r="B1750">
        <f>HYPERLINK("https://www.suredividend.com/sure-analysis-research-database/","Lululemon Athletica inc.")</f>
        <v>0</v>
      </c>
      <c r="C1750" t="s">
        <v>3223</v>
      </c>
      <c r="D1750">
        <v>390.78</v>
      </c>
      <c r="E1750">
        <v>0</v>
      </c>
      <c r="H1750">
        <v>0</v>
      </c>
      <c r="I1750">
        <v>47952.753308</v>
      </c>
      <c r="J1750">
        <v>49.16607367460182</v>
      </c>
      <c r="K1750">
        <v>0</v>
      </c>
      <c r="L1750">
        <v>1.435395886476884</v>
      </c>
      <c r="M1750">
        <v>485.83</v>
      </c>
      <c r="N1750">
        <v>278</v>
      </c>
    </row>
    <row r="1751" spans="1:14">
      <c r="A1751" s="1" t="s">
        <v>1763</v>
      </c>
      <c r="B1751">
        <f>HYPERLINK("https://www.suredividend.com/sure-analysis-research-database/","Luna Innovations Inc")</f>
        <v>0</v>
      </c>
      <c r="C1751" t="s">
        <v>3222</v>
      </c>
      <c r="D1751">
        <v>6.24</v>
      </c>
      <c r="E1751">
        <v>0</v>
      </c>
      <c r="H1751">
        <v>0</v>
      </c>
      <c r="I1751">
        <v>201.855345</v>
      </c>
      <c r="J1751">
        <v>0</v>
      </c>
      <c r="K1751" t="s">
        <v>3219</v>
      </c>
      <c r="L1751">
        <v>1.333059239805833</v>
      </c>
      <c r="M1751">
        <v>12.99</v>
      </c>
      <c r="N1751">
        <v>6.11</v>
      </c>
    </row>
    <row r="1752" spans="1:14">
      <c r="A1752" s="1" t="s">
        <v>1764</v>
      </c>
      <c r="B1752">
        <f>HYPERLINK("https://www.suredividend.com/sure-analysis-research-database/","Southwest Airlines Co")</f>
        <v>0</v>
      </c>
      <c r="C1752" t="s">
        <v>3220</v>
      </c>
      <c r="D1752">
        <v>46.76</v>
      </c>
      <c r="E1752">
        <v>0</v>
      </c>
      <c r="H1752">
        <v>0</v>
      </c>
      <c r="I1752">
        <v>27721.422661</v>
      </c>
      <c r="J1752">
        <v>28.37402524151484</v>
      </c>
      <c r="K1752">
        <v>0</v>
      </c>
      <c r="L1752">
        <v>1.144414387214293</v>
      </c>
      <c r="M1752">
        <v>63.7</v>
      </c>
      <c r="N1752">
        <v>36.75</v>
      </c>
    </row>
    <row r="1753" spans="1:14">
      <c r="A1753" s="1" t="s">
        <v>1765</v>
      </c>
      <c r="B1753">
        <f>HYPERLINK("https://www.suredividend.com/sure-analysis-research-database/","Las Vegas Sands Corp")</f>
        <v>0</v>
      </c>
      <c r="C1753" t="s">
        <v>3223</v>
      </c>
      <c r="D1753">
        <v>36.96</v>
      </c>
      <c r="E1753">
        <v>0</v>
      </c>
      <c r="H1753">
        <v>0</v>
      </c>
      <c r="I1753">
        <v>28237.160065</v>
      </c>
      <c r="J1753" t="s">
        <v>3219</v>
      </c>
      <c r="K1753">
        <v>-0</v>
      </c>
      <c r="L1753">
        <v>1.61760954335759</v>
      </c>
      <c r="M1753">
        <v>62.85</v>
      </c>
      <c r="N1753">
        <v>31.26</v>
      </c>
    </row>
    <row r="1754" spans="1:14">
      <c r="A1754" s="1" t="s">
        <v>1766</v>
      </c>
      <c r="B1754">
        <f>HYPERLINK("https://www.suredividend.com/sure-analysis-research-database/","Lamb Weston Holdings Inc")</f>
        <v>0</v>
      </c>
      <c r="C1754" t="s">
        <v>3225</v>
      </c>
      <c r="D1754">
        <v>68.70999999999999</v>
      </c>
      <c r="E1754">
        <v>0.013747222931256</v>
      </c>
      <c r="F1754">
        <v>0.04255319148936154</v>
      </c>
      <c r="G1754">
        <v>0.05495263799739813</v>
      </c>
      <c r="H1754">
        <v>0.944571687606615</v>
      </c>
      <c r="I1754">
        <v>9924.945468</v>
      </c>
      <c r="J1754">
        <v>42.34191752709044</v>
      </c>
      <c r="K1754">
        <v>0.5903573047541344</v>
      </c>
      <c r="L1754">
        <v>0.9446569486303721</v>
      </c>
      <c r="M1754">
        <v>84.73999999999999</v>
      </c>
      <c r="N1754">
        <v>49.71</v>
      </c>
    </row>
    <row r="1755" spans="1:14">
      <c r="A1755" s="1" t="s">
        <v>1767</v>
      </c>
      <c r="B1755">
        <f>HYPERLINK("https://www.suredividend.com/sure-analysis-research-database/","Lifeway Foods, Inc.")</f>
        <v>0</v>
      </c>
      <c r="C1755" t="s">
        <v>3225</v>
      </c>
      <c r="D1755">
        <v>6.8586</v>
      </c>
      <c r="E1755">
        <v>0</v>
      </c>
      <c r="H1755">
        <v>0</v>
      </c>
      <c r="I1755">
        <v>105.862052</v>
      </c>
      <c r="J1755">
        <v>28.73562759218241</v>
      </c>
      <c r="K1755">
        <v>0</v>
      </c>
      <c r="L1755">
        <v>0.531418821942734</v>
      </c>
      <c r="M1755">
        <v>9</v>
      </c>
      <c r="N1755">
        <v>4.51</v>
      </c>
    </row>
    <row r="1756" spans="1:14">
      <c r="A1756" s="1" t="s">
        <v>1768</v>
      </c>
      <c r="B1756">
        <f>HYPERLINK("https://www.suredividend.com/sure-analysis-LXP/","LXP Industrial Trust")</f>
        <v>0</v>
      </c>
      <c r="C1756" t="s">
        <v>3224</v>
      </c>
      <c r="D1756">
        <v>13.29</v>
      </c>
      <c r="E1756">
        <v>0.03611738148984199</v>
      </c>
      <c r="F1756">
        <v>0.1162790697674418</v>
      </c>
      <c r="G1756">
        <v>-0.07268210762241634</v>
      </c>
      <c r="H1756">
        <v>0.449986094292135</v>
      </c>
      <c r="I1756">
        <v>3825.771687</v>
      </c>
      <c r="J1756">
        <v>10.17903963094123</v>
      </c>
      <c r="K1756">
        <v>0.3435008353375076</v>
      </c>
      <c r="L1756">
        <v>0.5720118481247231</v>
      </c>
      <c r="M1756">
        <v>16.03</v>
      </c>
      <c r="N1756">
        <v>11.24</v>
      </c>
    </row>
    <row r="1757" spans="1:14">
      <c r="A1757" s="1" t="s">
        <v>1769</v>
      </c>
      <c r="B1757">
        <f>HYPERLINK("https://www.suredividend.com/sure-analysis-research-database/","Lexicon Pharmaceuticals Inc")</f>
        <v>0</v>
      </c>
      <c r="C1757" t="s">
        <v>3217</v>
      </c>
      <c r="D1757">
        <v>2.33</v>
      </c>
      <c r="E1757">
        <v>0</v>
      </c>
      <c r="H1757">
        <v>0</v>
      </c>
      <c r="I1757">
        <v>348.552974</v>
      </c>
      <c r="J1757" t="s">
        <v>3219</v>
      </c>
      <c r="K1757">
        <v>-0</v>
      </c>
      <c r="L1757">
        <v>1.35084243041547</v>
      </c>
      <c r="M1757">
        <v>6.33</v>
      </c>
      <c r="N1757">
        <v>1.87</v>
      </c>
    </row>
    <row r="1758" spans="1:14">
      <c r="A1758" s="1" t="s">
        <v>1770</v>
      </c>
      <c r="B1758">
        <f>HYPERLINK("https://www.suredividend.com/sure-analysis-research-database/","LSB Industries, Inc.")</f>
        <v>0</v>
      </c>
      <c r="C1758" t="s">
        <v>3218</v>
      </c>
      <c r="D1758">
        <v>25.61</v>
      </c>
      <c r="E1758">
        <v>0</v>
      </c>
      <c r="H1758">
        <v>0</v>
      </c>
      <c r="I1758">
        <v>2293.738189</v>
      </c>
      <c r="J1758" t="s">
        <v>3219</v>
      </c>
      <c r="K1758">
        <v>-0</v>
      </c>
      <c r="L1758">
        <v>1.615160513299858</v>
      </c>
      <c r="M1758">
        <v>27.24</v>
      </c>
      <c r="N1758">
        <v>3.59</v>
      </c>
    </row>
    <row r="1759" spans="1:14">
      <c r="A1759" s="1" t="s">
        <v>1771</v>
      </c>
      <c r="B1759">
        <f>HYPERLINK("https://www.suredividend.com/sure-analysis-LYB/","LyondellBasell Industries NV")</f>
        <v>0</v>
      </c>
      <c r="C1759" t="s">
        <v>3218</v>
      </c>
      <c r="D1759">
        <v>107.58</v>
      </c>
      <c r="E1759">
        <v>0.04201524446923219</v>
      </c>
      <c r="F1759">
        <v>0.07619047619047614</v>
      </c>
      <c r="G1759">
        <v>0.04656736199533262</v>
      </c>
      <c r="H1759">
        <v>4.46914786972064</v>
      </c>
      <c r="I1759">
        <v>35241.762232</v>
      </c>
      <c r="J1759">
        <v>6.290925068257765</v>
      </c>
      <c r="K1759">
        <v>0.266496593304749</v>
      </c>
      <c r="L1759">
        <v>0.79361616887957</v>
      </c>
      <c r="M1759">
        <v>115.23</v>
      </c>
      <c r="N1759">
        <v>83.22</v>
      </c>
    </row>
    <row r="1760" spans="1:14">
      <c r="A1760" s="1" t="s">
        <v>1772</v>
      </c>
      <c r="B1760">
        <f>HYPERLINK("https://www.suredividend.com/sure-analysis-research-database/","Lyft Inc")</f>
        <v>0</v>
      </c>
      <c r="C1760" t="s">
        <v>3222</v>
      </c>
      <c r="D1760">
        <v>35.54</v>
      </c>
      <c r="E1760">
        <v>0</v>
      </c>
      <c r="H1760">
        <v>0</v>
      </c>
      <c r="I1760">
        <v>12081.990536</v>
      </c>
      <c r="J1760" t="s">
        <v>3219</v>
      </c>
      <c r="K1760">
        <v>-0</v>
      </c>
      <c r="L1760">
        <v>1.546722514096436</v>
      </c>
      <c r="M1760">
        <v>65.64</v>
      </c>
      <c r="N1760">
        <v>32.35</v>
      </c>
    </row>
    <row r="1761" spans="1:14">
      <c r="A1761" s="1" t="s">
        <v>1773</v>
      </c>
      <c r="B1761">
        <f>HYPERLINK("https://www.suredividend.com/sure-analysis-research-database/","LSI Industries Inc.")</f>
        <v>0</v>
      </c>
      <c r="C1761" t="s">
        <v>3222</v>
      </c>
      <c r="D1761">
        <v>6.23</v>
      </c>
      <c r="E1761">
        <v>0.03179153545753501</v>
      </c>
      <c r="F1761">
        <v>0</v>
      </c>
      <c r="G1761">
        <v>0</v>
      </c>
      <c r="H1761">
        <v>0.198061265900444</v>
      </c>
      <c r="I1761">
        <v>165.978464</v>
      </c>
      <c r="J1761">
        <v>20.98867777440566</v>
      </c>
      <c r="K1761">
        <v>0.6964179532364417</v>
      </c>
      <c r="M1761">
        <v>9.619999999999999</v>
      </c>
      <c r="N1761">
        <v>5.71</v>
      </c>
    </row>
    <row r="1762" spans="1:14">
      <c r="A1762" s="1" t="s">
        <v>1774</v>
      </c>
      <c r="B1762">
        <f>HYPERLINK("https://www.suredividend.com/sure-analysis-research-database/","Live Nation Entertainment Inc")</f>
        <v>0</v>
      </c>
      <c r="C1762" t="s">
        <v>3228</v>
      </c>
      <c r="D1762">
        <v>111.31</v>
      </c>
      <c r="E1762">
        <v>0</v>
      </c>
      <c r="H1762">
        <v>0</v>
      </c>
      <c r="I1762">
        <v>25003.100136</v>
      </c>
      <c r="J1762" t="s">
        <v>3219</v>
      </c>
      <c r="K1762">
        <v>-0</v>
      </c>
      <c r="L1762">
        <v>1.540179702227513</v>
      </c>
      <c r="M1762">
        <v>127.75</v>
      </c>
      <c r="N1762">
        <v>74.01000000000001</v>
      </c>
    </row>
    <row r="1763" spans="1:14">
      <c r="A1763" s="1" t="s">
        <v>1775</v>
      </c>
      <c r="B1763">
        <f>HYPERLINK("https://www.suredividend.com/sure-analysis-research-database/","La-Z-Boy Inc.")</f>
        <v>0</v>
      </c>
      <c r="C1763" t="s">
        <v>3223</v>
      </c>
      <c r="D1763">
        <v>27.22</v>
      </c>
      <c r="E1763">
        <v>0.022971139943523</v>
      </c>
      <c r="H1763">
        <v>0.625274429262717</v>
      </c>
      <c r="I1763">
        <v>1176.512558</v>
      </c>
      <c r="J1763">
        <v>9.048843679644357</v>
      </c>
      <c r="K1763">
        <v>0.2163579340009401</v>
      </c>
      <c r="L1763">
        <v>1.188276284826644</v>
      </c>
      <c r="M1763">
        <v>45.89</v>
      </c>
      <c r="N1763">
        <v>25.24</v>
      </c>
    </row>
    <row r="1764" spans="1:14">
      <c r="A1764" s="1" t="s">
        <v>1776</v>
      </c>
      <c r="B1764">
        <f>HYPERLINK("https://www.suredividend.com/sure-analysis-M/","Macy`s Inc")</f>
        <v>0</v>
      </c>
      <c r="C1764" t="s">
        <v>3223</v>
      </c>
      <c r="D1764">
        <v>25.8</v>
      </c>
      <c r="E1764">
        <v>0.0251937984496124</v>
      </c>
      <c r="H1764">
        <v>0.45460532202957</v>
      </c>
      <c r="I1764">
        <v>7349.421617</v>
      </c>
      <c r="J1764">
        <v>5.139455676503497</v>
      </c>
      <c r="K1764">
        <v>0.0999132575889165</v>
      </c>
      <c r="L1764">
        <v>1.891639454330403</v>
      </c>
      <c r="M1764">
        <v>37.47</v>
      </c>
      <c r="N1764">
        <v>15.24</v>
      </c>
    </row>
    <row r="1765" spans="1:14">
      <c r="A1765" s="1" t="s">
        <v>1777</v>
      </c>
      <c r="B1765">
        <f>HYPERLINK("https://www.suredividend.com/sure-analysis-MA/","Mastercard Incorporated")</f>
        <v>0</v>
      </c>
      <c r="C1765" t="s">
        <v>3221</v>
      </c>
      <c r="D1765">
        <v>357.82</v>
      </c>
      <c r="E1765">
        <v>0.005477614443016042</v>
      </c>
      <c r="F1765">
        <v>0.1136363636363635</v>
      </c>
      <c r="G1765">
        <v>0.1736934470475808</v>
      </c>
      <c r="H1765">
        <v>1.856395843245416</v>
      </c>
      <c r="I1765">
        <v>346988.593588</v>
      </c>
      <c r="J1765">
        <v>39.94343197744906</v>
      </c>
      <c r="K1765">
        <v>0.2119173337038146</v>
      </c>
      <c r="L1765">
        <v>1.227554832503513</v>
      </c>
      <c r="M1765">
        <v>399.91</v>
      </c>
      <c r="N1765">
        <v>305.18</v>
      </c>
    </row>
    <row r="1766" spans="1:14">
      <c r="A1766" s="1" t="s">
        <v>1778</v>
      </c>
      <c r="B1766">
        <f>HYPERLINK("https://www.suredividend.com/sure-analysis-MAA/","Mid-America Apartment Communities, Inc.")</f>
        <v>0</v>
      </c>
      <c r="C1766" t="s">
        <v>3224</v>
      </c>
      <c r="D1766">
        <v>205.39</v>
      </c>
      <c r="E1766">
        <v>0.0211792200204489</v>
      </c>
      <c r="F1766">
        <v>0.06097560975609762</v>
      </c>
      <c r="G1766">
        <v>0.04563955259127317</v>
      </c>
      <c r="H1766">
        <v>4.193036222438151</v>
      </c>
      <c r="I1766">
        <v>23689.984318</v>
      </c>
      <c r="J1766">
        <v>44.6893986978191</v>
      </c>
      <c r="K1766">
        <v>0.9095523259084926</v>
      </c>
      <c r="L1766">
        <v>0.682742787872829</v>
      </c>
      <c r="M1766">
        <v>229.26</v>
      </c>
      <c r="N1766">
        <v>147.08</v>
      </c>
    </row>
    <row r="1767" spans="1:14">
      <c r="A1767" s="1" t="s">
        <v>1779</v>
      </c>
      <c r="B1767">
        <f>HYPERLINK("https://www.suredividend.com/sure-analysis-MAC/","Macerich Co.")</f>
        <v>0</v>
      </c>
      <c r="C1767" t="s">
        <v>3224</v>
      </c>
      <c r="D1767">
        <v>14.24</v>
      </c>
      <c r="E1767">
        <v>0.04213483146067416</v>
      </c>
      <c r="F1767">
        <v>0</v>
      </c>
      <c r="G1767">
        <v>-0.2672318538053344</v>
      </c>
      <c r="H1767">
        <v>0.5924662062035491</v>
      </c>
      <c r="I1767">
        <v>3054.757167</v>
      </c>
      <c r="J1767">
        <v>227.7969550604027</v>
      </c>
      <c r="K1767">
        <v>8.75134721127842</v>
      </c>
      <c r="L1767">
        <v>1.573700644551578</v>
      </c>
      <c r="M1767">
        <v>22.52</v>
      </c>
      <c r="N1767">
        <v>11.53</v>
      </c>
    </row>
    <row r="1768" spans="1:14">
      <c r="A1768" s="1" t="s">
        <v>1780</v>
      </c>
      <c r="B1768">
        <f>HYPERLINK("https://www.suredividend.com/sure-analysis-research-database/","Merrimack Pharmaceuticals Inc")</f>
        <v>0</v>
      </c>
      <c r="C1768" t="s">
        <v>3217</v>
      </c>
      <c r="D1768">
        <v>6.21</v>
      </c>
      <c r="E1768">
        <v>0</v>
      </c>
      <c r="H1768">
        <v>0</v>
      </c>
      <c r="I1768">
        <v>83.277609</v>
      </c>
      <c r="J1768">
        <v>0</v>
      </c>
      <c r="K1768" t="s">
        <v>3219</v>
      </c>
      <c r="L1768">
        <v>1.08828168718136</v>
      </c>
      <c r="M1768">
        <v>7.97</v>
      </c>
      <c r="N1768">
        <v>3.66</v>
      </c>
    </row>
    <row r="1769" spans="1:14">
      <c r="A1769" s="1" t="s">
        <v>1781</v>
      </c>
      <c r="B1769">
        <f>HYPERLINK("https://www.suredividend.com/sure-analysis-research-database/","ManpowerGroup")</f>
        <v>0</v>
      </c>
      <c r="C1769" t="s">
        <v>3220</v>
      </c>
      <c r="D1769">
        <v>87.47</v>
      </c>
      <c r="E1769">
        <v>0.028615216120136</v>
      </c>
      <c r="H1769">
        <v>2.502972954028362</v>
      </c>
      <c r="I1769">
        <v>4680.458209</v>
      </c>
      <c r="J1769">
        <v>12.23969196807008</v>
      </c>
      <c r="K1769">
        <v>0.3627497034823713</v>
      </c>
      <c r="L1769">
        <v>1.181977681275251</v>
      </c>
      <c r="M1769">
        <v>122.89</v>
      </c>
      <c r="N1769">
        <v>84.31999999999999</v>
      </c>
    </row>
    <row r="1770" spans="1:14">
      <c r="A1770" s="1" t="s">
        <v>1782</v>
      </c>
      <c r="B1770">
        <f>HYPERLINK("https://www.suredividend.com/sure-analysis-research-database/","Manhattan Associates, Inc.")</f>
        <v>0</v>
      </c>
      <c r="C1770" t="s">
        <v>3222</v>
      </c>
      <c r="D1770">
        <v>136.6</v>
      </c>
      <c r="E1770">
        <v>0</v>
      </c>
      <c r="H1770">
        <v>0</v>
      </c>
      <c r="I1770">
        <v>8621.265989</v>
      </c>
      <c r="J1770">
        <v>78.04028159714679</v>
      </c>
      <c r="K1770">
        <v>0</v>
      </c>
      <c r="L1770">
        <v>1.302612353910144</v>
      </c>
      <c r="M1770">
        <v>188.52</v>
      </c>
      <c r="N1770">
        <v>118.41</v>
      </c>
    </row>
    <row r="1771" spans="1:14">
      <c r="A1771" s="1" t="s">
        <v>1783</v>
      </c>
      <c r="B1771">
        <f>HYPERLINK("https://www.suredividend.com/sure-analysis-research-database/","Mantech International Corp")</f>
        <v>0</v>
      </c>
      <c r="C1771" t="s">
        <v>3222</v>
      </c>
      <c r="D1771">
        <v>83.84999999999999</v>
      </c>
      <c r="E1771">
        <v>0.018346843962598</v>
      </c>
      <c r="F1771">
        <v>0.07894736842105265</v>
      </c>
      <c r="G1771">
        <v>0.1431755108178514</v>
      </c>
      <c r="H1771">
        <v>1.538382866263879</v>
      </c>
      <c r="I1771">
        <v>2317.212023</v>
      </c>
      <c r="J1771">
        <v>16.91185782129225</v>
      </c>
      <c r="K1771">
        <v>0.4592187660489191</v>
      </c>
      <c r="L1771">
        <v>0.372147401096542</v>
      </c>
      <c r="M1771">
        <v>90.59999999999999</v>
      </c>
      <c r="N1771">
        <v>66.38</v>
      </c>
    </row>
    <row r="1772" spans="1:14">
      <c r="A1772" s="1" t="s">
        <v>1784</v>
      </c>
      <c r="B1772">
        <f>HYPERLINK("https://www.suredividend.com/sure-analysis-research-database/","Marriott International, Inc.")</f>
        <v>0</v>
      </c>
      <c r="C1772" t="s">
        <v>3223</v>
      </c>
      <c r="D1772">
        <v>180.51</v>
      </c>
      <c r="E1772">
        <v>0</v>
      </c>
      <c r="H1772">
        <v>0</v>
      </c>
      <c r="I1772">
        <v>59072.6477</v>
      </c>
      <c r="J1772">
        <v>53.7512717921383</v>
      </c>
      <c r="K1772">
        <v>0</v>
      </c>
      <c r="L1772">
        <v>1.285361724054524</v>
      </c>
      <c r="M1772">
        <v>184.99</v>
      </c>
      <c r="N1772">
        <v>127.23</v>
      </c>
    </row>
    <row r="1773" spans="1:14">
      <c r="A1773" s="1" t="s">
        <v>1785</v>
      </c>
      <c r="B1773">
        <f>HYPERLINK("https://www.suredividend.com/sure-analysis-research-database/","Marathon Digital Holdings Inc")</f>
        <v>0</v>
      </c>
      <c r="C1773" t="s">
        <v>3221</v>
      </c>
      <c r="D1773">
        <v>21.23</v>
      </c>
      <c r="E1773">
        <v>0</v>
      </c>
      <c r="H1773">
        <v>0</v>
      </c>
      <c r="I1773">
        <v>2187.795425</v>
      </c>
      <c r="J1773">
        <v>0</v>
      </c>
      <c r="K1773" t="s">
        <v>3219</v>
      </c>
      <c r="L1773">
        <v>3.596429361161834</v>
      </c>
      <c r="M1773">
        <v>83.45</v>
      </c>
      <c r="N1773">
        <v>18.32</v>
      </c>
    </row>
    <row r="1774" spans="1:14">
      <c r="A1774" s="1" t="s">
        <v>1786</v>
      </c>
      <c r="B1774">
        <f>HYPERLINK("https://www.suredividend.com/sure-analysis-research-database/","Remark Holdings Inc")</f>
        <v>0</v>
      </c>
      <c r="C1774" t="s">
        <v>3228</v>
      </c>
      <c r="D1774">
        <v>0.6696000000000001</v>
      </c>
      <c r="E1774">
        <v>0</v>
      </c>
      <c r="H1774">
        <v>0</v>
      </c>
      <c r="I1774">
        <v>70.413642</v>
      </c>
      <c r="J1774">
        <v>0</v>
      </c>
      <c r="K1774" t="s">
        <v>3219</v>
      </c>
      <c r="L1774">
        <v>1.476707498758536</v>
      </c>
      <c r="M1774">
        <v>6.7</v>
      </c>
      <c r="N1774">
        <v>0.5555</v>
      </c>
    </row>
    <row r="1775" spans="1:14">
      <c r="A1775" s="1" t="s">
        <v>1787</v>
      </c>
      <c r="B1775">
        <f>HYPERLINK("https://www.suredividend.com/sure-analysis-research-database/","Masco Corp.")</f>
        <v>0</v>
      </c>
      <c r="C1775" t="s">
        <v>3220</v>
      </c>
      <c r="D1775">
        <v>49.39</v>
      </c>
      <c r="E1775">
        <v>0.019818997353421</v>
      </c>
      <c r="H1775">
        <v>0.9788602792855021</v>
      </c>
      <c r="I1775">
        <v>11681.921891</v>
      </c>
      <c r="J1775">
        <v>28.77320662830049</v>
      </c>
      <c r="K1775">
        <v>0.6042347402996926</v>
      </c>
      <c r="L1775">
        <v>1.001843587479332</v>
      </c>
      <c r="M1775">
        <v>70.69</v>
      </c>
      <c r="N1775">
        <v>49.36</v>
      </c>
    </row>
    <row r="1776" spans="1:14">
      <c r="A1776" s="1" t="s">
        <v>1788</v>
      </c>
      <c r="B1776">
        <f>HYPERLINK("https://www.suredividend.com/sure-analysis-research-database/","Masimo Corp")</f>
        <v>0</v>
      </c>
      <c r="C1776" t="s">
        <v>3217</v>
      </c>
      <c r="D1776">
        <v>134.87</v>
      </c>
      <c r="E1776">
        <v>0</v>
      </c>
      <c r="H1776">
        <v>0</v>
      </c>
      <c r="I1776">
        <v>7485.373205</v>
      </c>
      <c r="J1776">
        <v>32.5951273257652</v>
      </c>
      <c r="K1776">
        <v>0</v>
      </c>
      <c r="L1776">
        <v>1.025137396349251</v>
      </c>
      <c r="M1776">
        <v>305.21</v>
      </c>
      <c r="N1776">
        <v>133.94</v>
      </c>
    </row>
    <row r="1777" spans="1:14">
      <c r="A1777" s="1" t="s">
        <v>1789</v>
      </c>
      <c r="B1777">
        <f>HYPERLINK("https://www.suredividend.com/sure-analysis-research-database/","Mattel, Inc.")</f>
        <v>0</v>
      </c>
      <c r="C1777" t="s">
        <v>3223</v>
      </c>
      <c r="D1777">
        <v>22.19</v>
      </c>
      <c r="E1777">
        <v>0</v>
      </c>
      <c r="H1777">
        <v>0</v>
      </c>
      <c r="I1777">
        <v>7821.135175</v>
      </c>
      <c r="J1777">
        <v>8.661403957166604</v>
      </c>
      <c r="K1777">
        <v>0</v>
      </c>
      <c r="L1777">
        <v>1.178161437006061</v>
      </c>
      <c r="M1777">
        <v>25.71</v>
      </c>
      <c r="N1777">
        <v>17.95</v>
      </c>
    </row>
    <row r="1778" spans="1:14">
      <c r="A1778" s="1" t="s">
        <v>1790</v>
      </c>
      <c r="B1778">
        <f>HYPERLINK("https://www.suredividend.com/sure-analysis-MATW/","Matthews International Corp.")</f>
        <v>0</v>
      </c>
      <c r="C1778" t="s">
        <v>3220</v>
      </c>
      <c r="D1778">
        <v>30.29</v>
      </c>
      <c r="E1778">
        <v>0.02905249257180588</v>
      </c>
      <c r="F1778">
        <v>0.02325581395348841</v>
      </c>
      <c r="G1778">
        <v>0.05291848906511043</v>
      </c>
      <c r="H1778">
        <v>0.864499954813532</v>
      </c>
      <c r="I1778">
        <v>955.662101</v>
      </c>
      <c r="J1778" t="s">
        <v>3219</v>
      </c>
      <c r="K1778" t="s">
        <v>3219</v>
      </c>
      <c r="L1778">
        <v>0.9968335654683551</v>
      </c>
      <c r="M1778">
        <v>42.98</v>
      </c>
      <c r="N1778">
        <v>30.24</v>
      </c>
    </row>
    <row r="1779" spans="1:14">
      <c r="A1779" s="1" t="s">
        <v>1791</v>
      </c>
      <c r="B1779">
        <f>HYPERLINK("https://www.suredividend.com/sure-analysis-research-database/","Matson Inc")</f>
        <v>0</v>
      </c>
      <c r="C1779" t="s">
        <v>3220</v>
      </c>
      <c r="D1779">
        <v>87.43000000000001</v>
      </c>
      <c r="E1779">
        <v>0.012862266478033</v>
      </c>
      <c r="F1779">
        <v>0.3043478260869568</v>
      </c>
      <c r="G1779">
        <v>0.09565425774785385</v>
      </c>
      <c r="H1779">
        <v>1.12454795817444</v>
      </c>
      <c r="I1779">
        <v>3571.631432</v>
      </c>
      <c r="J1779">
        <v>3.851230787340953</v>
      </c>
      <c r="K1779">
        <v>0.05237764127500885</v>
      </c>
      <c r="L1779">
        <v>0.898817783139726</v>
      </c>
      <c r="M1779">
        <v>125.34</v>
      </c>
      <c r="N1779">
        <v>59</v>
      </c>
    </row>
    <row r="1780" spans="1:14">
      <c r="A1780" s="1" t="s">
        <v>1792</v>
      </c>
      <c r="B1780">
        <f>HYPERLINK("https://www.suredividend.com/sure-analysis-research-database/","J.W. Mays Inc.")</f>
        <v>0</v>
      </c>
      <c r="C1780" t="s">
        <v>3224</v>
      </c>
      <c r="D1780">
        <v>38.0001</v>
      </c>
      <c r="E1780">
        <v>0</v>
      </c>
      <c r="H1780">
        <v>0</v>
      </c>
      <c r="I1780">
        <v>76.599842</v>
      </c>
      <c r="J1780">
        <v>0</v>
      </c>
      <c r="K1780" t="s">
        <v>3219</v>
      </c>
      <c r="M1780">
        <v>45.5</v>
      </c>
      <c r="N1780">
        <v>25.9</v>
      </c>
    </row>
    <row r="1781" spans="1:14">
      <c r="A1781" s="1" t="s">
        <v>1793</v>
      </c>
      <c r="B1781">
        <f>HYPERLINK("https://www.suredividend.com/sure-analysis-research-database/","Middlefield Banc Corp.")</f>
        <v>0</v>
      </c>
      <c r="C1781" t="s">
        <v>3221</v>
      </c>
      <c r="D1781">
        <v>24.5</v>
      </c>
      <c r="E1781">
        <v>0.026740622534163</v>
      </c>
      <c r="F1781">
        <v>0.0625</v>
      </c>
      <c r="G1781">
        <v>-0.08837331049465447</v>
      </c>
      <c r="H1781">
        <v>0.655145252087012</v>
      </c>
      <c r="I1781">
        <v>144.012225</v>
      </c>
      <c r="J1781">
        <v>0</v>
      </c>
      <c r="K1781" t="s">
        <v>3219</v>
      </c>
      <c r="M1781">
        <v>27.54</v>
      </c>
      <c r="N1781">
        <v>20.83</v>
      </c>
    </row>
    <row r="1782" spans="1:14">
      <c r="A1782" s="1" t="s">
        <v>1794</v>
      </c>
      <c r="B1782">
        <f>HYPERLINK("https://www.suredividend.com/sure-analysis-research-database/","MBIA Inc.")</f>
        <v>0</v>
      </c>
      <c r="C1782" t="s">
        <v>3221</v>
      </c>
      <c r="D1782">
        <v>13.62</v>
      </c>
      <c r="E1782">
        <v>0</v>
      </c>
      <c r="H1782">
        <v>0</v>
      </c>
      <c r="I1782">
        <v>747.098473</v>
      </c>
      <c r="J1782" t="s">
        <v>3219</v>
      </c>
      <c r="K1782">
        <v>-0</v>
      </c>
      <c r="L1782">
        <v>1.451189141235268</v>
      </c>
      <c r="M1782">
        <v>17.9</v>
      </c>
      <c r="N1782">
        <v>8.529999999999999</v>
      </c>
    </row>
    <row r="1783" spans="1:14">
      <c r="A1783" s="1" t="s">
        <v>1795</v>
      </c>
      <c r="B1783">
        <f>HYPERLINK("https://www.suredividend.com/sure-analysis-research-database/","Marrone Bio Innovations Inc")</f>
        <v>0</v>
      </c>
      <c r="C1783" t="s">
        <v>3218</v>
      </c>
      <c r="D1783">
        <v>0.9802000000000001</v>
      </c>
      <c r="E1783">
        <v>0</v>
      </c>
      <c r="H1783">
        <v>0</v>
      </c>
      <c r="I1783">
        <v>178.665603</v>
      </c>
      <c r="J1783">
        <v>0</v>
      </c>
      <c r="K1783" t="s">
        <v>3219</v>
      </c>
      <c r="L1783">
        <v>1.548586610233109</v>
      </c>
      <c r="M1783">
        <v>2.01</v>
      </c>
      <c r="N1783">
        <v>0.5492</v>
      </c>
    </row>
    <row r="1784" spans="1:14">
      <c r="A1784" s="1" t="s">
        <v>1796</v>
      </c>
      <c r="B1784">
        <f>HYPERLINK("https://www.suredividend.com/sure-analysis-research-database/","Merchants Bancorp")</f>
        <v>0</v>
      </c>
      <c r="C1784" t="s">
        <v>3221</v>
      </c>
      <c r="D1784">
        <v>25.66</v>
      </c>
      <c r="E1784">
        <v>0.013201142189414</v>
      </c>
      <c r="H1784">
        <v>0.338741308580378</v>
      </c>
      <c r="I1784">
        <v>1110.251132</v>
      </c>
      <c r="J1784">
        <v>0</v>
      </c>
      <c r="K1784" t="s">
        <v>3219</v>
      </c>
      <c r="L1784">
        <v>1.13609877153319</v>
      </c>
      <c r="M1784">
        <v>49.5</v>
      </c>
      <c r="N1784">
        <v>25.41</v>
      </c>
    </row>
    <row r="1785" spans="1:14">
      <c r="A1785" s="1" t="s">
        <v>1797</v>
      </c>
      <c r="B1785">
        <f>HYPERLINK("https://www.suredividend.com/sure-analysis-research-database/","Mustang Bio Inc")</f>
        <v>0</v>
      </c>
      <c r="C1785" t="s">
        <v>3217</v>
      </c>
      <c r="D1785">
        <v>0.8585</v>
      </c>
      <c r="E1785">
        <v>0</v>
      </c>
      <c r="H1785">
        <v>0</v>
      </c>
      <c r="I1785">
        <v>85.37384900000001</v>
      </c>
      <c r="J1785">
        <v>0</v>
      </c>
      <c r="K1785" t="s">
        <v>3219</v>
      </c>
      <c r="L1785">
        <v>2.260198237445854</v>
      </c>
      <c r="M1785">
        <v>4.06</v>
      </c>
      <c r="N1785">
        <v>0.718</v>
      </c>
    </row>
    <row r="1786" spans="1:14">
      <c r="A1786" s="1" t="s">
        <v>1798</v>
      </c>
      <c r="B1786">
        <f>HYPERLINK("https://www.suredividend.com/sure-analysis-research-database/","Microbot Medical Inc")</f>
        <v>0</v>
      </c>
      <c r="C1786" t="s">
        <v>3217</v>
      </c>
      <c r="D1786">
        <v>6.39</v>
      </c>
      <c r="E1786">
        <v>0</v>
      </c>
      <c r="H1786">
        <v>0</v>
      </c>
      <c r="I1786">
        <v>45.42097</v>
      </c>
      <c r="J1786">
        <v>0</v>
      </c>
      <c r="K1786" t="s">
        <v>3219</v>
      </c>
      <c r="L1786">
        <v>1.428347487875678</v>
      </c>
      <c r="M1786">
        <v>9.6</v>
      </c>
      <c r="N1786">
        <v>4.31</v>
      </c>
    </row>
    <row r="1787" spans="1:14">
      <c r="A1787" s="1" t="s">
        <v>1799</v>
      </c>
      <c r="B1787">
        <f>HYPERLINK("https://www.suredividend.com/sure-analysis-research-database/","Malibu Boats Inc")</f>
        <v>0</v>
      </c>
      <c r="C1787" t="s">
        <v>3223</v>
      </c>
      <c r="D1787">
        <v>52.21</v>
      </c>
      <c r="E1787">
        <v>0</v>
      </c>
      <c r="H1787">
        <v>0</v>
      </c>
      <c r="I1787">
        <v>1091.21333</v>
      </c>
      <c r="J1787">
        <v>8.774773877514917</v>
      </c>
      <c r="K1787">
        <v>0</v>
      </c>
      <c r="L1787">
        <v>1.384259662314778</v>
      </c>
      <c r="M1787">
        <v>89.27</v>
      </c>
      <c r="N1787">
        <v>49.36</v>
      </c>
    </row>
    <row r="1788" spans="1:14">
      <c r="A1788" s="1" t="s">
        <v>1800</v>
      </c>
      <c r="B1788">
        <f>HYPERLINK("https://www.suredividend.com/sure-analysis-research-database/","Mercantile Bank Corp.")</f>
        <v>0</v>
      </c>
      <c r="C1788" t="s">
        <v>3221</v>
      </c>
      <c r="D1788">
        <v>34.33</v>
      </c>
      <c r="E1788">
        <v>0.03450756950158</v>
      </c>
      <c r="F1788">
        <v>0.06896551724137945</v>
      </c>
      <c r="G1788">
        <v>0.1148535927253609</v>
      </c>
      <c r="H1788">
        <v>1.184644860989272</v>
      </c>
      <c r="I1788">
        <v>543.892456</v>
      </c>
      <c r="J1788">
        <v>9.215236200335474</v>
      </c>
      <c r="K1788">
        <v>0.3210419677477702</v>
      </c>
      <c r="L1788">
        <v>0.662705498072786</v>
      </c>
      <c r="M1788">
        <v>39.68</v>
      </c>
      <c r="N1788">
        <v>27.75</v>
      </c>
    </row>
    <row r="1789" spans="1:14">
      <c r="A1789" s="1" t="s">
        <v>1801</v>
      </c>
      <c r="B1789">
        <f>HYPERLINK("https://www.suredividend.com/sure-analysis-research-database/","Moelis &amp; Co")</f>
        <v>0</v>
      </c>
      <c r="C1789" t="s">
        <v>3221</v>
      </c>
      <c r="D1789">
        <v>45.15</v>
      </c>
      <c r="E1789">
        <v>0.050638492227149</v>
      </c>
      <c r="F1789">
        <v>-0.7</v>
      </c>
      <c r="G1789">
        <v>0.05005169060192549</v>
      </c>
      <c r="H1789">
        <v>2.286327924055794</v>
      </c>
      <c r="I1789">
        <v>2819.728434</v>
      </c>
      <c r="J1789">
        <v>7.720777829787001</v>
      </c>
      <c r="K1789">
        <v>0.4281512966396618</v>
      </c>
      <c r="L1789">
        <v>1.323193895201429</v>
      </c>
      <c r="M1789">
        <v>75.27</v>
      </c>
      <c r="N1789">
        <v>43.72</v>
      </c>
    </row>
    <row r="1790" spans="1:14">
      <c r="A1790" s="1" t="s">
        <v>1802</v>
      </c>
      <c r="B1790">
        <f>HYPERLINK("https://www.suredividend.com/sure-analysis-research-database/","Metropolitan Bank Holding Corp")</f>
        <v>0</v>
      </c>
      <c r="C1790" t="s">
        <v>3221</v>
      </c>
      <c r="D1790">
        <v>95.39</v>
      </c>
      <c r="E1790">
        <v>0</v>
      </c>
      <c r="H1790">
        <v>0</v>
      </c>
      <c r="I1790">
        <v>1042.774577</v>
      </c>
      <c r="J1790">
        <v>0</v>
      </c>
      <c r="K1790" t="s">
        <v>3219</v>
      </c>
      <c r="L1790">
        <v>1.165090334548773</v>
      </c>
      <c r="M1790">
        <v>115.78</v>
      </c>
      <c r="N1790">
        <v>52</v>
      </c>
    </row>
    <row r="1791" spans="1:14">
      <c r="A1791" s="1" t="s">
        <v>1803</v>
      </c>
      <c r="B1791">
        <f>HYPERLINK("https://www.suredividend.com/sure-analysis-research-database/","Macatawa Bank Corp.")</f>
        <v>0</v>
      </c>
      <c r="C1791" t="s">
        <v>3221</v>
      </c>
      <c r="D1791">
        <v>8.84</v>
      </c>
      <c r="E1791">
        <v>0.03572047482940401</v>
      </c>
      <c r="F1791">
        <v>0</v>
      </c>
      <c r="G1791">
        <v>0.1486983549970351</v>
      </c>
      <c r="H1791">
        <v>0.315768997491933</v>
      </c>
      <c r="I1791">
        <v>302.857914</v>
      </c>
      <c r="J1791">
        <v>10.4383371406907</v>
      </c>
      <c r="K1791">
        <v>0.3722374130519074</v>
      </c>
      <c r="L1791">
        <v>0.4355540075743221</v>
      </c>
      <c r="M1791">
        <v>9.65</v>
      </c>
      <c r="N1791">
        <v>7.24</v>
      </c>
    </row>
    <row r="1792" spans="1:14">
      <c r="A1792" s="1" t="s">
        <v>1804</v>
      </c>
      <c r="B1792">
        <f>HYPERLINK("https://www.suredividend.com/sure-analysis-MCD/","McDonald`s Corp")</f>
        <v>0</v>
      </c>
      <c r="C1792" t="s">
        <v>3223</v>
      </c>
      <c r="D1792">
        <v>250.51</v>
      </c>
      <c r="E1792">
        <v>0.02203504850105784</v>
      </c>
      <c r="F1792">
        <v>0.06976744186046502</v>
      </c>
      <c r="G1792">
        <v>0.07981721406627784</v>
      </c>
      <c r="H1792">
        <v>5.296990715221522</v>
      </c>
      <c r="I1792">
        <v>185278.53197</v>
      </c>
      <c r="J1792">
        <v>24.55581455360096</v>
      </c>
      <c r="K1792">
        <v>0.5275887166555301</v>
      </c>
      <c r="L1792">
        <v>0.604801548136595</v>
      </c>
      <c r="M1792">
        <v>269.65</v>
      </c>
      <c r="N1792">
        <v>217.68</v>
      </c>
    </row>
    <row r="1793" spans="1:14">
      <c r="A1793" s="1" t="s">
        <v>1805</v>
      </c>
      <c r="B1793">
        <f>HYPERLINK("https://www.suredividend.com/sure-analysis-research-database/","Contango Oil &amp; Gas Company")</f>
        <v>0</v>
      </c>
      <c r="C1793" t="s">
        <v>3226</v>
      </c>
      <c r="D1793">
        <v>3.22</v>
      </c>
      <c r="E1793">
        <v>0</v>
      </c>
      <c r="H1793">
        <v>0</v>
      </c>
      <c r="I1793">
        <v>648.310186</v>
      </c>
      <c r="J1793" t="s">
        <v>3219</v>
      </c>
      <c r="K1793">
        <v>-0</v>
      </c>
      <c r="L1793">
        <v>1.578888684368298</v>
      </c>
      <c r="M1793">
        <v>6.94</v>
      </c>
      <c r="N1793">
        <v>1.59</v>
      </c>
    </row>
    <row r="1794" spans="1:14">
      <c r="A1794" s="1" t="s">
        <v>1806</v>
      </c>
      <c r="B1794">
        <f>HYPERLINK("https://www.suredividend.com/sure-analysis-research-database/","MasterCraft Boat Holdings Inc")</f>
        <v>0</v>
      </c>
      <c r="C1794" t="s">
        <v>3223</v>
      </c>
      <c r="D1794">
        <v>23.29</v>
      </c>
      <c r="E1794">
        <v>0</v>
      </c>
      <c r="H1794">
        <v>0</v>
      </c>
      <c r="I1794">
        <v>430.823125</v>
      </c>
      <c r="J1794">
        <v>7.193573627984638</v>
      </c>
      <c r="K1794">
        <v>0</v>
      </c>
      <c r="L1794">
        <v>1.167036731240569</v>
      </c>
      <c r="M1794">
        <v>33.63</v>
      </c>
      <c r="N1794">
        <v>22.08</v>
      </c>
    </row>
    <row r="1795" spans="1:14">
      <c r="A1795" s="1" t="s">
        <v>1807</v>
      </c>
      <c r="B1795">
        <f>HYPERLINK("https://www.suredividend.com/sure-analysis-MCHP/","Microchip Technology, Inc.")</f>
        <v>0</v>
      </c>
      <c r="C1795" t="s">
        <v>3222</v>
      </c>
      <c r="D1795">
        <v>65.22</v>
      </c>
      <c r="E1795">
        <v>0.01548604722477768</v>
      </c>
      <c r="F1795">
        <v>-0.3512820512820513</v>
      </c>
      <c r="G1795">
        <v>-0.06888688488611339</v>
      </c>
      <c r="H1795">
        <v>0.695014725915241</v>
      </c>
      <c r="I1795">
        <v>36261.715345</v>
      </c>
      <c r="J1795">
        <v>37.63150201886675</v>
      </c>
      <c r="K1795">
        <v>0.4088321917148476</v>
      </c>
      <c r="L1795">
        <v>1.719193571999069</v>
      </c>
      <c r="M1795">
        <v>89.68000000000001</v>
      </c>
      <c r="N1795">
        <v>31.96</v>
      </c>
    </row>
    <row r="1796" spans="1:14">
      <c r="A1796" s="1" t="s">
        <v>1808</v>
      </c>
      <c r="B1796">
        <f>HYPERLINK("https://www.suredividend.com/sure-analysis-research-database/","Marchex Inc")</f>
        <v>0</v>
      </c>
      <c r="C1796" t="s">
        <v>3228</v>
      </c>
      <c r="D1796">
        <v>2.27</v>
      </c>
      <c r="E1796">
        <v>0</v>
      </c>
      <c r="H1796">
        <v>0</v>
      </c>
      <c r="I1796">
        <v>85.37049399999999</v>
      </c>
      <c r="J1796" t="s">
        <v>3219</v>
      </c>
      <c r="K1796">
        <v>-0</v>
      </c>
      <c r="L1796">
        <v>1.048530636178358</v>
      </c>
      <c r="M1796">
        <v>3.63</v>
      </c>
      <c r="N1796">
        <v>1.66</v>
      </c>
    </row>
    <row r="1797" spans="1:14">
      <c r="A1797" s="1" t="s">
        <v>1809</v>
      </c>
      <c r="B1797">
        <f>HYPERLINK("https://www.suredividend.com/sure-analysis-MCK/","Mckesson Corporation")</f>
        <v>0</v>
      </c>
      <c r="C1797" t="s">
        <v>3217</v>
      </c>
      <c r="D1797">
        <v>323.25</v>
      </c>
      <c r="E1797">
        <v>0.005815931941221964</v>
      </c>
      <c r="F1797">
        <v>0.1190476190476191</v>
      </c>
      <c r="G1797">
        <v>0.0669001794563302</v>
      </c>
      <c r="H1797">
        <v>1.824830982609797</v>
      </c>
      <c r="I1797">
        <v>48422.325689</v>
      </c>
      <c r="J1797">
        <v>34.29343179072238</v>
      </c>
      <c r="K1797">
        <v>0.201194154642756</v>
      </c>
      <c r="L1797">
        <v>0.5365659941319081</v>
      </c>
      <c r="M1797">
        <v>329.39</v>
      </c>
      <c r="N1797">
        <v>178.92</v>
      </c>
    </row>
    <row r="1798" spans="1:14">
      <c r="A1798" s="1" t="s">
        <v>1810</v>
      </c>
      <c r="B1798">
        <f>HYPERLINK("https://www.suredividend.com/sure-analysis-MCO/","Moody`s Corp.")</f>
        <v>0</v>
      </c>
      <c r="C1798" t="s">
        <v>3221</v>
      </c>
      <c r="D1798">
        <v>328.4</v>
      </c>
      <c r="E1798">
        <v>0.008526187576126675</v>
      </c>
      <c r="F1798">
        <v>0.1290322580645162</v>
      </c>
      <c r="G1798">
        <v>0.1299595283513661</v>
      </c>
      <c r="H1798">
        <v>2.552912977122532</v>
      </c>
      <c r="I1798">
        <v>60877.874779</v>
      </c>
      <c r="J1798">
        <v>27.49678174290876</v>
      </c>
      <c r="K1798">
        <v>0.2167158724212676</v>
      </c>
      <c r="L1798">
        <v>1.048019199128075</v>
      </c>
      <c r="M1798">
        <v>406.39</v>
      </c>
      <c r="N1798">
        <v>299.69</v>
      </c>
    </row>
    <row r="1799" spans="1:14">
      <c r="A1799" s="1" t="s">
        <v>1811</v>
      </c>
      <c r="B1799">
        <f>HYPERLINK("https://www.suredividend.com/sure-analysis-research-database/","Seres Therapeutics Inc")</f>
        <v>0</v>
      </c>
      <c r="C1799" t="s">
        <v>3217</v>
      </c>
      <c r="D1799">
        <v>6.08</v>
      </c>
      <c r="E1799">
        <v>0</v>
      </c>
      <c r="H1799">
        <v>0</v>
      </c>
      <c r="I1799">
        <v>559.447357</v>
      </c>
      <c r="J1799" t="s">
        <v>3219</v>
      </c>
      <c r="K1799">
        <v>-0</v>
      </c>
      <c r="L1799">
        <v>1.082201344954071</v>
      </c>
      <c r="M1799">
        <v>25.06</v>
      </c>
      <c r="N1799">
        <v>5.41</v>
      </c>
    </row>
    <row r="1800" spans="1:14">
      <c r="A1800" s="1" t="s">
        <v>1812</v>
      </c>
      <c r="B1800">
        <f>HYPERLINK("https://www.suredividend.com/sure-analysis-research-database/","Monarch Casino &amp; Resort, Inc.")</f>
        <v>0</v>
      </c>
      <c r="C1800" t="s">
        <v>3223</v>
      </c>
      <c r="D1800">
        <v>86.64</v>
      </c>
      <c r="E1800">
        <v>0</v>
      </c>
      <c r="H1800">
        <v>0</v>
      </c>
      <c r="I1800">
        <v>1633.647018</v>
      </c>
      <c r="J1800">
        <v>23.8530402114239</v>
      </c>
      <c r="K1800">
        <v>0</v>
      </c>
      <c r="L1800">
        <v>1.182674709041892</v>
      </c>
      <c r="M1800">
        <v>89.06999999999999</v>
      </c>
      <c r="N1800">
        <v>56.35</v>
      </c>
    </row>
    <row r="1801" spans="1:14">
      <c r="A1801" s="1" t="s">
        <v>1813</v>
      </c>
      <c r="B1801">
        <f>HYPERLINK("https://www.suredividend.com/sure-analysis-research-database/","Marcus Corp.")</f>
        <v>0</v>
      </c>
      <c r="C1801" t="s">
        <v>3228</v>
      </c>
      <c r="D1801">
        <v>16.92</v>
      </c>
      <c r="E1801">
        <v>0</v>
      </c>
      <c r="H1801">
        <v>0</v>
      </c>
      <c r="I1801">
        <v>412.794313</v>
      </c>
      <c r="J1801" t="s">
        <v>3219</v>
      </c>
      <c r="K1801">
        <v>-0</v>
      </c>
      <c r="L1801">
        <v>0.952709825554326</v>
      </c>
      <c r="M1801">
        <v>22.87</v>
      </c>
      <c r="N1801">
        <v>14.42</v>
      </c>
    </row>
    <row r="1802" spans="1:14">
      <c r="A1802" s="1" t="s">
        <v>1814</v>
      </c>
      <c r="B1802">
        <f>HYPERLINK("https://www.suredividend.com/sure-analysis-MCY/","Mercury General Corp.")</f>
        <v>0</v>
      </c>
      <c r="C1802" t="s">
        <v>3221</v>
      </c>
      <c r="D1802">
        <v>53.6</v>
      </c>
      <c r="E1802">
        <v>0.04738805970149253</v>
      </c>
      <c r="F1802">
        <v>0.003952569169960451</v>
      </c>
      <c r="G1802">
        <v>0.003984189977074948</v>
      </c>
      <c r="H1802">
        <v>2.490832163822485</v>
      </c>
      <c r="I1802">
        <v>2967.892407</v>
      </c>
      <c r="J1802">
        <v>11.97034894832155</v>
      </c>
      <c r="K1802">
        <v>0.5559893222818046</v>
      </c>
      <c r="L1802">
        <v>0.3671982825934521</v>
      </c>
      <c r="M1802">
        <v>64.86</v>
      </c>
      <c r="N1802">
        <v>49.49</v>
      </c>
    </row>
    <row r="1803" spans="1:14">
      <c r="A1803" s="1" t="s">
        <v>1815</v>
      </c>
      <c r="B1803">
        <f>HYPERLINK("https://www.suredividend.com/sure-analysis-research-database/","MEDNAX Inc")</f>
        <v>0</v>
      </c>
      <c r="C1803" t="s">
        <v>3217</v>
      </c>
      <c r="D1803">
        <v>23.58</v>
      </c>
      <c r="E1803">
        <v>0</v>
      </c>
      <c r="H1803">
        <v>0</v>
      </c>
      <c r="I1803">
        <v>2055.844937</v>
      </c>
      <c r="J1803">
        <v>15.69778669558046</v>
      </c>
      <c r="K1803">
        <v>0</v>
      </c>
      <c r="L1803">
        <v>0.9612122505316111</v>
      </c>
      <c r="M1803">
        <v>35.67</v>
      </c>
      <c r="N1803">
        <v>22.31</v>
      </c>
    </row>
    <row r="1804" spans="1:14">
      <c r="A1804" s="1" t="s">
        <v>1816</v>
      </c>
      <c r="B1804">
        <f>HYPERLINK("https://www.suredividend.com/sure-analysis-research-database/","MongoDB Inc")</f>
        <v>0</v>
      </c>
      <c r="C1804" t="s">
        <v>3222</v>
      </c>
      <c r="D1804">
        <v>416.5</v>
      </c>
      <c r="E1804">
        <v>0</v>
      </c>
      <c r="H1804">
        <v>0</v>
      </c>
      <c r="I1804">
        <v>28141.381027</v>
      </c>
      <c r="J1804" t="s">
        <v>3219</v>
      </c>
      <c r="K1804">
        <v>-0</v>
      </c>
      <c r="L1804">
        <v>2.276407089497733</v>
      </c>
      <c r="M1804">
        <v>590</v>
      </c>
      <c r="N1804">
        <v>238.01</v>
      </c>
    </row>
    <row r="1805" spans="1:14">
      <c r="A1805" s="1" t="s">
        <v>1817</v>
      </c>
      <c r="B1805">
        <f>HYPERLINK("https://www.suredividend.com/sure-analysis-MDC/","M.D.C. Holdings, Inc.")</f>
        <v>0</v>
      </c>
      <c r="C1805" t="s">
        <v>3223</v>
      </c>
      <c r="D1805">
        <v>36.41</v>
      </c>
      <c r="E1805">
        <v>0.05492996429552321</v>
      </c>
      <c r="H1805">
        <v>1.774474894873772</v>
      </c>
      <c r="I1805">
        <v>2573.025266</v>
      </c>
      <c r="J1805">
        <v>4.508700613531226</v>
      </c>
      <c r="K1805">
        <v>0.2266251462163183</v>
      </c>
      <c r="L1805">
        <v>1.389106187641358</v>
      </c>
      <c r="M1805">
        <v>61.63</v>
      </c>
      <c r="N1805">
        <v>34.69</v>
      </c>
    </row>
    <row r="1806" spans="1:14">
      <c r="A1806" s="1" t="s">
        <v>1818</v>
      </c>
      <c r="B1806">
        <f>HYPERLINK("https://www.suredividend.com/sure-analysis-research-database/","Madrigal Pharmaceuticals Inc")</f>
        <v>0</v>
      </c>
      <c r="C1806" t="s">
        <v>3217</v>
      </c>
      <c r="D1806">
        <v>79.47</v>
      </c>
      <c r="E1806">
        <v>0</v>
      </c>
      <c r="H1806">
        <v>0</v>
      </c>
      <c r="I1806">
        <v>1359.206801</v>
      </c>
      <c r="J1806">
        <v>0</v>
      </c>
      <c r="K1806" t="s">
        <v>3219</v>
      </c>
      <c r="L1806">
        <v>1.158885181367432</v>
      </c>
      <c r="M1806">
        <v>142.62</v>
      </c>
      <c r="N1806">
        <v>52.33</v>
      </c>
    </row>
    <row r="1807" spans="1:14">
      <c r="A1807" s="1" t="s">
        <v>1819</v>
      </c>
      <c r="B1807">
        <f>HYPERLINK("https://www.suredividend.com/sure-analysis-research-database/","Medley Management Inc")</f>
        <v>0</v>
      </c>
      <c r="C1807" t="s">
        <v>3221</v>
      </c>
      <c r="D1807">
        <v>5.88</v>
      </c>
      <c r="E1807">
        <v>0</v>
      </c>
      <c r="H1807">
        <v>0</v>
      </c>
      <c r="I1807">
        <v>18.003731</v>
      </c>
      <c r="J1807">
        <v>0</v>
      </c>
      <c r="K1807" t="s">
        <v>3219</v>
      </c>
    </row>
    <row r="1808" spans="1:14">
      <c r="A1808" s="1" t="s">
        <v>1820</v>
      </c>
      <c r="B1808">
        <f>HYPERLINK("https://www.suredividend.com/sure-analysis-MDLZ/","Mondelez International Inc.")</f>
        <v>0</v>
      </c>
      <c r="C1808" t="s">
        <v>3225</v>
      </c>
      <c r="D1808">
        <v>63.72</v>
      </c>
      <c r="E1808">
        <v>0.02197112366603892</v>
      </c>
      <c r="F1808">
        <v>0.1111111111111112</v>
      </c>
      <c r="G1808">
        <v>0.1299595283513661</v>
      </c>
      <c r="H1808">
        <v>1.354021476956057</v>
      </c>
      <c r="I1808">
        <v>88131.85866300001</v>
      </c>
      <c r="J1808">
        <v>20.4957810843907</v>
      </c>
      <c r="K1808">
        <v>0.4454018016302819</v>
      </c>
      <c r="L1808">
        <v>0.3721870906654131</v>
      </c>
      <c r="M1808">
        <v>69.08</v>
      </c>
      <c r="N1808">
        <v>57</v>
      </c>
    </row>
    <row r="1809" spans="1:14">
      <c r="A1809" s="1" t="s">
        <v>1821</v>
      </c>
      <c r="B1809">
        <f>HYPERLINK("https://www.suredividend.com/sure-analysis-research-database/","Meredith Holdings Corp")</f>
        <v>0</v>
      </c>
      <c r="C1809" t="s">
        <v>3228</v>
      </c>
      <c r="D1809">
        <v>59.07</v>
      </c>
      <c r="E1809">
        <v>0</v>
      </c>
      <c r="H1809">
        <v>0</v>
      </c>
      <c r="I1809">
        <v>0</v>
      </c>
      <c r="J1809">
        <v>0</v>
      </c>
      <c r="K1809" t="s">
        <v>3219</v>
      </c>
    </row>
    <row r="1810" spans="1:14">
      <c r="A1810" s="1" t="s">
        <v>1822</v>
      </c>
      <c r="B1810">
        <f>HYPERLINK("https://www.suredividend.com/sure-analysis-research-database/","Allscripts Healthcare Solutions Inc")</f>
        <v>0</v>
      </c>
      <c r="C1810" t="s">
        <v>3217</v>
      </c>
      <c r="D1810">
        <v>22.32</v>
      </c>
      <c r="E1810">
        <v>0</v>
      </c>
      <c r="H1810">
        <v>0</v>
      </c>
      <c r="I1810">
        <v>2735.817352</v>
      </c>
      <c r="J1810">
        <v>20.35003013909758</v>
      </c>
      <c r="K1810">
        <v>0</v>
      </c>
      <c r="L1810">
        <v>0.5005431956374841</v>
      </c>
      <c r="M1810">
        <v>23.24</v>
      </c>
      <c r="N1810">
        <v>13.05</v>
      </c>
    </row>
    <row r="1811" spans="1:14">
      <c r="A1811" s="1" t="s">
        <v>1823</v>
      </c>
      <c r="B1811">
        <f>HYPERLINK("https://www.suredividend.com/sure-analysis-MDT/","Medtronic Plc")</f>
        <v>0</v>
      </c>
      <c r="C1811" t="s">
        <v>3217</v>
      </c>
      <c r="D1811">
        <v>109.02</v>
      </c>
      <c r="E1811">
        <v>0.02311502476609796</v>
      </c>
      <c r="F1811">
        <v>0.0862068965517242</v>
      </c>
      <c r="G1811">
        <v>0.0649189212487713</v>
      </c>
      <c r="H1811">
        <v>2.497814569818591</v>
      </c>
      <c r="I1811">
        <v>146254.601186</v>
      </c>
      <c r="J1811">
        <v>29.76889908112355</v>
      </c>
      <c r="K1811">
        <v>0.6881031872778488</v>
      </c>
      <c r="L1811">
        <v>0.669658094131892</v>
      </c>
      <c r="M1811">
        <v>133.57</v>
      </c>
      <c r="N1811">
        <v>97.17</v>
      </c>
    </row>
    <row r="1812" spans="1:14">
      <c r="A1812" s="1" t="s">
        <v>1824</v>
      </c>
      <c r="B1812">
        <f>HYPERLINK("https://www.suredividend.com/sure-analysis-MDU/","MDU Resources Group Inc")</f>
        <v>0</v>
      </c>
      <c r="C1812" t="s">
        <v>3218</v>
      </c>
      <c r="D1812">
        <v>27.17</v>
      </c>
      <c r="E1812">
        <v>0.03202061096797939</v>
      </c>
      <c r="H1812">
        <v>0.85002549020561</v>
      </c>
      <c r="I1812">
        <v>5525.039606</v>
      </c>
      <c r="J1812">
        <v>14.61144313954688</v>
      </c>
      <c r="K1812">
        <v>0.4545590856714492</v>
      </c>
      <c r="L1812">
        <v>0.6745326362435781</v>
      </c>
      <c r="M1812">
        <v>34.02</v>
      </c>
      <c r="N1812">
        <v>25.18</v>
      </c>
    </row>
    <row r="1813" spans="1:14">
      <c r="A1813" s="1" t="s">
        <v>1825</v>
      </c>
      <c r="B1813">
        <f>HYPERLINK("https://www.suredividend.com/sure-analysis-MED/","Medifast Inc")</f>
        <v>0</v>
      </c>
      <c r="C1813" t="s">
        <v>3223</v>
      </c>
      <c r="D1813">
        <v>184.06</v>
      </c>
      <c r="E1813">
        <v>0.03564055199391503</v>
      </c>
      <c r="F1813">
        <v>0.154929577464789</v>
      </c>
      <c r="G1813">
        <v>0.3865603403110704</v>
      </c>
      <c r="H1813">
        <v>5.831314955369105</v>
      </c>
      <c r="I1813">
        <v>2124.536478</v>
      </c>
      <c r="J1813">
        <v>12.95204246636307</v>
      </c>
      <c r="K1813">
        <v>0.4198210910992876</v>
      </c>
      <c r="L1813">
        <v>1.06376254398641</v>
      </c>
      <c r="M1813">
        <v>327.61</v>
      </c>
      <c r="N1813">
        <v>159.89</v>
      </c>
    </row>
    <row r="1814" spans="1:14">
      <c r="A1814" s="1" t="s">
        <v>1826</v>
      </c>
      <c r="B1814">
        <f>HYPERLINK("https://www.suredividend.com/sure-analysis-research-database/","Medpace Holdings Inc")</f>
        <v>0</v>
      </c>
      <c r="C1814" t="s">
        <v>3217</v>
      </c>
      <c r="D1814">
        <v>158.1</v>
      </c>
      <c r="E1814">
        <v>0</v>
      </c>
      <c r="H1814">
        <v>0</v>
      </c>
      <c r="I1814">
        <v>5319.380901</v>
      </c>
      <c r="J1814">
        <v>29.32565687910028</v>
      </c>
      <c r="K1814">
        <v>0</v>
      </c>
      <c r="L1814">
        <v>1.177614581667609</v>
      </c>
      <c r="M1814">
        <v>231</v>
      </c>
      <c r="N1814">
        <v>136.8</v>
      </c>
    </row>
    <row r="1815" spans="1:14">
      <c r="A1815" s="1" t="s">
        <v>1827</v>
      </c>
      <c r="B1815">
        <f>HYPERLINK("https://www.suredividend.com/sure-analysis-research-database/","Methode Electronics, Inc.")</f>
        <v>0</v>
      </c>
      <c r="C1815" t="s">
        <v>3222</v>
      </c>
      <c r="D1815">
        <v>44.72</v>
      </c>
      <c r="E1815">
        <v>0.012463730719915</v>
      </c>
      <c r="F1815">
        <v>0.2727272727272729</v>
      </c>
      <c r="G1815">
        <v>0.09238846414037316</v>
      </c>
      <c r="H1815">
        <v>0.557378037794637</v>
      </c>
      <c r="I1815">
        <v>1651.524984</v>
      </c>
      <c r="J1815">
        <v>14.10354384013663</v>
      </c>
      <c r="K1815">
        <v>0.1815563641024876</v>
      </c>
      <c r="L1815">
        <v>0.825317696867739</v>
      </c>
      <c r="M1815">
        <v>49.63</v>
      </c>
      <c r="N1815">
        <v>40.54</v>
      </c>
    </row>
    <row r="1816" spans="1:14">
      <c r="A1816" s="1" t="s">
        <v>1828</v>
      </c>
      <c r="B1816">
        <f>HYPERLINK("https://www.suredividend.com/sure-analysis-research-database/","MEI Pharma Inc")</f>
        <v>0</v>
      </c>
      <c r="C1816" t="s">
        <v>3217</v>
      </c>
      <c r="D1816">
        <v>0.5676</v>
      </c>
      <c r="E1816">
        <v>0</v>
      </c>
      <c r="H1816">
        <v>0</v>
      </c>
      <c r="I1816">
        <v>75.482595</v>
      </c>
      <c r="J1816" t="s">
        <v>3219</v>
      </c>
      <c r="K1816">
        <v>-0</v>
      </c>
      <c r="L1816">
        <v>0.5364589200589991</v>
      </c>
      <c r="M1816">
        <v>3.91</v>
      </c>
      <c r="N1816">
        <v>0.53</v>
      </c>
    </row>
    <row r="1817" spans="1:14">
      <c r="A1817" s="1" t="s">
        <v>1829</v>
      </c>
      <c r="B1817">
        <f>HYPERLINK("https://www.suredividend.com/sure-analysis-research-database/","Mercer International Inc.")</f>
        <v>0</v>
      </c>
      <c r="C1817" t="s">
        <v>3218</v>
      </c>
      <c r="D1817">
        <v>15.63</v>
      </c>
      <c r="E1817">
        <v>0.017137821469819</v>
      </c>
      <c r="F1817">
        <v>0.1538461538461537</v>
      </c>
      <c r="G1817">
        <v>-0.08193657741547267</v>
      </c>
      <c r="H1817">
        <v>0.267864149573284</v>
      </c>
      <c r="I1817">
        <v>1032.166938</v>
      </c>
      <c r="J1817">
        <v>0</v>
      </c>
      <c r="K1817" t="s">
        <v>3219</v>
      </c>
      <c r="L1817">
        <v>0.7558278498420661</v>
      </c>
      <c r="M1817">
        <v>17.75</v>
      </c>
      <c r="N1817">
        <v>9.4</v>
      </c>
    </row>
    <row r="1818" spans="1:14">
      <c r="A1818" s="1" t="s">
        <v>1830</v>
      </c>
      <c r="B1818">
        <f>HYPERLINK("https://www.suredividend.com/sure-analysis-research-database/","Mesa Air Group Inc.")</f>
        <v>0</v>
      </c>
      <c r="C1818" t="s">
        <v>3220</v>
      </c>
      <c r="D1818">
        <v>3.99</v>
      </c>
      <c r="E1818">
        <v>0</v>
      </c>
      <c r="H1818">
        <v>0</v>
      </c>
      <c r="I1818">
        <v>143.496412</v>
      </c>
      <c r="J1818">
        <v>0</v>
      </c>
      <c r="K1818" t="s">
        <v>3219</v>
      </c>
      <c r="L1818">
        <v>1.454659555551849</v>
      </c>
      <c r="M1818">
        <v>12.05</v>
      </c>
      <c r="N1818">
        <v>3.65</v>
      </c>
    </row>
    <row r="1819" spans="1:14">
      <c r="A1819" s="1" t="s">
        <v>1831</v>
      </c>
      <c r="B1819">
        <f>HYPERLINK("https://www.suredividend.com/sure-analysis-MET/","Metlife Inc")</f>
        <v>0</v>
      </c>
      <c r="C1819" t="s">
        <v>3221</v>
      </c>
      <c r="D1819">
        <v>70.64</v>
      </c>
      <c r="E1819">
        <v>0.02718006795016988</v>
      </c>
      <c r="F1819">
        <v>0.04347826086956519</v>
      </c>
      <c r="G1819">
        <v>0.03713728933664817</v>
      </c>
      <c r="H1819">
        <v>1.899089399951546</v>
      </c>
      <c r="I1819">
        <v>58283.527156</v>
      </c>
      <c r="J1819">
        <v>9.174173958155205</v>
      </c>
      <c r="K1819">
        <v>0.259793351566559</v>
      </c>
      <c r="L1819">
        <v>0.9609391578059531</v>
      </c>
      <c r="M1819">
        <v>72.55</v>
      </c>
      <c r="N1819">
        <v>53.98</v>
      </c>
    </row>
    <row r="1820" spans="1:14">
      <c r="A1820" s="1" t="s">
        <v>1832</v>
      </c>
      <c r="B1820">
        <f>HYPERLINK("https://www.suredividend.com/sure-analysis-research-database/","MFA Financial Inc")</f>
        <v>0</v>
      </c>
      <c r="C1820" t="s">
        <v>3224</v>
      </c>
      <c r="D1820">
        <v>14.99</v>
      </c>
      <c r="E1820">
        <v>0.108156802664271</v>
      </c>
      <c r="H1820">
        <v>1.621270471937434</v>
      </c>
      <c r="I1820">
        <v>6371.50707</v>
      </c>
      <c r="J1820">
        <v>21.60191716573261</v>
      </c>
      <c r="K1820">
        <v>2.604869010182252</v>
      </c>
      <c r="L1820">
        <v>0.79530081298889</v>
      </c>
      <c r="M1820">
        <v>18.39</v>
      </c>
      <c r="N1820">
        <v>14.74</v>
      </c>
    </row>
    <row r="1821" spans="1:14">
      <c r="A1821" s="1" t="s">
        <v>1833</v>
      </c>
      <c r="B1821">
        <f>HYPERLINK("https://www.suredividend.com/sure-analysis-research-database/","Mackinac Financial Corp.")</f>
        <v>0</v>
      </c>
      <c r="C1821" t="s">
        <v>3221</v>
      </c>
      <c r="D1821">
        <v>21.5</v>
      </c>
      <c r="E1821">
        <v>0</v>
      </c>
      <c r="H1821">
        <v>0.552702955075539</v>
      </c>
      <c r="I1821">
        <v>0</v>
      </c>
      <c r="J1821">
        <v>0</v>
      </c>
      <c r="K1821" t="s">
        <v>3219</v>
      </c>
    </row>
    <row r="1822" spans="1:14">
      <c r="A1822" s="1" t="s">
        <v>1834</v>
      </c>
      <c r="B1822">
        <f>HYPERLINK("https://www.suredividend.com/sure-analysis-research-database/","Mistras Group Inc")</f>
        <v>0</v>
      </c>
      <c r="C1822" t="s">
        <v>3220</v>
      </c>
      <c r="D1822">
        <v>6.06</v>
      </c>
      <c r="E1822">
        <v>0</v>
      </c>
      <c r="H1822">
        <v>0</v>
      </c>
      <c r="I1822">
        <v>179.047627</v>
      </c>
      <c r="J1822">
        <v>46.3853955388601</v>
      </c>
      <c r="K1822">
        <v>0</v>
      </c>
      <c r="L1822">
        <v>1.024798510538339</v>
      </c>
      <c r="M1822">
        <v>12.19</v>
      </c>
      <c r="N1822">
        <v>5.88</v>
      </c>
    </row>
    <row r="1823" spans="1:14">
      <c r="A1823" s="1" t="s">
        <v>1835</v>
      </c>
      <c r="B1823">
        <f>HYPERLINK("https://www.suredividend.com/sure-analysis-MGEE/","MGE Energy, Inc.")</f>
        <v>0</v>
      </c>
      <c r="C1823" t="s">
        <v>3227</v>
      </c>
      <c r="D1823">
        <v>82.59999999999999</v>
      </c>
      <c r="E1823">
        <v>0.01876513317191283</v>
      </c>
      <c r="F1823">
        <v>0.04729729729729737</v>
      </c>
      <c r="G1823">
        <v>0.04733427713195626</v>
      </c>
      <c r="H1823">
        <v>1.520798652809567</v>
      </c>
      <c r="I1823">
        <v>2987.094362</v>
      </c>
      <c r="J1823">
        <v>28.24381730505573</v>
      </c>
      <c r="K1823">
        <v>0.5208214564416326</v>
      </c>
      <c r="L1823">
        <v>0.347240549717687</v>
      </c>
      <c r="M1823">
        <v>84.97</v>
      </c>
      <c r="N1823">
        <v>69.12</v>
      </c>
    </row>
    <row r="1824" spans="1:14">
      <c r="A1824" s="1" t="s">
        <v>1836</v>
      </c>
      <c r="B1824">
        <f>HYPERLINK("https://www.suredividend.com/sure-analysis-research-database/","Moneygram International Inc.")</f>
        <v>0</v>
      </c>
      <c r="C1824" t="s">
        <v>3221</v>
      </c>
      <c r="D1824">
        <v>10.62</v>
      </c>
      <c r="E1824">
        <v>0</v>
      </c>
      <c r="H1824">
        <v>0</v>
      </c>
      <c r="I1824">
        <v>1022.277356</v>
      </c>
      <c r="J1824" t="s">
        <v>3219</v>
      </c>
      <c r="K1824">
        <v>-0</v>
      </c>
      <c r="L1824">
        <v>1.196505483296604</v>
      </c>
      <c r="M1824">
        <v>12.36</v>
      </c>
      <c r="N1824">
        <v>5.06</v>
      </c>
    </row>
    <row r="1825" spans="1:14">
      <c r="A1825" s="1" t="s">
        <v>1837</v>
      </c>
      <c r="B1825">
        <f>HYPERLINK("https://www.suredividend.com/sure-analysis-research-database/","Magellan Health Inc")</f>
        <v>0</v>
      </c>
      <c r="C1825" t="s">
        <v>3217</v>
      </c>
      <c r="D1825">
        <v>94.98999999999999</v>
      </c>
      <c r="E1825">
        <v>0</v>
      </c>
      <c r="H1825">
        <v>0</v>
      </c>
      <c r="I1825">
        <v>0</v>
      </c>
      <c r="J1825">
        <v>0</v>
      </c>
      <c r="K1825">
        <v>0</v>
      </c>
    </row>
    <row r="1826" spans="1:14">
      <c r="A1826" s="1" t="s">
        <v>1838</v>
      </c>
      <c r="B1826">
        <f>HYPERLINK("https://www.suredividend.com/sure-analysis-research-database/","MGM Resorts International")</f>
        <v>0</v>
      </c>
      <c r="C1826" t="s">
        <v>3223</v>
      </c>
      <c r="D1826">
        <v>41.6</v>
      </c>
      <c r="E1826">
        <v>0.000240362132746</v>
      </c>
      <c r="F1826">
        <v>0</v>
      </c>
      <c r="G1826">
        <v>-0.5308524370109733</v>
      </c>
      <c r="H1826">
        <v>0.009999064722261001</v>
      </c>
      <c r="I1826">
        <v>18109.855546</v>
      </c>
      <c r="J1826">
        <v>15.39859425749444</v>
      </c>
      <c r="K1826">
        <v>0.004148989511311619</v>
      </c>
      <c r="L1826">
        <v>1.486263120453625</v>
      </c>
      <c r="M1826">
        <v>51.16</v>
      </c>
      <c r="N1826">
        <v>35.71</v>
      </c>
    </row>
    <row r="1827" spans="1:14">
      <c r="A1827" s="1" t="s">
        <v>1839</v>
      </c>
      <c r="B1827">
        <f>HYPERLINK("https://www.suredividend.com/sure-analysis-research-database/","Macrogenics Inc")</f>
        <v>0</v>
      </c>
      <c r="C1827" t="s">
        <v>3217</v>
      </c>
      <c r="D1827">
        <v>8.609999999999999</v>
      </c>
      <c r="E1827">
        <v>0</v>
      </c>
      <c r="H1827">
        <v>0</v>
      </c>
      <c r="I1827">
        <v>528.006166</v>
      </c>
      <c r="J1827">
        <v>0</v>
      </c>
      <c r="K1827" t="s">
        <v>3219</v>
      </c>
      <c r="L1827">
        <v>1.229128152909657</v>
      </c>
      <c r="M1827">
        <v>36.48</v>
      </c>
      <c r="N1827">
        <v>7.91</v>
      </c>
    </row>
    <row r="1828" spans="1:14">
      <c r="A1828" s="1" t="s">
        <v>1840</v>
      </c>
      <c r="B1828">
        <f>HYPERLINK("https://www.suredividend.com/sure-analysis-research-database/","MGP Ingredients, Inc.")</f>
        <v>0</v>
      </c>
      <c r="C1828" t="s">
        <v>3225</v>
      </c>
      <c r="D1828">
        <v>93.06999999999999</v>
      </c>
      <c r="E1828">
        <v>0.005145100121568</v>
      </c>
      <c r="F1828">
        <v>0</v>
      </c>
      <c r="G1828">
        <v>0.2457309396155174</v>
      </c>
      <c r="H1828">
        <v>0.478854468314349</v>
      </c>
      <c r="I1828">
        <v>2044.324525</v>
      </c>
      <c r="J1828">
        <v>22.56553368916607</v>
      </c>
      <c r="K1828">
        <v>0.1108459417394326</v>
      </c>
      <c r="L1828">
        <v>0.7589775515583591</v>
      </c>
      <c r="M1828">
        <v>97.61</v>
      </c>
      <c r="N1828">
        <v>57.61</v>
      </c>
    </row>
    <row r="1829" spans="1:14">
      <c r="A1829" s="1" t="s">
        <v>1841</v>
      </c>
      <c r="B1829">
        <f>HYPERLINK("https://www.suredividend.com/sure-analysis-MGRC/","McGrath Rentcorp")</f>
        <v>0</v>
      </c>
      <c r="C1829" t="s">
        <v>3220</v>
      </c>
      <c r="D1829">
        <v>84.63</v>
      </c>
      <c r="E1829">
        <v>0.02150537634408602</v>
      </c>
      <c r="F1829">
        <v>0.04597701149425282</v>
      </c>
      <c r="G1829">
        <v>0.1184269147201447</v>
      </c>
      <c r="H1829">
        <v>1.745574346290771</v>
      </c>
      <c r="I1829">
        <v>2053.154605</v>
      </c>
      <c r="J1829">
        <v>22.887850234881</v>
      </c>
      <c r="K1829">
        <v>0.4769328815002107</v>
      </c>
      <c r="L1829">
        <v>0.68132872212225</v>
      </c>
      <c r="M1829">
        <v>88.41</v>
      </c>
      <c r="N1829">
        <v>65.95999999999999</v>
      </c>
    </row>
    <row r="1830" spans="1:14">
      <c r="A1830" s="1" t="s">
        <v>1842</v>
      </c>
      <c r="B1830">
        <f>HYPERLINK("https://www.suredividend.com/sure-analysis-research-database/","Magenta Therapeutics Inc")</f>
        <v>0</v>
      </c>
      <c r="C1830" t="s">
        <v>3217</v>
      </c>
      <c r="D1830">
        <v>2.24</v>
      </c>
      <c r="E1830">
        <v>0</v>
      </c>
      <c r="H1830">
        <v>0</v>
      </c>
      <c r="I1830">
        <v>131.710112</v>
      </c>
      <c r="J1830">
        <v>0</v>
      </c>
      <c r="K1830" t="s">
        <v>3219</v>
      </c>
      <c r="L1830">
        <v>1.203673771491548</v>
      </c>
      <c r="M1830">
        <v>13.22</v>
      </c>
      <c r="N1830">
        <v>2.22</v>
      </c>
    </row>
    <row r="1831" spans="1:14">
      <c r="A1831" s="1" t="s">
        <v>1843</v>
      </c>
      <c r="B1831">
        <f>HYPERLINK("https://www.suredividend.com/sure-analysis-research-database/","Magnolia Oil &amp; Gas Corp")</f>
        <v>0</v>
      </c>
      <c r="C1831" t="s">
        <v>3226</v>
      </c>
      <c r="D1831">
        <v>26.24</v>
      </c>
      <c r="E1831">
        <v>0.010641684965629</v>
      </c>
      <c r="H1831">
        <v>0.279237813498123</v>
      </c>
      <c r="I1831">
        <v>4827.57742</v>
      </c>
      <c r="J1831">
        <v>0</v>
      </c>
      <c r="K1831" t="s">
        <v>3219</v>
      </c>
      <c r="L1831">
        <v>1.076015333350064</v>
      </c>
      <c r="M1831">
        <v>26.61</v>
      </c>
      <c r="N1831">
        <v>10.14</v>
      </c>
    </row>
    <row r="1832" spans="1:14">
      <c r="A1832" s="1" t="s">
        <v>1844</v>
      </c>
      <c r="B1832">
        <f>HYPERLINK("https://www.suredividend.com/sure-analysis-research-database/","Magyar Bancorp Inc.")</f>
        <v>0</v>
      </c>
      <c r="C1832" t="s">
        <v>3221</v>
      </c>
      <c r="D1832">
        <v>11.96</v>
      </c>
      <c r="E1832">
        <v>0.002508361147947</v>
      </c>
      <c r="H1832">
        <v>0.029999999329447</v>
      </c>
      <c r="I1832">
        <v>84.889987</v>
      </c>
      <c r="J1832">
        <v>0</v>
      </c>
      <c r="K1832" t="s">
        <v>3219</v>
      </c>
      <c r="M1832">
        <v>12.53</v>
      </c>
      <c r="N1832">
        <v>10.02</v>
      </c>
    </row>
    <row r="1833" spans="1:14">
      <c r="A1833" s="1" t="s">
        <v>1845</v>
      </c>
      <c r="B1833">
        <f>HYPERLINK("https://www.suredividend.com/sure-analysis-research-database/","Mastech Digital Inc")</f>
        <v>0</v>
      </c>
      <c r="C1833" t="s">
        <v>3220</v>
      </c>
      <c r="D1833">
        <v>20.79</v>
      </c>
      <c r="E1833">
        <v>0</v>
      </c>
      <c r="H1833">
        <v>0</v>
      </c>
      <c r="I1833">
        <v>239.640197</v>
      </c>
      <c r="J1833">
        <v>0</v>
      </c>
      <c r="K1833" t="s">
        <v>3219</v>
      </c>
      <c r="L1833">
        <v>0.5196063443883341</v>
      </c>
      <c r="M1833">
        <v>21.83</v>
      </c>
      <c r="N1833">
        <v>14</v>
      </c>
    </row>
    <row r="1834" spans="1:14">
      <c r="A1834" s="1" t="s">
        <v>1846</v>
      </c>
      <c r="B1834">
        <f>HYPERLINK("https://www.suredividend.com/sure-analysis-research-database/","Mohawk Industries, Inc.")</f>
        <v>0</v>
      </c>
      <c r="C1834" t="s">
        <v>3223</v>
      </c>
      <c r="D1834">
        <v>123.71</v>
      </c>
      <c r="E1834">
        <v>0</v>
      </c>
      <c r="H1834">
        <v>0</v>
      </c>
      <c r="I1834">
        <v>7860.462638</v>
      </c>
      <c r="J1834">
        <v>7.60818290106363</v>
      </c>
      <c r="K1834">
        <v>0</v>
      </c>
      <c r="L1834">
        <v>1.535894478269775</v>
      </c>
      <c r="M1834">
        <v>231.8</v>
      </c>
      <c r="N1834">
        <v>117.56</v>
      </c>
    </row>
    <row r="1835" spans="1:14">
      <c r="A1835" s="1" t="s">
        <v>1847</v>
      </c>
      <c r="B1835">
        <f>HYPERLINK("https://www.suredividend.com/sure-analysis-research-database/","Maiden Holdings Ltd")</f>
        <v>0</v>
      </c>
      <c r="C1835" t="s">
        <v>3221</v>
      </c>
      <c r="D1835">
        <v>2.18</v>
      </c>
      <c r="E1835">
        <v>0</v>
      </c>
      <c r="H1835">
        <v>0</v>
      </c>
      <c r="I1835">
        <v>190.634556</v>
      </c>
      <c r="J1835">
        <v>1.634636311502118</v>
      </c>
      <c r="K1835">
        <v>0</v>
      </c>
      <c r="L1835">
        <v>0.8435812582957051</v>
      </c>
      <c r="M1835">
        <v>4</v>
      </c>
      <c r="N1835">
        <v>2.12</v>
      </c>
    </row>
    <row r="1836" spans="1:14">
      <c r="A1836" s="1" t="s">
        <v>1848</v>
      </c>
      <c r="B1836">
        <f>HYPERLINK("https://www.suredividend.com/sure-analysis-research-database/","MI Homes Inc.")</f>
        <v>0</v>
      </c>
      <c r="C1836" t="s">
        <v>3223</v>
      </c>
      <c r="D1836">
        <v>43.23</v>
      </c>
      <c r="E1836">
        <v>0</v>
      </c>
      <c r="H1836">
        <v>0</v>
      </c>
      <c r="I1836">
        <v>1224.480369</v>
      </c>
      <c r="J1836">
        <v>3.085359285933862</v>
      </c>
      <c r="K1836">
        <v>0</v>
      </c>
      <c r="L1836">
        <v>1.454168329181117</v>
      </c>
      <c r="M1836">
        <v>74.84999999999999</v>
      </c>
      <c r="N1836">
        <v>40.3</v>
      </c>
    </row>
    <row r="1837" spans="1:14">
      <c r="A1837" s="1" t="s">
        <v>1849</v>
      </c>
      <c r="B1837">
        <f>HYPERLINK("https://www.suredividend.com/sure-analysis-research-database/","Macquarie Infrastructure Holdings LLC")</f>
        <v>0</v>
      </c>
      <c r="C1837" t="s">
        <v>3220</v>
      </c>
      <c r="D1837">
        <v>3.75</v>
      </c>
      <c r="E1837">
        <v>0</v>
      </c>
      <c r="H1837">
        <v>0</v>
      </c>
      <c r="I1837">
        <v>331.560319</v>
      </c>
      <c r="J1837">
        <v>0.123538236139035</v>
      </c>
      <c r="K1837">
        <v>0</v>
      </c>
      <c r="M1837">
        <v>3.8</v>
      </c>
      <c r="N1837">
        <v>3.26</v>
      </c>
    </row>
    <row r="1838" spans="1:14">
      <c r="A1838" s="1" t="s">
        <v>1850</v>
      </c>
      <c r="B1838">
        <f>HYPERLINK("https://www.suredividend.com/sure-analysis-research-database/","Micron Solutions Inc")</f>
        <v>0</v>
      </c>
      <c r="C1838" t="s">
        <v>3217</v>
      </c>
      <c r="D1838">
        <v>2.35</v>
      </c>
      <c r="E1838">
        <v>0</v>
      </c>
      <c r="H1838">
        <v>0</v>
      </c>
      <c r="I1838">
        <v>8.188822</v>
      </c>
      <c r="J1838">
        <v>0</v>
      </c>
      <c r="K1838" t="s">
        <v>3219</v>
      </c>
      <c r="M1838">
        <v>3.9</v>
      </c>
      <c r="N1838">
        <v>1.34</v>
      </c>
    </row>
    <row r="1839" spans="1:14">
      <c r="A1839" s="1" t="s">
        <v>1851</v>
      </c>
      <c r="B1839">
        <f>HYPERLINK("https://www.suredividend.com/sure-analysis-research-database/","MICT Inc")</f>
        <v>0</v>
      </c>
      <c r="C1839" t="s">
        <v>3222</v>
      </c>
      <c r="D1839">
        <v>0.6052000000000001</v>
      </c>
      <c r="E1839">
        <v>0</v>
      </c>
      <c r="H1839">
        <v>0</v>
      </c>
      <c r="I1839">
        <v>74.098011</v>
      </c>
      <c r="J1839">
        <v>0</v>
      </c>
      <c r="K1839" t="s">
        <v>3219</v>
      </c>
      <c r="L1839">
        <v>1.211926807116763</v>
      </c>
      <c r="M1839">
        <v>2.6</v>
      </c>
      <c r="N1839">
        <v>0.503</v>
      </c>
    </row>
    <row r="1840" spans="1:14">
      <c r="A1840" s="1" t="s">
        <v>1852</v>
      </c>
      <c r="B1840">
        <f>HYPERLINK("https://www.suredividend.com/sure-analysis-research-database/","Middleby Corp.")</f>
        <v>0</v>
      </c>
      <c r="C1840" t="s">
        <v>3220</v>
      </c>
      <c r="D1840">
        <v>148.56</v>
      </c>
      <c r="E1840">
        <v>0</v>
      </c>
      <c r="H1840">
        <v>0</v>
      </c>
      <c r="I1840">
        <v>8139.769827</v>
      </c>
      <c r="J1840">
        <v>16.66305656411978</v>
      </c>
      <c r="K1840">
        <v>0</v>
      </c>
      <c r="L1840">
        <v>1.095916813051952</v>
      </c>
      <c r="M1840">
        <v>201.34</v>
      </c>
      <c r="N1840">
        <v>145.31</v>
      </c>
    </row>
    <row r="1841" spans="1:14">
      <c r="A1841" s="1" t="s">
        <v>1853</v>
      </c>
      <c r="B1841">
        <f>HYPERLINK("https://www.suredividend.com/sure-analysis-research-database/","Michaels Companies Inc")</f>
        <v>0</v>
      </c>
      <c r="C1841" t="s">
        <v>3223</v>
      </c>
      <c r="D1841">
        <v>21.97</v>
      </c>
      <c r="E1841">
        <v>0</v>
      </c>
      <c r="H1841">
        <v>0</v>
      </c>
      <c r="I1841">
        <v>0</v>
      </c>
      <c r="J1841">
        <v>0</v>
      </c>
      <c r="K1841">
        <v>0</v>
      </c>
    </row>
    <row r="1842" spans="1:14">
      <c r="A1842" s="1" t="s">
        <v>1854</v>
      </c>
      <c r="B1842">
        <f>HYPERLINK("https://www.suredividend.com/sure-analysis-research-database/","MIND Technology Inc")</f>
        <v>0</v>
      </c>
      <c r="C1842" t="s">
        <v>3222</v>
      </c>
      <c r="D1842">
        <v>1.4</v>
      </c>
      <c r="E1842">
        <v>0</v>
      </c>
      <c r="H1842">
        <v>0</v>
      </c>
      <c r="I1842">
        <v>19.283746</v>
      </c>
      <c r="J1842" t="s">
        <v>3219</v>
      </c>
      <c r="K1842">
        <v>-0</v>
      </c>
      <c r="L1842">
        <v>0.5920589601216011</v>
      </c>
      <c r="M1842">
        <v>2.45</v>
      </c>
      <c r="N1842">
        <v>0.9217000000000001</v>
      </c>
    </row>
    <row r="1843" spans="1:14">
      <c r="A1843" s="1" t="s">
        <v>1855</v>
      </c>
      <c r="B1843">
        <f>HYPERLINK("https://www.suredividend.com/sure-analysis-research-database/","Mitek Systems Inc")</f>
        <v>0</v>
      </c>
      <c r="C1843" t="s">
        <v>3222</v>
      </c>
      <c r="D1843">
        <v>13.31</v>
      </c>
      <c r="E1843">
        <v>0</v>
      </c>
      <c r="H1843">
        <v>0</v>
      </c>
      <c r="I1843">
        <v>589.60083</v>
      </c>
      <c r="J1843">
        <v>65.98778172691662</v>
      </c>
      <c r="K1843">
        <v>0</v>
      </c>
      <c r="L1843">
        <v>1.207091780865536</v>
      </c>
      <c r="M1843">
        <v>23.29</v>
      </c>
      <c r="N1843">
        <v>13.08</v>
      </c>
    </row>
    <row r="1844" spans="1:14">
      <c r="A1844" s="1" t="s">
        <v>1856</v>
      </c>
      <c r="B1844">
        <f>HYPERLINK("https://www.suredividend.com/sure-analysis-research-database/","AG Mortgage Investment Trust Inc")</f>
        <v>0</v>
      </c>
      <c r="C1844" t="s">
        <v>3224</v>
      </c>
      <c r="D1844">
        <v>7.88</v>
      </c>
      <c r="E1844">
        <v>0.10333048542441</v>
      </c>
      <c r="H1844">
        <v>0.814244225144357</v>
      </c>
      <c r="I1844">
        <v>188.452509</v>
      </c>
      <c r="J1844" t="s">
        <v>3219</v>
      </c>
      <c r="K1844" t="s">
        <v>3219</v>
      </c>
      <c r="L1844">
        <v>0.6325078502830971</v>
      </c>
      <c r="M1844">
        <v>13.75</v>
      </c>
      <c r="N1844">
        <v>7.51</v>
      </c>
    </row>
    <row r="1845" spans="1:14">
      <c r="A1845" s="1" t="s">
        <v>1857</v>
      </c>
      <c r="B1845">
        <f>HYPERLINK("https://www.suredividend.com/sure-analysis-MKC/","McCormick &amp; Co., Inc.")</f>
        <v>0</v>
      </c>
      <c r="C1845" t="s">
        <v>3225</v>
      </c>
      <c r="D1845">
        <v>101.57</v>
      </c>
      <c r="E1845">
        <v>0.01457123166289259</v>
      </c>
      <c r="F1845">
        <v>0.08823529411764697</v>
      </c>
      <c r="G1845">
        <v>-0.04671935973494235</v>
      </c>
      <c r="H1845">
        <v>1.412179622083244</v>
      </c>
      <c r="I1845">
        <v>27091.868483</v>
      </c>
      <c r="J1845">
        <v>36.19971737381079</v>
      </c>
      <c r="K1845">
        <v>0.5098121379361892</v>
      </c>
      <c r="L1845">
        <v>0.09170292880427401</v>
      </c>
      <c r="M1845">
        <v>106.96</v>
      </c>
      <c r="N1845">
        <v>77.27</v>
      </c>
    </row>
    <row r="1846" spans="1:14">
      <c r="A1846" s="1" t="s">
        <v>1858</v>
      </c>
      <c r="B1846">
        <f>HYPERLINK("https://www.suredividend.com/sure-analysis-research-database/","Markel Corp")</f>
        <v>0</v>
      </c>
      <c r="C1846" t="s">
        <v>3221</v>
      </c>
      <c r="D1846">
        <v>1475</v>
      </c>
      <c r="E1846">
        <v>0</v>
      </c>
      <c r="H1846">
        <v>0</v>
      </c>
      <c r="I1846">
        <v>20034.2347</v>
      </c>
      <c r="J1846">
        <v>8.22464956153369</v>
      </c>
      <c r="K1846">
        <v>0</v>
      </c>
      <c r="L1846">
        <v>0.81545581008774</v>
      </c>
      <c r="M1846">
        <v>1513</v>
      </c>
      <c r="N1846">
        <v>1155</v>
      </c>
    </row>
    <row r="1847" spans="1:14">
      <c r="A1847" s="1" t="s">
        <v>1859</v>
      </c>
      <c r="B1847">
        <f>HYPERLINK("https://www.suredividend.com/sure-analysis-research-database/","MKS Instruments, Inc.")</f>
        <v>0</v>
      </c>
      <c r="C1847" t="s">
        <v>3222</v>
      </c>
      <c r="D1847">
        <v>114.52</v>
      </c>
      <c r="E1847">
        <v>0.007672802303955</v>
      </c>
      <c r="F1847">
        <v>0.09999999999999987</v>
      </c>
      <c r="G1847">
        <v>0.04683184708394994</v>
      </c>
      <c r="H1847">
        <v>0.878689319848986</v>
      </c>
      <c r="I1847">
        <v>6357.827683</v>
      </c>
      <c r="J1847">
        <v>11.53033674762423</v>
      </c>
      <c r="K1847">
        <v>0.08875649695444303</v>
      </c>
      <c r="L1847">
        <v>1.856043356421094</v>
      </c>
      <c r="M1847">
        <v>194.52</v>
      </c>
      <c r="N1847">
        <v>114.47</v>
      </c>
    </row>
    <row r="1848" spans="1:14">
      <c r="A1848" s="1" t="s">
        <v>1860</v>
      </c>
      <c r="B1848">
        <f>HYPERLINK("https://www.suredividend.com/sure-analysis-MKTX/","MarketAxess Holdings Inc.")</f>
        <v>0</v>
      </c>
      <c r="C1848" t="s">
        <v>3221</v>
      </c>
      <c r="D1848">
        <v>265.45</v>
      </c>
      <c r="E1848">
        <v>0.01054812582407233</v>
      </c>
      <c r="F1848">
        <v>0.06060606060606055</v>
      </c>
      <c r="G1848">
        <v>0.162296205618625</v>
      </c>
      <c r="H1848">
        <v>2.673225152397316</v>
      </c>
      <c r="I1848">
        <v>10043.411177</v>
      </c>
      <c r="J1848">
        <v>38.94485659356</v>
      </c>
      <c r="K1848">
        <v>0.3948633903097956</v>
      </c>
      <c r="L1848">
        <v>0.7245638766442181</v>
      </c>
      <c r="M1848">
        <v>537.02</v>
      </c>
      <c r="N1848">
        <v>265.3</v>
      </c>
    </row>
    <row r="1849" spans="1:14">
      <c r="A1849" s="1" t="s">
        <v>1861</v>
      </c>
      <c r="B1849">
        <f>HYPERLINK("https://www.suredividend.com/sure-analysis-research-database/","Mesa Laboratories, Inc.")</f>
        <v>0</v>
      </c>
      <c r="C1849" t="s">
        <v>3222</v>
      </c>
      <c r="D1849">
        <v>250</v>
      </c>
      <c r="E1849">
        <v>0.002557768192015</v>
      </c>
      <c r="H1849">
        <v>0.639442048003793</v>
      </c>
      <c r="I1849">
        <v>1311.48575</v>
      </c>
      <c r="J1849">
        <v>168.8535792455259</v>
      </c>
      <c r="K1849">
        <v>0.43797400548205</v>
      </c>
      <c r="L1849">
        <v>0.603221866600222</v>
      </c>
      <c r="M1849">
        <v>333.21</v>
      </c>
      <c r="N1849">
        <v>239.47</v>
      </c>
    </row>
    <row r="1850" spans="1:14">
      <c r="A1850" s="1" t="s">
        <v>1862</v>
      </c>
      <c r="B1850">
        <f>HYPERLINK("https://www.suredividend.com/sure-analysis-research-database/","Herman Miller Inc.")</f>
        <v>0</v>
      </c>
      <c r="C1850" t="s">
        <v>3220</v>
      </c>
      <c r="D1850">
        <v>39.04</v>
      </c>
      <c r="E1850">
        <v>0.019088839472353</v>
      </c>
      <c r="H1850">
        <v>0.7452282930006841</v>
      </c>
      <c r="I1850">
        <v>2958.202047</v>
      </c>
      <c r="J1850">
        <v>76.63735872331607</v>
      </c>
      <c r="K1850">
        <v>1.181963985726699</v>
      </c>
      <c r="M1850">
        <v>51.03</v>
      </c>
      <c r="N1850">
        <v>30.13</v>
      </c>
    </row>
    <row r="1851" spans="1:14">
      <c r="A1851" s="1" t="s">
        <v>1863</v>
      </c>
      <c r="B1851">
        <f>HYPERLINK("https://www.suredividend.com/sure-analysis-research-database/","Mueller Industries, Inc.")</f>
        <v>0</v>
      </c>
      <c r="C1851" t="s">
        <v>3220</v>
      </c>
      <c r="D1851">
        <v>53.15</v>
      </c>
      <c r="E1851">
        <v>0.01199108323524</v>
      </c>
      <c r="F1851">
        <v>0.9230769230769229</v>
      </c>
      <c r="G1851">
        <v>0.2011244339814313</v>
      </c>
      <c r="H1851">
        <v>0.6373260739530441</v>
      </c>
      <c r="I1851">
        <v>3042.032331</v>
      </c>
      <c r="J1851">
        <v>6.492854799474943</v>
      </c>
      <c r="K1851">
        <v>0.07725164532764171</v>
      </c>
      <c r="L1851">
        <v>1.04957391958332</v>
      </c>
      <c r="M1851">
        <v>62.83</v>
      </c>
      <c r="N1851">
        <v>38.63</v>
      </c>
    </row>
    <row r="1852" spans="1:14">
      <c r="A1852" s="1" t="s">
        <v>1864</v>
      </c>
      <c r="B1852">
        <f>HYPERLINK("https://www.suredividend.com/sure-analysis-research-database/","Martin Marietta Materials, Inc.")</f>
        <v>0</v>
      </c>
      <c r="C1852" t="s">
        <v>3218</v>
      </c>
      <c r="D1852">
        <v>364.82</v>
      </c>
      <c r="E1852">
        <v>0.006563635602179</v>
      </c>
      <c r="F1852">
        <v>0.070175438596491</v>
      </c>
      <c r="G1852">
        <v>0.07749709741525468</v>
      </c>
      <c r="H1852">
        <v>2.39454554038706</v>
      </c>
      <c r="I1852">
        <v>22750.206575</v>
      </c>
      <c r="J1852">
        <v>32.4169372677686</v>
      </c>
      <c r="K1852">
        <v>0.2136079875456788</v>
      </c>
      <c r="L1852">
        <v>1.077416027332412</v>
      </c>
      <c r="M1852">
        <v>445.75</v>
      </c>
      <c r="N1852">
        <v>328.16</v>
      </c>
    </row>
    <row r="1853" spans="1:14">
      <c r="A1853" s="1" t="s">
        <v>1865</v>
      </c>
      <c r="B1853">
        <f>HYPERLINK("https://www.suredividend.com/sure-analysis-research-database/","Maui Land &amp; Pineapple Co., Inc.")</f>
        <v>0</v>
      </c>
      <c r="C1853" t="s">
        <v>3224</v>
      </c>
      <c r="D1853">
        <v>11.44</v>
      </c>
      <c r="E1853">
        <v>0</v>
      </c>
      <c r="H1853">
        <v>0</v>
      </c>
      <c r="I1853">
        <v>222.318679</v>
      </c>
      <c r="J1853" t="s">
        <v>3219</v>
      </c>
      <c r="K1853">
        <v>-0</v>
      </c>
      <c r="L1853">
        <v>0.408219020295203</v>
      </c>
      <c r="M1853">
        <v>12.2</v>
      </c>
      <c r="N1853">
        <v>9.24</v>
      </c>
    </row>
    <row r="1854" spans="1:14">
      <c r="A1854" s="1" t="s">
        <v>1866</v>
      </c>
      <c r="B1854">
        <f>HYPERLINK("https://www.suredividend.com/sure-analysis-research-database/","Miller Industries Inc.")</f>
        <v>0</v>
      </c>
      <c r="C1854" t="s">
        <v>3223</v>
      </c>
      <c r="D1854">
        <v>27.1</v>
      </c>
      <c r="E1854">
        <v>0.026340334146446</v>
      </c>
      <c r="F1854">
        <v>0</v>
      </c>
      <c r="G1854">
        <v>0</v>
      </c>
      <c r="H1854">
        <v>0.7138230553686941</v>
      </c>
      <c r="I1854">
        <v>309.230729</v>
      </c>
      <c r="J1854">
        <v>0</v>
      </c>
      <c r="K1854" t="s">
        <v>3219</v>
      </c>
      <c r="L1854">
        <v>0.646896403813878</v>
      </c>
      <c r="M1854">
        <v>45.29</v>
      </c>
      <c r="N1854">
        <v>26.3</v>
      </c>
    </row>
    <row r="1855" spans="1:14">
      <c r="A1855" s="1" t="s">
        <v>1867</v>
      </c>
      <c r="B1855">
        <f>HYPERLINK("https://www.suredividend.com/sure-analysis-research-database/","Milestone Scientific Inc.")</f>
        <v>0</v>
      </c>
      <c r="C1855" t="s">
        <v>3217</v>
      </c>
      <c r="D1855">
        <v>1.16</v>
      </c>
      <c r="E1855">
        <v>0</v>
      </c>
      <c r="H1855">
        <v>0</v>
      </c>
      <c r="I1855">
        <v>79.019203</v>
      </c>
      <c r="J1855">
        <v>0</v>
      </c>
      <c r="K1855" t="s">
        <v>3219</v>
      </c>
      <c r="L1855">
        <v>1.454636817427357</v>
      </c>
      <c r="M1855">
        <v>3.17</v>
      </c>
      <c r="N1855">
        <v>1.12</v>
      </c>
    </row>
    <row r="1856" spans="1:14">
      <c r="A1856" s="1" t="s">
        <v>1868</v>
      </c>
      <c r="B1856">
        <f>HYPERLINK("https://www.suredividend.com/sure-analysis-research-database/","Malvern Bancorp Inc")</f>
        <v>0</v>
      </c>
      <c r="C1856" t="s">
        <v>3221</v>
      </c>
      <c r="D1856">
        <v>15.99</v>
      </c>
      <c r="E1856">
        <v>0</v>
      </c>
      <c r="H1856">
        <v>0</v>
      </c>
      <c r="I1856">
        <v>121.861389</v>
      </c>
      <c r="J1856">
        <v>0</v>
      </c>
      <c r="K1856" t="s">
        <v>3219</v>
      </c>
      <c r="M1856">
        <v>19.07</v>
      </c>
      <c r="N1856">
        <v>15.12</v>
      </c>
    </row>
    <row r="1857" spans="1:14">
      <c r="A1857" s="1" t="s">
        <v>1869</v>
      </c>
      <c r="B1857">
        <f>HYPERLINK("https://www.suredividend.com/sure-analysis-research-database/","MMA Capital Holdings Inc")</f>
        <v>0</v>
      </c>
      <c r="C1857" t="s">
        <v>3221</v>
      </c>
      <c r="D1857">
        <v>27.77</v>
      </c>
      <c r="E1857">
        <v>0</v>
      </c>
      <c r="H1857">
        <v>0</v>
      </c>
      <c r="I1857">
        <v>0</v>
      </c>
      <c r="J1857">
        <v>0</v>
      </c>
      <c r="K1857">
        <v>0</v>
      </c>
    </row>
    <row r="1858" spans="1:14">
      <c r="A1858" s="1" t="s">
        <v>1870</v>
      </c>
      <c r="B1858">
        <f>HYPERLINK("https://www.suredividend.com/sure-analysis-MMC/","Marsh &amp; McLennan Cos., Inc.")</f>
        <v>0</v>
      </c>
      <c r="C1858" t="s">
        <v>3221</v>
      </c>
      <c r="D1858">
        <v>169.76</v>
      </c>
      <c r="E1858">
        <v>0.01260603204524034</v>
      </c>
      <c r="F1858">
        <v>0.1505376344086022</v>
      </c>
      <c r="G1858">
        <v>0.07365438667886703</v>
      </c>
      <c r="H1858">
        <v>2.129507138323786</v>
      </c>
      <c r="I1858">
        <v>85339.39755199999</v>
      </c>
      <c r="J1858">
        <v>27.15221048419981</v>
      </c>
      <c r="K1858">
        <v>0.3473910502975181</v>
      </c>
      <c r="L1858">
        <v>0.8139016290705201</v>
      </c>
      <c r="M1858">
        <v>174.33</v>
      </c>
      <c r="N1858">
        <v>124.81</v>
      </c>
    </row>
    <row r="1859" spans="1:14">
      <c r="A1859" s="1" t="s">
        <v>1871</v>
      </c>
      <c r="B1859">
        <f>HYPERLINK("https://www.suredividend.com/sure-analysis-research-database/","Marcus &amp; Millichap Inc")</f>
        <v>0</v>
      </c>
      <c r="C1859" t="s">
        <v>3224</v>
      </c>
      <c r="D1859">
        <v>52.76</v>
      </c>
      <c r="E1859">
        <v>0.004738438210765</v>
      </c>
      <c r="H1859">
        <v>0.25</v>
      </c>
      <c r="I1859">
        <v>2094.219352</v>
      </c>
      <c r="J1859">
        <v>0</v>
      </c>
      <c r="K1859" t="s">
        <v>3219</v>
      </c>
      <c r="L1859">
        <v>1.014482454819671</v>
      </c>
      <c r="M1859">
        <v>58.33</v>
      </c>
      <c r="N1859">
        <v>34.62</v>
      </c>
    </row>
    <row r="1860" spans="1:14">
      <c r="A1860" s="1" t="s">
        <v>1872</v>
      </c>
      <c r="B1860">
        <f>HYPERLINK("https://www.suredividend.com/sure-analysis-MMM/","3M Co.")</f>
        <v>0</v>
      </c>
      <c r="C1860" t="s">
        <v>3220</v>
      </c>
      <c r="D1860">
        <v>147.38</v>
      </c>
      <c r="E1860">
        <v>0.04043967973944904</v>
      </c>
      <c r="F1860">
        <v>0.006756756756756799</v>
      </c>
      <c r="G1860">
        <v>0.04864787315988495</v>
      </c>
      <c r="H1860">
        <v>5.852811519594538</v>
      </c>
      <c r="I1860">
        <v>83884.55535900001</v>
      </c>
      <c r="J1860">
        <v>14.16729528101672</v>
      </c>
      <c r="K1860">
        <v>0.5783410592484722</v>
      </c>
      <c r="L1860">
        <v>0.611522399484953</v>
      </c>
      <c r="M1860">
        <v>202.24</v>
      </c>
      <c r="N1860">
        <v>139.74</v>
      </c>
    </row>
    <row r="1861" spans="1:14">
      <c r="A1861" s="1" t="s">
        <v>1873</v>
      </c>
      <c r="B1861">
        <f>HYPERLINK("https://www.suredividend.com/sure-analysis-research-database/","Maximus Inc.")</f>
        <v>0</v>
      </c>
      <c r="C1861" t="s">
        <v>3220</v>
      </c>
      <c r="D1861">
        <v>75.5</v>
      </c>
      <c r="E1861">
        <v>0.014756400383453</v>
      </c>
      <c r="F1861">
        <v>0</v>
      </c>
      <c r="G1861">
        <v>0.4414152200702743</v>
      </c>
      <c r="H1861">
        <v>1.114108228950732</v>
      </c>
      <c r="I1861">
        <v>4675.118324</v>
      </c>
      <c r="J1861">
        <v>16.66988166822961</v>
      </c>
      <c r="K1861">
        <v>0.248131008674996</v>
      </c>
      <c r="L1861">
        <v>0.7832898519965921</v>
      </c>
      <c r="M1861">
        <v>94.75</v>
      </c>
      <c r="N1861">
        <v>72.04000000000001</v>
      </c>
    </row>
    <row r="1862" spans="1:14">
      <c r="A1862" s="1" t="s">
        <v>1874</v>
      </c>
      <c r="B1862">
        <f>HYPERLINK("https://www.suredividend.com/sure-analysis-research-database/","Merit Medical Systems, Inc.")</f>
        <v>0</v>
      </c>
      <c r="C1862" t="s">
        <v>3217</v>
      </c>
      <c r="D1862">
        <v>68.84</v>
      </c>
      <c r="E1862">
        <v>0</v>
      </c>
      <c r="H1862">
        <v>0</v>
      </c>
      <c r="I1862">
        <v>3898.732128</v>
      </c>
      <c r="J1862">
        <v>80.46254444297685</v>
      </c>
      <c r="K1862">
        <v>0</v>
      </c>
      <c r="L1862">
        <v>0.9225261814748951</v>
      </c>
      <c r="M1862">
        <v>73.84999999999999</v>
      </c>
      <c r="N1862">
        <v>51.66</v>
      </c>
    </row>
    <row r="1863" spans="1:14">
      <c r="A1863" s="1" t="s">
        <v>1875</v>
      </c>
      <c r="B1863">
        <f>HYPERLINK("https://www.suredividend.com/sure-analysis-research-database/","Manning &amp; Napier Inc")</f>
        <v>0</v>
      </c>
      <c r="C1863" t="s">
        <v>3221</v>
      </c>
      <c r="D1863">
        <v>12.75</v>
      </c>
      <c r="E1863">
        <v>0.011693856647484</v>
      </c>
      <c r="H1863">
        <v>0.149096672255421</v>
      </c>
      <c r="I1863">
        <v>243.835233</v>
      </c>
      <c r="J1863">
        <v>0</v>
      </c>
      <c r="K1863" t="s">
        <v>3219</v>
      </c>
      <c r="L1863">
        <v>0.70965270648444</v>
      </c>
      <c r="M1863">
        <v>12.91</v>
      </c>
      <c r="N1863">
        <v>6.83</v>
      </c>
    </row>
    <row r="1864" spans="1:14">
      <c r="A1864" s="1" t="s">
        <v>1876</v>
      </c>
      <c r="B1864">
        <f>HYPERLINK("https://www.suredividend.com/sure-analysis-research-database/","Mannkind Corp")</f>
        <v>0</v>
      </c>
      <c r="C1864" t="s">
        <v>3217</v>
      </c>
      <c r="D1864">
        <v>3.68</v>
      </c>
      <c r="E1864">
        <v>0</v>
      </c>
      <c r="H1864">
        <v>0</v>
      </c>
      <c r="I1864">
        <v>928.300071</v>
      </c>
      <c r="J1864" t="s">
        <v>3219</v>
      </c>
      <c r="K1864">
        <v>-0</v>
      </c>
      <c r="L1864">
        <v>1.281396303246374</v>
      </c>
      <c r="M1864">
        <v>5.53</v>
      </c>
      <c r="N1864">
        <v>2.49</v>
      </c>
    </row>
    <row r="1865" spans="1:14">
      <c r="A1865" s="1" t="s">
        <v>1877</v>
      </c>
      <c r="B1865">
        <f>HYPERLINK("https://www.suredividend.com/sure-analysis-research-database/","Medicinova Inc")</f>
        <v>0</v>
      </c>
      <c r="C1865" t="s">
        <v>3217</v>
      </c>
      <c r="D1865">
        <v>3.06</v>
      </c>
      <c r="E1865">
        <v>0</v>
      </c>
      <c r="H1865">
        <v>0</v>
      </c>
      <c r="I1865">
        <v>150.072333</v>
      </c>
      <c r="J1865">
        <v>0</v>
      </c>
      <c r="K1865" t="s">
        <v>3219</v>
      </c>
      <c r="L1865">
        <v>1.22493285318212</v>
      </c>
      <c r="M1865">
        <v>5.09</v>
      </c>
      <c r="N1865">
        <v>2.09</v>
      </c>
    </row>
    <row r="1866" spans="1:14">
      <c r="A1866" s="1" t="s">
        <v>1878</v>
      </c>
      <c r="B1866">
        <f>HYPERLINK("https://www.suredividend.com/sure-analysis-MNR/","Monmouth Real Estate Investment Corp.")</f>
        <v>0</v>
      </c>
      <c r="C1866" t="s">
        <v>3224</v>
      </c>
      <c r="D1866">
        <v>20.98</v>
      </c>
      <c r="E1866">
        <v>0.025511685754141</v>
      </c>
      <c r="H1866">
        <v>0.535235167121897</v>
      </c>
      <c r="I1866">
        <v>2066.244294</v>
      </c>
      <c r="J1866">
        <v>67.89039902612124</v>
      </c>
      <c r="K1866">
        <v>1.732152644407434</v>
      </c>
      <c r="M1866">
        <v>21.1</v>
      </c>
      <c r="N1866">
        <v>16.87</v>
      </c>
    </row>
    <row r="1867" spans="1:14">
      <c r="A1867" s="1" t="s">
        <v>1879</v>
      </c>
      <c r="B1867">
        <f>HYPERLINK("https://www.suredividend.com/sure-analysis-research-database/","Brigham Minerals Inc")</f>
        <v>0</v>
      </c>
      <c r="C1867" t="s">
        <v>3226</v>
      </c>
      <c r="D1867">
        <v>27.93</v>
      </c>
      <c r="E1867">
        <v>0.05304974714294</v>
      </c>
      <c r="H1867">
        <v>1.481679437702318</v>
      </c>
      <c r="I1867">
        <v>295.997392</v>
      </c>
      <c r="J1867">
        <v>0</v>
      </c>
      <c r="K1867" t="s">
        <v>3219</v>
      </c>
      <c r="L1867">
        <v>0.761475635319068</v>
      </c>
      <c r="M1867">
        <v>28.35</v>
      </c>
      <c r="N1867">
        <v>14.16</v>
      </c>
    </row>
    <row r="1868" spans="1:14">
      <c r="A1868" s="1" t="s">
        <v>1880</v>
      </c>
      <c r="B1868">
        <f>HYPERLINK("https://www.suredividend.com/sure-analysis-research-database/","Monro Inc")</f>
        <v>0</v>
      </c>
      <c r="C1868" t="s">
        <v>3223</v>
      </c>
      <c r="D1868">
        <v>46.27</v>
      </c>
      <c r="E1868">
        <v>0.021874164264623</v>
      </c>
      <c r="F1868">
        <v>0.1818181818181819</v>
      </c>
      <c r="G1868">
        <v>0.07631692251481081</v>
      </c>
      <c r="H1868">
        <v>1.012117580524148</v>
      </c>
      <c r="I1868">
        <v>1552.175271</v>
      </c>
      <c r="J1868">
        <v>24.13808271336153</v>
      </c>
      <c r="K1868">
        <v>0.535511947367274</v>
      </c>
      <c r="L1868">
        <v>0.9613927372648451</v>
      </c>
      <c r="M1868">
        <v>71.3</v>
      </c>
      <c r="N1868">
        <v>42.84</v>
      </c>
    </row>
    <row r="1869" spans="1:14">
      <c r="A1869" s="1" t="s">
        <v>1881</v>
      </c>
      <c r="B1869">
        <f>HYPERLINK("https://www.suredividend.com/sure-analysis-research-database/","MainStreet Bancshares Inc")</f>
        <v>0</v>
      </c>
      <c r="C1869" t="s">
        <v>3221</v>
      </c>
      <c r="D1869">
        <v>23.35</v>
      </c>
      <c r="E1869">
        <v>0.002141327655034</v>
      </c>
      <c r="H1869">
        <v>0.050000000745058</v>
      </c>
      <c r="I1869">
        <v>178.60352</v>
      </c>
      <c r="J1869">
        <v>0</v>
      </c>
      <c r="K1869" t="s">
        <v>3219</v>
      </c>
      <c r="L1869">
        <v>0.309952791003043</v>
      </c>
      <c r="M1869">
        <v>26.8</v>
      </c>
      <c r="N1869">
        <v>20.54</v>
      </c>
    </row>
    <row r="1870" spans="1:14">
      <c r="A1870" s="1" t="s">
        <v>1882</v>
      </c>
      <c r="B1870">
        <f>HYPERLINK("https://www.suredividend.com/sure-analysis-research-database/","Monster Beverage Corp.")</f>
        <v>0</v>
      </c>
      <c r="C1870" t="s">
        <v>3225</v>
      </c>
      <c r="D1870">
        <v>82.59</v>
      </c>
      <c r="E1870">
        <v>0</v>
      </c>
      <c r="H1870">
        <v>0</v>
      </c>
      <c r="I1870">
        <v>43719.748247</v>
      </c>
      <c r="J1870">
        <v>31.73905025310804</v>
      </c>
      <c r="K1870">
        <v>0</v>
      </c>
      <c r="L1870">
        <v>1.061579528894868</v>
      </c>
      <c r="M1870">
        <v>99.89</v>
      </c>
      <c r="N1870">
        <v>71.78</v>
      </c>
    </row>
    <row r="1871" spans="1:14">
      <c r="A1871" s="1" t="s">
        <v>1883</v>
      </c>
      <c r="B1871">
        <f>HYPERLINK("https://www.suredividend.com/sure-analysis-research-database/","Manitex International Inc")</f>
        <v>0</v>
      </c>
      <c r="C1871" t="s">
        <v>3220</v>
      </c>
      <c r="D1871">
        <v>7.69</v>
      </c>
      <c r="E1871">
        <v>0</v>
      </c>
      <c r="H1871">
        <v>0</v>
      </c>
      <c r="I1871">
        <v>153.367722</v>
      </c>
      <c r="J1871" t="s">
        <v>3219</v>
      </c>
      <c r="K1871">
        <v>-0</v>
      </c>
      <c r="L1871">
        <v>0.5236808256615061</v>
      </c>
      <c r="M1871">
        <v>8.859999999999999</v>
      </c>
      <c r="N1871">
        <v>5.58</v>
      </c>
    </row>
    <row r="1872" spans="1:14">
      <c r="A1872" s="1" t="s">
        <v>1884</v>
      </c>
      <c r="B1872">
        <f>HYPERLINK("https://www.suredividend.com/sure-analysis-MO/","Altria Group Inc.")</f>
        <v>0</v>
      </c>
      <c r="C1872" t="s">
        <v>3225</v>
      </c>
      <c r="D1872">
        <v>54.98</v>
      </c>
      <c r="E1872">
        <v>0.06547835576573299</v>
      </c>
      <c r="F1872">
        <v>0.04651162790697683</v>
      </c>
      <c r="G1872">
        <v>0.08089257834057184</v>
      </c>
      <c r="H1872">
        <v>3.467511047274776</v>
      </c>
      <c r="I1872">
        <v>99662.757919</v>
      </c>
      <c r="J1872">
        <v>40.44754785664773</v>
      </c>
      <c r="K1872">
        <v>2.587694811399087</v>
      </c>
      <c r="L1872">
        <v>0.262372723623966</v>
      </c>
      <c r="M1872">
        <v>55.33</v>
      </c>
      <c r="N1872">
        <v>41.02</v>
      </c>
    </row>
    <row r="1873" spans="1:14">
      <c r="A1873" s="1" t="s">
        <v>1885</v>
      </c>
      <c r="B1873">
        <f>HYPERLINK("https://www.suredividend.com/sure-analysis-research-database/","Mobile Iron Inc")</f>
        <v>0</v>
      </c>
      <c r="C1873" t="s">
        <v>3222</v>
      </c>
      <c r="D1873">
        <v>7.04</v>
      </c>
      <c r="E1873">
        <v>0</v>
      </c>
      <c r="H1873">
        <v>0</v>
      </c>
      <c r="I1873">
        <v>0</v>
      </c>
      <c r="J1873">
        <v>0</v>
      </c>
      <c r="K1873" t="s">
        <v>3219</v>
      </c>
    </row>
    <row r="1874" spans="1:14">
      <c r="A1874" s="1" t="s">
        <v>1886</v>
      </c>
      <c r="B1874">
        <f>HYPERLINK("https://www.suredividend.com/sure-analysis-research-database/","Modine Manufacturing Co.")</f>
        <v>0</v>
      </c>
      <c r="C1874" t="s">
        <v>3223</v>
      </c>
      <c r="D1874">
        <v>8.02</v>
      </c>
      <c r="E1874">
        <v>0</v>
      </c>
      <c r="H1874">
        <v>0</v>
      </c>
      <c r="I1874">
        <v>416.349446</v>
      </c>
      <c r="J1874">
        <v>6.737046050485437</v>
      </c>
      <c r="K1874">
        <v>0</v>
      </c>
      <c r="L1874">
        <v>1.174610058741039</v>
      </c>
      <c r="M1874">
        <v>18.54</v>
      </c>
      <c r="N1874">
        <v>7.8</v>
      </c>
    </row>
    <row r="1875" spans="1:14">
      <c r="A1875" s="1" t="s">
        <v>1887</v>
      </c>
      <c r="B1875">
        <f>HYPERLINK("https://www.suredividend.com/sure-analysis-research-database/","Model N Inc")</f>
        <v>0</v>
      </c>
      <c r="C1875" t="s">
        <v>3222</v>
      </c>
      <c r="D1875">
        <v>27.23</v>
      </c>
      <c r="E1875">
        <v>0</v>
      </c>
      <c r="H1875">
        <v>0</v>
      </c>
      <c r="I1875">
        <v>992.062394</v>
      </c>
      <c r="J1875">
        <v>0</v>
      </c>
      <c r="K1875" t="s">
        <v>3219</v>
      </c>
      <c r="L1875">
        <v>1.07890470301603</v>
      </c>
      <c r="M1875">
        <v>42.74</v>
      </c>
      <c r="N1875">
        <v>22.55</v>
      </c>
    </row>
    <row r="1876" spans="1:14">
      <c r="A1876" s="1" t="s">
        <v>1888</v>
      </c>
      <c r="B1876">
        <f>HYPERLINK("https://www.suredividend.com/sure-analysis-research-database/","MidWestOne Financial Group Inc")</f>
        <v>0</v>
      </c>
      <c r="C1876" t="s">
        <v>3221</v>
      </c>
      <c r="D1876">
        <v>32.06</v>
      </c>
      <c r="E1876">
        <v>0.028147537497709</v>
      </c>
      <c r="F1876">
        <v>0.05555555555555558</v>
      </c>
      <c r="G1876">
        <v>0.07556319844021608</v>
      </c>
      <c r="H1876">
        <v>0.9024100521765741</v>
      </c>
      <c r="I1876">
        <v>503.153648</v>
      </c>
      <c r="J1876">
        <v>7.241079462049909</v>
      </c>
      <c r="K1876">
        <v>0.2065011561044792</v>
      </c>
      <c r="L1876">
        <v>0.676945925436748</v>
      </c>
      <c r="M1876">
        <v>34.14</v>
      </c>
      <c r="N1876">
        <v>26.47</v>
      </c>
    </row>
    <row r="1877" spans="1:14">
      <c r="A1877" s="1" t="s">
        <v>1889</v>
      </c>
      <c r="B1877">
        <f>HYPERLINK("https://www.suredividend.com/sure-analysis-research-database/","Molina Healthcare Inc")</f>
        <v>0</v>
      </c>
      <c r="C1877" t="s">
        <v>3217</v>
      </c>
      <c r="D1877">
        <v>335.94</v>
      </c>
      <c r="E1877">
        <v>0</v>
      </c>
      <c r="H1877">
        <v>0</v>
      </c>
      <c r="I1877">
        <v>19710.780629</v>
      </c>
      <c r="J1877">
        <v>29.91013752518968</v>
      </c>
      <c r="K1877">
        <v>0</v>
      </c>
      <c r="L1877">
        <v>0.8753955308762851</v>
      </c>
      <c r="M1877">
        <v>347.62</v>
      </c>
      <c r="N1877">
        <v>239.2</v>
      </c>
    </row>
    <row r="1878" spans="1:14">
      <c r="A1878" s="1" t="s">
        <v>1890</v>
      </c>
      <c r="B1878">
        <f>HYPERLINK("https://www.suredividend.com/sure-analysis-MORN/","Morningstar Inc")</f>
        <v>0</v>
      </c>
      <c r="C1878" t="s">
        <v>3221</v>
      </c>
      <c r="D1878">
        <v>273.92</v>
      </c>
      <c r="E1878">
        <v>0.005257009345794392</v>
      </c>
      <c r="F1878">
        <v>0.1428571428571428</v>
      </c>
      <c r="G1878">
        <v>0.0937421095143891</v>
      </c>
      <c r="H1878">
        <v>1.34765712631236</v>
      </c>
      <c r="I1878">
        <v>11745.677274</v>
      </c>
      <c r="J1878">
        <v>60.76397968753234</v>
      </c>
      <c r="K1878">
        <v>0.3028442980477213</v>
      </c>
      <c r="L1878">
        <v>1.293444300056622</v>
      </c>
      <c r="M1878">
        <v>349.37</v>
      </c>
      <c r="N1878">
        <v>228.51</v>
      </c>
    </row>
    <row r="1879" spans="1:14">
      <c r="A1879" s="1" t="s">
        <v>1891</v>
      </c>
      <c r="B1879">
        <f>HYPERLINK("https://www.suredividend.com/sure-analysis-research-database/","Mosaic Company")</f>
        <v>0</v>
      </c>
      <c r="C1879" t="s">
        <v>3218</v>
      </c>
      <c r="D1879">
        <v>76.05</v>
      </c>
      <c r="E1879">
        <v>0.004424851087926</v>
      </c>
      <c r="F1879">
        <v>1.25</v>
      </c>
      <c r="G1879">
        <v>-0.05591248870509802</v>
      </c>
      <c r="H1879">
        <v>0.336509925236806</v>
      </c>
      <c r="I1879">
        <v>27529.293946</v>
      </c>
      <c r="J1879">
        <v>16.8829228173985</v>
      </c>
      <c r="K1879">
        <v>0.07880794502032928</v>
      </c>
      <c r="L1879">
        <v>0.877469840023793</v>
      </c>
      <c r="M1879">
        <v>77.05</v>
      </c>
      <c r="N1879">
        <v>28.07</v>
      </c>
    </row>
    <row r="1880" spans="1:14">
      <c r="A1880" s="1" t="s">
        <v>1892</v>
      </c>
      <c r="B1880">
        <f>HYPERLINK("https://www.suredividend.com/sure-analysis-research-database/","Motus GI Holdings Inc")</f>
        <v>0</v>
      </c>
      <c r="C1880" t="s">
        <v>3217</v>
      </c>
      <c r="D1880">
        <v>0.2965</v>
      </c>
      <c r="E1880">
        <v>0</v>
      </c>
      <c r="H1880">
        <v>0</v>
      </c>
      <c r="I1880">
        <v>16.268142</v>
      </c>
      <c r="J1880">
        <v>0</v>
      </c>
      <c r="K1880" t="s">
        <v>3219</v>
      </c>
      <c r="L1880">
        <v>1.055908644029777</v>
      </c>
      <c r="M1880">
        <v>1.62</v>
      </c>
      <c r="N1880">
        <v>0.294</v>
      </c>
    </row>
    <row r="1881" spans="1:14">
      <c r="A1881" s="1" t="s">
        <v>1893</v>
      </c>
      <c r="B1881">
        <f>HYPERLINK("https://www.suredividend.com/sure-analysis-research-database/","Movado Group, Inc.")</f>
        <v>0</v>
      </c>
      <c r="C1881" t="s">
        <v>3223</v>
      </c>
      <c r="D1881">
        <v>39.55</v>
      </c>
      <c r="E1881">
        <v>0.025080480444478</v>
      </c>
      <c r="H1881">
        <v>0.9919330015791091</v>
      </c>
      <c r="I1881">
        <v>642.243235</v>
      </c>
      <c r="J1881">
        <v>7.011465571130688</v>
      </c>
      <c r="K1881">
        <v>0.256313437100545</v>
      </c>
      <c r="L1881">
        <v>1.576141874489607</v>
      </c>
      <c r="M1881">
        <v>47.95</v>
      </c>
      <c r="N1881">
        <v>27.1</v>
      </c>
    </row>
    <row r="1882" spans="1:14">
      <c r="A1882" s="1" t="s">
        <v>1894</v>
      </c>
      <c r="B1882">
        <f>HYPERLINK("https://www.suredividend.com/sure-analysis-research-database/","Motorcar Parts of America Inc.")</f>
        <v>0</v>
      </c>
      <c r="C1882" t="s">
        <v>3223</v>
      </c>
      <c r="D1882">
        <v>15.78</v>
      </c>
      <c r="E1882">
        <v>0</v>
      </c>
      <c r="H1882">
        <v>0</v>
      </c>
      <c r="I1882">
        <v>301.425631</v>
      </c>
      <c r="J1882">
        <v>0</v>
      </c>
      <c r="K1882" t="s">
        <v>3219</v>
      </c>
      <c r="L1882">
        <v>1.117687504165541</v>
      </c>
      <c r="M1882">
        <v>25.68</v>
      </c>
      <c r="N1882">
        <v>15.17</v>
      </c>
    </row>
    <row r="1883" spans="1:14">
      <c r="A1883" s="1" t="s">
        <v>1895</v>
      </c>
      <c r="B1883">
        <f>HYPERLINK("https://www.suredividend.com/sure-analysis-research-database/","Mid Penn Bancorp, Inc.")</f>
        <v>0</v>
      </c>
      <c r="C1883" t="s">
        <v>3221</v>
      </c>
      <c r="D1883">
        <v>26.39</v>
      </c>
      <c r="E1883">
        <v>0.030002314685678</v>
      </c>
      <c r="F1883">
        <v>0.05263157894736836</v>
      </c>
      <c r="G1883">
        <v>0.05922384104881218</v>
      </c>
      <c r="H1883">
        <v>0.7917610845550561</v>
      </c>
      <c r="I1883">
        <v>421.127134</v>
      </c>
      <c r="J1883">
        <v>0</v>
      </c>
      <c r="K1883" t="s">
        <v>3219</v>
      </c>
      <c r="L1883">
        <v>0.5943544721914611</v>
      </c>
      <c r="M1883">
        <v>33.66</v>
      </c>
      <c r="N1883">
        <v>23.42</v>
      </c>
    </row>
    <row r="1884" spans="1:14">
      <c r="A1884" s="1" t="s">
        <v>1896</v>
      </c>
      <c r="B1884">
        <f>HYPERLINK("https://www.suredividend.com/sure-analysis-MPC/","Marathon Petroleum Corp")</f>
        <v>0</v>
      </c>
      <c r="C1884" t="s">
        <v>3226</v>
      </c>
      <c r="D1884">
        <v>87.2</v>
      </c>
      <c r="E1884">
        <v>0.02660550458715596</v>
      </c>
      <c r="F1884">
        <v>0</v>
      </c>
      <c r="G1884">
        <v>0.100082101138866</v>
      </c>
      <c r="H1884">
        <v>2.291480170216542</v>
      </c>
      <c r="I1884">
        <v>48707.692825</v>
      </c>
      <c r="J1884">
        <v>5.002844373952342</v>
      </c>
      <c r="K1884">
        <v>0.150162527537126</v>
      </c>
      <c r="L1884">
        <v>0.8245080389375951</v>
      </c>
      <c r="M1884">
        <v>88.31999999999999</v>
      </c>
      <c r="N1884">
        <v>48.89</v>
      </c>
    </row>
    <row r="1885" spans="1:14">
      <c r="A1885" s="1" t="s">
        <v>1897</v>
      </c>
      <c r="B1885">
        <f>HYPERLINK("https://www.suredividend.com/sure-analysis-MPW/","Medical Properties Trust Inc")</f>
        <v>0</v>
      </c>
      <c r="C1885" t="s">
        <v>3224</v>
      </c>
      <c r="D1885">
        <v>20.23</v>
      </c>
      <c r="E1885">
        <v>0.05734058329214038</v>
      </c>
      <c r="F1885">
        <v>0.03571428571428559</v>
      </c>
      <c r="G1885">
        <v>0.03857377308425858</v>
      </c>
      <c r="H1885">
        <v>1.107246770574106</v>
      </c>
      <c r="I1885">
        <v>12063.149</v>
      </c>
      <c r="J1885">
        <v>18.44913131251338</v>
      </c>
      <c r="K1885">
        <v>0.9975196131298252</v>
      </c>
      <c r="L1885">
        <v>0.7063029028673771</v>
      </c>
      <c r="M1885">
        <v>23.78</v>
      </c>
      <c r="N1885">
        <v>18.61</v>
      </c>
    </row>
    <row r="1886" spans="1:14">
      <c r="A1886" s="1" t="s">
        <v>1898</v>
      </c>
      <c r="B1886">
        <f>HYPERLINK("https://www.suredividend.com/sure-analysis-MPWR/","Monolithic Power System Inc")</f>
        <v>0</v>
      </c>
      <c r="C1886" t="s">
        <v>3222</v>
      </c>
      <c r="D1886">
        <v>409.38</v>
      </c>
      <c r="E1886">
        <v>0.007328154770628756</v>
      </c>
      <c r="F1886">
        <v>0.2499999999999998</v>
      </c>
      <c r="G1886">
        <v>0.3025855423486761</v>
      </c>
      <c r="H1886">
        <v>2.54518917867041</v>
      </c>
      <c r="I1886">
        <v>19039.85442</v>
      </c>
      <c r="J1886">
        <v>78.66960751664098</v>
      </c>
      <c r="K1886">
        <v>0.5039978571624575</v>
      </c>
      <c r="L1886">
        <v>1.943876049972573</v>
      </c>
      <c r="M1886">
        <v>578.45</v>
      </c>
      <c r="N1886">
        <v>299.88</v>
      </c>
    </row>
    <row r="1887" spans="1:14">
      <c r="A1887" s="1" t="s">
        <v>1899</v>
      </c>
      <c r="B1887">
        <f>HYPERLINK("https://www.suredividend.com/sure-analysis-research-database/","Marine Products Corp")</f>
        <v>0</v>
      </c>
      <c r="C1887" t="s">
        <v>3223</v>
      </c>
      <c r="D1887">
        <v>13.21</v>
      </c>
      <c r="E1887">
        <v>0.035847888930802</v>
      </c>
      <c r="F1887">
        <v>0.2</v>
      </c>
      <c r="G1887">
        <v>0.03713728933664817</v>
      </c>
      <c r="H1887">
        <v>0.473550612775907</v>
      </c>
      <c r="I1887">
        <v>451.068383</v>
      </c>
      <c r="J1887">
        <v>15.84920529128602</v>
      </c>
      <c r="K1887">
        <v>0.5654335674936203</v>
      </c>
      <c r="L1887">
        <v>0.8723064838646121</v>
      </c>
      <c r="M1887">
        <v>18.25</v>
      </c>
      <c r="N1887">
        <v>10.71</v>
      </c>
    </row>
    <row r="1888" spans="1:14">
      <c r="A1888" s="1" t="s">
        <v>1900</v>
      </c>
      <c r="B1888">
        <f>HYPERLINK("https://www.suredividend.com/sure-analysis-research-database/","Everspin Technologies Inc")</f>
        <v>0</v>
      </c>
      <c r="C1888" t="s">
        <v>3222</v>
      </c>
      <c r="D1888">
        <v>7.47</v>
      </c>
      <c r="E1888">
        <v>0</v>
      </c>
      <c r="H1888">
        <v>0</v>
      </c>
      <c r="I1888">
        <v>149.019501</v>
      </c>
      <c r="J1888">
        <v>0</v>
      </c>
      <c r="K1888" t="s">
        <v>3219</v>
      </c>
      <c r="L1888">
        <v>2.446671388884029</v>
      </c>
      <c r="M1888">
        <v>14.36</v>
      </c>
      <c r="N1888">
        <v>4.78</v>
      </c>
    </row>
    <row r="1889" spans="1:14">
      <c r="A1889" s="1" t="s">
        <v>1901</v>
      </c>
      <c r="B1889">
        <f>HYPERLINK("https://www.suredividend.com/sure-analysis-research-database/","Meridian Corp")</f>
        <v>0</v>
      </c>
      <c r="C1889" t="s">
        <v>3221</v>
      </c>
      <c r="D1889">
        <v>31.38</v>
      </c>
      <c r="E1889">
        <v>0.020572270905867</v>
      </c>
      <c r="H1889">
        <v>0.6455578610261341</v>
      </c>
      <c r="I1889">
        <v>192.334798</v>
      </c>
      <c r="J1889">
        <v>0</v>
      </c>
      <c r="K1889" t="s">
        <v>3219</v>
      </c>
      <c r="M1889">
        <v>39.57</v>
      </c>
      <c r="N1889">
        <v>23.52</v>
      </c>
    </row>
    <row r="1890" spans="1:14">
      <c r="A1890" s="1" t="s">
        <v>1902</v>
      </c>
      <c r="B1890">
        <f>HYPERLINK("https://www.suredividend.com/sure-analysis-research-database/","MRC Global Inc")</f>
        <v>0</v>
      </c>
      <c r="C1890" t="s">
        <v>3226</v>
      </c>
      <c r="D1890">
        <v>12.05</v>
      </c>
      <c r="E1890">
        <v>0</v>
      </c>
      <c r="H1890">
        <v>0</v>
      </c>
      <c r="I1890">
        <v>1002.565784</v>
      </c>
      <c r="J1890" t="s">
        <v>3219</v>
      </c>
      <c r="K1890">
        <v>-0</v>
      </c>
      <c r="L1890">
        <v>0.6344380637717461</v>
      </c>
      <c r="M1890">
        <v>12.49</v>
      </c>
      <c r="N1890">
        <v>6.38</v>
      </c>
    </row>
    <row r="1891" spans="1:14">
      <c r="A1891" s="1" t="s">
        <v>1903</v>
      </c>
      <c r="B1891">
        <f>HYPERLINK("https://www.suredividend.com/sure-analysis-research-database/","Mercury Systems Inc")</f>
        <v>0</v>
      </c>
      <c r="C1891" t="s">
        <v>3220</v>
      </c>
      <c r="D1891">
        <v>61.23</v>
      </c>
      <c r="E1891">
        <v>0</v>
      </c>
      <c r="H1891">
        <v>0</v>
      </c>
      <c r="I1891">
        <v>3475.033092</v>
      </c>
      <c r="J1891">
        <v>146.1264493578907</v>
      </c>
      <c r="K1891">
        <v>0</v>
      </c>
      <c r="L1891">
        <v>0.69882566966055</v>
      </c>
      <c r="M1891">
        <v>79.08</v>
      </c>
      <c r="N1891">
        <v>44.44</v>
      </c>
    </row>
    <row r="1892" spans="1:14">
      <c r="A1892" s="1" t="s">
        <v>1904</v>
      </c>
      <c r="B1892">
        <f>HYPERLINK("https://www.suredividend.com/sure-analysis-research-database/","Marin Software Inc")</f>
        <v>0</v>
      </c>
      <c r="C1892" t="s">
        <v>3222</v>
      </c>
      <c r="D1892">
        <v>2.51</v>
      </c>
      <c r="E1892">
        <v>0</v>
      </c>
      <c r="H1892">
        <v>0</v>
      </c>
      <c r="I1892">
        <v>38.99922</v>
      </c>
      <c r="J1892">
        <v>0</v>
      </c>
      <c r="K1892" t="s">
        <v>3219</v>
      </c>
      <c r="L1892">
        <v>2.470692845335082</v>
      </c>
      <c r="M1892">
        <v>27.26</v>
      </c>
      <c r="N1892">
        <v>1.34</v>
      </c>
    </row>
    <row r="1893" spans="1:14">
      <c r="A1893" s="1" t="s">
        <v>1905</v>
      </c>
      <c r="B1893">
        <f>HYPERLINK("https://www.suredividend.com/sure-analysis-MRK/","Merck &amp; Co Inc")</f>
        <v>0</v>
      </c>
      <c r="C1893" t="s">
        <v>3217</v>
      </c>
      <c r="D1893">
        <v>86.91</v>
      </c>
      <c r="E1893">
        <v>0.03175698998964446</v>
      </c>
      <c r="F1893">
        <v>0.06153846153846154</v>
      </c>
      <c r="G1893">
        <v>0.07981721406627784</v>
      </c>
      <c r="H1893">
        <v>2.644675500083651</v>
      </c>
      <c r="I1893">
        <v>219692.098508</v>
      </c>
      <c r="J1893">
        <v>16.83593367368534</v>
      </c>
      <c r="K1893">
        <v>0.5145283074092707</v>
      </c>
      <c r="L1893">
        <v>0.208682139355483</v>
      </c>
      <c r="M1893">
        <v>89.73999999999999</v>
      </c>
      <c r="N1893">
        <v>14.78</v>
      </c>
    </row>
    <row r="1894" spans="1:14">
      <c r="A1894" s="1" t="s">
        <v>1906</v>
      </c>
      <c r="B1894">
        <f>HYPERLINK("https://www.suredividend.com/sure-analysis-research-database/","Marker Therapeutics Inc")</f>
        <v>0</v>
      </c>
      <c r="C1894" t="s">
        <v>3217</v>
      </c>
      <c r="D1894">
        <v>0.4042</v>
      </c>
      <c r="E1894">
        <v>0</v>
      </c>
      <c r="H1894">
        <v>0</v>
      </c>
      <c r="I1894">
        <v>33.5804</v>
      </c>
      <c r="J1894">
        <v>0</v>
      </c>
      <c r="K1894" t="s">
        <v>3219</v>
      </c>
      <c r="L1894">
        <v>1.837280394615577</v>
      </c>
      <c r="M1894">
        <v>3.65</v>
      </c>
      <c r="N1894">
        <v>0.35</v>
      </c>
    </row>
    <row r="1895" spans="1:14">
      <c r="A1895" s="1" t="s">
        <v>1907</v>
      </c>
      <c r="B1895">
        <f>HYPERLINK("https://www.suredividend.com/sure-analysis-research-database/","Marlin Business Services Corp")</f>
        <v>0</v>
      </c>
      <c r="C1895" t="s">
        <v>3221</v>
      </c>
      <c r="D1895">
        <v>23.49</v>
      </c>
      <c r="E1895">
        <v>0</v>
      </c>
      <c r="H1895">
        <v>0.560000002384185</v>
      </c>
      <c r="I1895">
        <v>0</v>
      </c>
      <c r="J1895">
        <v>0</v>
      </c>
      <c r="K1895">
        <v>0.1772151906279066</v>
      </c>
    </row>
    <row r="1896" spans="1:14">
      <c r="A1896" s="1" t="s">
        <v>1908</v>
      </c>
      <c r="B1896">
        <f>HYPERLINK("https://www.suredividend.com/sure-analysis-research-database/","Marinus Pharmaceuticals Inc")</f>
        <v>0</v>
      </c>
      <c r="C1896" t="s">
        <v>3217</v>
      </c>
      <c r="D1896">
        <v>7.8</v>
      </c>
      <c r="E1896">
        <v>0</v>
      </c>
      <c r="H1896">
        <v>0</v>
      </c>
      <c r="I1896">
        <v>288.720268</v>
      </c>
      <c r="J1896">
        <v>0</v>
      </c>
      <c r="K1896" t="s">
        <v>3219</v>
      </c>
      <c r="L1896">
        <v>1.738147753558052</v>
      </c>
      <c r="M1896">
        <v>19.83</v>
      </c>
      <c r="N1896">
        <v>7.16</v>
      </c>
    </row>
    <row r="1897" spans="1:14">
      <c r="A1897" s="1" t="s">
        <v>1909</v>
      </c>
      <c r="B1897">
        <f>HYPERLINK("https://www.suredividend.com/sure-analysis-research-database/","Marathon Oil Corporation")</f>
        <v>0</v>
      </c>
      <c r="C1897" t="s">
        <v>3226</v>
      </c>
      <c r="D1897">
        <v>26.61</v>
      </c>
      <c r="E1897">
        <v>0.00823050138689</v>
      </c>
      <c r="H1897">
        <v>0.21901364190516</v>
      </c>
      <c r="I1897">
        <v>19120.904644</v>
      </c>
      <c r="J1897">
        <v>20.2123727740592</v>
      </c>
      <c r="K1897">
        <v>0.1825113682543</v>
      </c>
      <c r="L1897">
        <v>0.8615700471645261</v>
      </c>
      <c r="M1897">
        <v>26.95</v>
      </c>
      <c r="N1897">
        <v>9.56</v>
      </c>
    </row>
    <row r="1898" spans="1:14">
      <c r="A1898" s="1" t="s">
        <v>1910</v>
      </c>
      <c r="B1898">
        <f>HYPERLINK("https://www.suredividend.com/sure-analysis-research-database/","Mersana Therapeutics Inc")</f>
        <v>0</v>
      </c>
      <c r="C1898" t="s">
        <v>3217</v>
      </c>
      <c r="D1898">
        <v>4.91</v>
      </c>
      <c r="E1898">
        <v>0</v>
      </c>
      <c r="H1898">
        <v>0</v>
      </c>
      <c r="I1898">
        <v>409.443947</v>
      </c>
      <c r="J1898">
        <v>0</v>
      </c>
      <c r="K1898" t="s">
        <v>3219</v>
      </c>
      <c r="L1898">
        <v>1.65829468551685</v>
      </c>
      <c r="M1898">
        <v>17.16</v>
      </c>
      <c r="N1898">
        <v>3.51</v>
      </c>
    </row>
    <row r="1899" spans="1:14">
      <c r="A1899" s="1" t="s">
        <v>1911</v>
      </c>
      <c r="B1899">
        <f>HYPERLINK("https://www.suredividend.com/sure-analysis-research-database/","Marten Transport, Ltd.")</f>
        <v>0</v>
      </c>
      <c r="C1899" t="s">
        <v>3220</v>
      </c>
      <c r="D1899">
        <v>15.87</v>
      </c>
      <c r="E1899">
        <v>0.011226510161874</v>
      </c>
      <c r="F1899">
        <v>0.5</v>
      </c>
      <c r="G1899">
        <v>0.1913578981670916</v>
      </c>
      <c r="H1899">
        <v>0.178164716268945</v>
      </c>
      <c r="I1899">
        <v>1319.318456</v>
      </c>
      <c r="J1899">
        <v>15.44363038418317</v>
      </c>
      <c r="K1899">
        <v>0.17467129045975</v>
      </c>
      <c r="L1899">
        <v>0.5915532583256</v>
      </c>
      <c r="M1899">
        <v>19.94</v>
      </c>
      <c r="N1899">
        <v>14.24</v>
      </c>
    </row>
    <row r="1900" spans="1:14">
      <c r="A1900" s="1" t="s">
        <v>1912</v>
      </c>
      <c r="B1900">
        <f>HYPERLINK("https://www.suredividend.com/sure-analysis-research-database/","Mirati Therapeutics Inc")</f>
        <v>0</v>
      </c>
      <c r="C1900" t="s">
        <v>3217</v>
      </c>
      <c r="D1900">
        <v>81.94</v>
      </c>
      <c r="E1900">
        <v>0</v>
      </c>
      <c r="H1900">
        <v>0</v>
      </c>
      <c r="I1900">
        <v>4546.708106</v>
      </c>
      <c r="J1900" t="s">
        <v>3219</v>
      </c>
      <c r="K1900">
        <v>-0</v>
      </c>
      <c r="L1900">
        <v>1.022003602516226</v>
      </c>
      <c r="M1900">
        <v>195.99</v>
      </c>
      <c r="N1900">
        <v>75.06999999999999</v>
      </c>
    </row>
    <row r="1901" spans="1:14">
      <c r="A1901" s="1" t="s">
        <v>1913</v>
      </c>
      <c r="B1901">
        <f>HYPERLINK("https://www.suredividend.com/sure-analysis-MRVL/","Marvell Technology Inc")</f>
        <v>0</v>
      </c>
      <c r="C1901" t="s">
        <v>3222</v>
      </c>
      <c r="D1901">
        <v>60.97</v>
      </c>
      <c r="E1901">
        <v>0.003936362145317369</v>
      </c>
      <c r="F1901">
        <v>0</v>
      </c>
      <c r="G1901">
        <v>0</v>
      </c>
      <c r="H1901">
        <v>0.239695728572645</v>
      </c>
      <c r="I1901">
        <v>51690.366</v>
      </c>
      <c r="J1901" t="s">
        <v>3219</v>
      </c>
      <c r="K1901" t="s">
        <v>3219</v>
      </c>
      <c r="M1901">
        <v>93.7</v>
      </c>
      <c r="N1901">
        <v>40.69</v>
      </c>
    </row>
    <row r="1902" spans="1:14">
      <c r="A1902" s="1" t="s">
        <v>1914</v>
      </c>
      <c r="B1902">
        <f>HYPERLINK("https://www.suredividend.com/sure-analysis-MS/","Morgan Stanley")</f>
        <v>0</v>
      </c>
      <c r="C1902" t="s">
        <v>3221</v>
      </c>
      <c r="D1902">
        <v>84.76000000000001</v>
      </c>
      <c r="E1902">
        <v>0.03303445021236432</v>
      </c>
      <c r="F1902">
        <v>1</v>
      </c>
      <c r="G1902">
        <v>0.2847351571234393</v>
      </c>
      <c r="H1902">
        <v>2.428209395469385</v>
      </c>
      <c r="I1902">
        <v>148852.167625</v>
      </c>
      <c r="J1902">
        <v>10.21915197203625</v>
      </c>
      <c r="K1902">
        <v>0.302392203669911</v>
      </c>
      <c r="L1902">
        <v>1.146399519649076</v>
      </c>
      <c r="M1902">
        <v>109.73</v>
      </c>
      <c r="N1902">
        <v>74.34</v>
      </c>
    </row>
    <row r="1903" spans="1:14">
      <c r="A1903" s="1" t="s">
        <v>1915</v>
      </c>
      <c r="B1903">
        <f>HYPERLINK("https://www.suredividend.com/sure-analysis-MSA/","MSA Safety Inc")</f>
        <v>0</v>
      </c>
      <c r="C1903" t="s">
        <v>3220</v>
      </c>
      <c r="D1903">
        <v>126.4</v>
      </c>
      <c r="E1903">
        <v>0.01392405063291139</v>
      </c>
      <c r="F1903">
        <v>0.02325581395348841</v>
      </c>
      <c r="G1903">
        <v>0.04683184708394994</v>
      </c>
      <c r="H1903">
        <v>1.752096640800352</v>
      </c>
      <c r="I1903">
        <v>4964.603194</v>
      </c>
      <c r="J1903">
        <v>233.3538516380729</v>
      </c>
      <c r="K1903">
        <v>3.248834861487766</v>
      </c>
      <c r="L1903">
        <v>0.9647003369366191</v>
      </c>
      <c r="M1903">
        <v>170.8</v>
      </c>
      <c r="N1903">
        <v>126.23</v>
      </c>
    </row>
    <row r="1904" spans="1:14">
      <c r="A1904" s="1" t="s">
        <v>1916</v>
      </c>
      <c r="B1904">
        <f>HYPERLINK("https://www.suredividend.com/sure-analysis-research-database/","Midland States Bancorp Inc")</f>
        <v>0</v>
      </c>
      <c r="C1904" t="s">
        <v>3221</v>
      </c>
      <c r="D1904">
        <v>27.15</v>
      </c>
      <c r="E1904">
        <v>0.040985547153202</v>
      </c>
      <c r="F1904">
        <v>0.03571428571428559</v>
      </c>
      <c r="G1904">
        <v>0.07714358779274311</v>
      </c>
      <c r="H1904">
        <v>1.112757605209457</v>
      </c>
      <c r="I1904">
        <v>605.146676</v>
      </c>
      <c r="J1904">
        <v>7.441822445491102</v>
      </c>
      <c r="K1904">
        <v>0.3082431039361377</v>
      </c>
      <c r="L1904">
        <v>0.62481227373111</v>
      </c>
      <c r="M1904">
        <v>30.48</v>
      </c>
      <c r="N1904">
        <v>22.04</v>
      </c>
    </row>
    <row r="1905" spans="1:14">
      <c r="A1905" s="1" t="s">
        <v>1917</v>
      </c>
      <c r="B1905">
        <f>HYPERLINK("https://www.suredividend.com/sure-analysis-research-database/","MSCI Inc")</f>
        <v>0</v>
      </c>
      <c r="C1905" t="s">
        <v>3221</v>
      </c>
      <c r="D1905">
        <v>482.7</v>
      </c>
      <c r="E1905">
        <v>0.008059541643395</v>
      </c>
      <c r="F1905">
        <v>0.3333333333333333</v>
      </c>
      <c r="G1905">
        <v>0.3000949207886645</v>
      </c>
      <c r="H1905">
        <v>3.890340751267033</v>
      </c>
      <c r="I1905">
        <v>39228.019674</v>
      </c>
      <c r="J1905">
        <v>54.03435021798031</v>
      </c>
      <c r="K1905">
        <v>0.4471656035939119</v>
      </c>
      <c r="L1905">
        <v>1.448829741064552</v>
      </c>
      <c r="M1905">
        <v>678.55</v>
      </c>
      <c r="N1905">
        <v>440.71</v>
      </c>
    </row>
    <row r="1906" spans="1:14">
      <c r="A1906" s="1" t="s">
        <v>1918</v>
      </c>
      <c r="B1906">
        <f>HYPERLINK("https://www.suredividend.com/sure-analysis-MSEX/","Middlesex Water Co.")</f>
        <v>0</v>
      </c>
      <c r="C1906" t="s">
        <v>3227</v>
      </c>
      <c r="D1906">
        <v>95.73999999999999</v>
      </c>
      <c r="E1906">
        <v>0.01211614790056403</v>
      </c>
      <c r="F1906">
        <v>0.06422018348623837</v>
      </c>
      <c r="G1906">
        <v>0.06541855500591232</v>
      </c>
      <c r="H1906">
        <v>1.1187539973279</v>
      </c>
      <c r="I1906">
        <v>1680.36577</v>
      </c>
      <c r="J1906">
        <v>46.13474371413668</v>
      </c>
      <c r="K1906">
        <v>0.5404608682743478</v>
      </c>
      <c r="L1906">
        <v>0.341401349602417</v>
      </c>
      <c r="M1906">
        <v>121.06</v>
      </c>
      <c r="N1906">
        <v>76.18000000000001</v>
      </c>
    </row>
    <row r="1907" spans="1:14">
      <c r="A1907" s="1" t="s">
        <v>1919</v>
      </c>
      <c r="B1907">
        <f>HYPERLINK("https://www.suredividend.com/sure-analysis-MSFT/","Microsoft Corporation")</f>
        <v>0</v>
      </c>
      <c r="C1907" t="s">
        <v>3222</v>
      </c>
      <c r="D1907">
        <v>279.83</v>
      </c>
      <c r="E1907">
        <v>0.008862523675088448</v>
      </c>
      <c r="F1907">
        <v>0.107142857142857</v>
      </c>
      <c r="G1907">
        <v>0.09714850709074052</v>
      </c>
      <c r="H1907">
        <v>2.353302564447901</v>
      </c>
      <c r="I1907">
        <v>2097848.132547</v>
      </c>
      <c r="J1907">
        <v>29.47036780989309</v>
      </c>
      <c r="K1907">
        <v>0.2503513366433937</v>
      </c>
      <c r="L1907">
        <v>1.281450059421747</v>
      </c>
      <c r="M1907">
        <v>348.95</v>
      </c>
      <c r="N1907">
        <v>236.15</v>
      </c>
    </row>
    <row r="1908" spans="1:14">
      <c r="A1908" s="1" t="s">
        <v>1920</v>
      </c>
      <c r="B1908">
        <f>HYPERLINK("https://www.suredividend.com/sure-analysis-research-database/","MSG Networks Inc")</f>
        <v>0</v>
      </c>
      <c r="C1908" t="s">
        <v>3228</v>
      </c>
      <c r="D1908">
        <v>14.17</v>
      </c>
      <c r="E1908">
        <v>0</v>
      </c>
      <c r="H1908">
        <v>0</v>
      </c>
      <c r="I1908">
        <v>615.8265</v>
      </c>
      <c r="J1908">
        <v>3.458980434404084</v>
      </c>
      <c r="K1908">
        <v>0</v>
      </c>
      <c r="L1908">
        <v>0.546654455266538</v>
      </c>
      <c r="M1908">
        <v>20.9</v>
      </c>
      <c r="N1908">
        <v>8.57</v>
      </c>
    </row>
    <row r="1909" spans="1:14">
      <c r="A1909" s="1" t="s">
        <v>1921</v>
      </c>
      <c r="B1909">
        <f>HYPERLINK("https://www.suredividend.com/sure-analysis-research-database/","Motorola Solutions Inc")</f>
        <v>0</v>
      </c>
      <c r="C1909" t="s">
        <v>3222</v>
      </c>
      <c r="D1909">
        <v>233.19</v>
      </c>
      <c r="E1909">
        <v>0.012804195687158</v>
      </c>
      <c r="F1909">
        <v>0.1126760563380282</v>
      </c>
      <c r="G1909">
        <v>0.1094451773656906</v>
      </c>
      <c r="H1909">
        <v>2.985810392288564</v>
      </c>
      <c r="I1909">
        <v>39047.241794</v>
      </c>
      <c r="J1909">
        <v>31.3632464206988</v>
      </c>
      <c r="K1909">
        <v>0.4164310170555878</v>
      </c>
      <c r="L1909">
        <v>1.093695485488218</v>
      </c>
      <c r="M1909">
        <v>272.67</v>
      </c>
      <c r="N1909">
        <v>182.19</v>
      </c>
    </row>
    <row r="1910" spans="1:14">
      <c r="A1910" s="1" t="s">
        <v>1922</v>
      </c>
      <c r="B1910">
        <f>HYPERLINK("https://www.suredividend.com/sure-analysis-MSM/","MSC Industrial Direct Co., Inc.")</f>
        <v>0</v>
      </c>
      <c r="C1910" t="s">
        <v>3220</v>
      </c>
      <c r="D1910">
        <v>85.02</v>
      </c>
      <c r="E1910">
        <v>0.03528581510232887</v>
      </c>
      <c r="F1910">
        <v>0</v>
      </c>
      <c r="G1910">
        <v>0.0527534030599619</v>
      </c>
      <c r="H1910">
        <v>2.960292935350108</v>
      </c>
      <c r="I1910">
        <v>4011.886776</v>
      </c>
      <c r="J1910">
        <v>13.53693330645216</v>
      </c>
      <c r="K1910">
        <v>0.5596016891020998</v>
      </c>
      <c r="L1910">
        <v>0.56308484878078</v>
      </c>
      <c r="M1910">
        <v>92.93000000000001</v>
      </c>
      <c r="N1910">
        <v>73.54000000000001</v>
      </c>
    </row>
    <row r="1911" spans="1:14">
      <c r="A1911" s="1" t="s">
        <v>1923</v>
      </c>
      <c r="B1911">
        <f>HYPERLINK("https://www.suredividend.com/sure-analysis-research-database/","Emerson Radio Corp.")</f>
        <v>0</v>
      </c>
      <c r="C1911" t="s">
        <v>3222</v>
      </c>
      <c r="D1911">
        <v>0.7095</v>
      </c>
      <c r="E1911">
        <v>0</v>
      </c>
      <c r="H1911">
        <v>0</v>
      </c>
      <c r="I1911">
        <v>14.929762</v>
      </c>
      <c r="J1911" t="s">
        <v>3219</v>
      </c>
      <c r="K1911">
        <v>-0</v>
      </c>
      <c r="L1911">
        <v>0.9095668808512281</v>
      </c>
      <c r="M1911">
        <v>1.64</v>
      </c>
      <c r="N1911">
        <v>0.64</v>
      </c>
    </row>
    <row r="1912" spans="1:14">
      <c r="A1912" s="1" t="s">
        <v>1924</v>
      </c>
      <c r="B1912">
        <f>HYPERLINK("https://www.suredividend.com/sure-analysis-research-database/","Misonix Inc")</f>
        <v>0</v>
      </c>
      <c r="C1912" t="s">
        <v>3217</v>
      </c>
      <c r="D1912">
        <v>26.54</v>
      </c>
      <c r="E1912">
        <v>0</v>
      </c>
      <c r="H1912">
        <v>0</v>
      </c>
      <c r="I1912">
        <v>0</v>
      </c>
      <c r="J1912">
        <v>0</v>
      </c>
      <c r="K1912">
        <v>-0</v>
      </c>
    </row>
    <row r="1913" spans="1:14">
      <c r="A1913" s="1" t="s">
        <v>1925</v>
      </c>
      <c r="B1913">
        <f>HYPERLINK("https://www.suredividend.com/sure-analysis-research-database/","Microstrategy Inc.")</f>
        <v>0</v>
      </c>
      <c r="C1913" t="s">
        <v>3222</v>
      </c>
      <c r="D1913">
        <v>449.19</v>
      </c>
      <c r="E1913">
        <v>0</v>
      </c>
      <c r="H1913">
        <v>0</v>
      </c>
      <c r="I1913">
        <v>4162.890335</v>
      </c>
      <c r="J1913" t="s">
        <v>3219</v>
      </c>
      <c r="K1913">
        <v>-0</v>
      </c>
      <c r="L1913">
        <v>2.309295120339933</v>
      </c>
      <c r="M1913">
        <v>891.38</v>
      </c>
      <c r="N1913">
        <v>307.19</v>
      </c>
    </row>
    <row r="1914" spans="1:14">
      <c r="A1914" s="1" t="s">
        <v>1926</v>
      </c>
      <c r="B1914">
        <f>HYPERLINK("https://www.suredividend.com/sure-analysis-MTB/","M &amp; T Bank Corp")</f>
        <v>0</v>
      </c>
      <c r="C1914" t="s">
        <v>3221</v>
      </c>
      <c r="D1914">
        <v>159.56</v>
      </c>
      <c r="E1914">
        <v>0.03008272750062672</v>
      </c>
      <c r="F1914">
        <v>0.09090909090909083</v>
      </c>
      <c r="G1914">
        <v>0.09856054330611763</v>
      </c>
      <c r="H1914">
        <v>4.55100892023526</v>
      </c>
      <c r="I1914">
        <v>20592.177753</v>
      </c>
      <c r="J1914">
        <v>11.58831980008745</v>
      </c>
      <c r="K1914">
        <v>0.3297832550895116</v>
      </c>
      <c r="L1914">
        <v>1.070807533176337</v>
      </c>
      <c r="M1914">
        <v>186.69</v>
      </c>
      <c r="N1914">
        <v>125.58</v>
      </c>
    </row>
    <row r="1915" spans="1:14">
      <c r="A1915" s="1" t="s">
        <v>1927</v>
      </c>
      <c r="B1915">
        <f>HYPERLINK("https://www.suredividend.com/sure-analysis-research-database/","Match Group Inc.")</f>
        <v>0</v>
      </c>
      <c r="C1915" t="s">
        <v>3228</v>
      </c>
      <c r="D1915">
        <v>92.09999999999999</v>
      </c>
      <c r="E1915">
        <v>0</v>
      </c>
      <c r="H1915">
        <v>0</v>
      </c>
      <c r="I1915">
        <v>26262.157325</v>
      </c>
      <c r="J1915">
        <v>94.56241407733604</v>
      </c>
      <c r="K1915">
        <v>0</v>
      </c>
      <c r="L1915">
        <v>1.701556264585887</v>
      </c>
      <c r="M1915">
        <v>182</v>
      </c>
      <c r="N1915">
        <v>84.2</v>
      </c>
    </row>
    <row r="1916" spans="1:14">
      <c r="A1916" s="1" t="s">
        <v>1928</v>
      </c>
      <c r="B1916">
        <f>HYPERLINK("https://www.suredividend.com/sure-analysis-research-database/","Mettler-Toledo International, Inc.")</f>
        <v>0</v>
      </c>
      <c r="C1916" t="s">
        <v>3217</v>
      </c>
      <c r="D1916">
        <v>1318.36</v>
      </c>
      <c r="E1916">
        <v>0</v>
      </c>
      <c r="H1916">
        <v>0</v>
      </c>
      <c r="I1916">
        <v>29973.692432</v>
      </c>
      <c r="J1916">
        <v>38.97825371418168</v>
      </c>
      <c r="K1916">
        <v>0</v>
      </c>
      <c r="L1916">
        <v>1.148048543657904</v>
      </c>
      <c r="M1916">
        <v>1714.75</v>
      </c>
      <c r="N1916">
        <v>1225.56</v>
      </c>
    </row>
    <row r="1917" spans="1:14">
      <c r="A1917" s="1" t="s">
        <v>1929</v>
      </c>
      <c r="B1917">
        <f>HYPERLINK("https://www.suredividend.com/sure-analysis-research-database/","Matador Resources Co")</f>
        <v>0</v>
      </c>
      <c r="C1917" t="s">
        <v>3226</v>
      </c>
      <c r="D1917">
        <v>57.23</v>
      </c>
      <c r="E1917">
        <v>0.002617963677967</v>
      </c>
      <c r="H1917">
        <v>0.149826061290079</v>
      </c>
      <c r="I1917">
        <v>6755.6453</v>
      </c>
      <c r="J1917">
        <v>11.54874335088415</v>
      </c>
      <c r="K1917">
        <v>0.03051447276783686</v>
      </c>
      <c r="L1917">
        <v>1.246121703666858</v>
      </c>
      <c r="M1917">
        <v>58.13</v>
      </c>
      <c r="N1917">
        <v>21.72</v>
      </c>
    </row>
    <row r="1918" spans="1:14">
      <c r="A1918" s="1" t="s">
        <v>1930</v>
      </c>
      <c r="B1918">
        <f>HYPERLINK("https://www.suredividend.com/sure-analysis-research-database/","Molecular Templates Inc")</f>
        <v>0</v>
      </c>
      <c r="C1918" t="s">
        <v>3217</v>
      </c>
      <c r="D1918">
        <v>2.53</v>
      </c>
      <c r="E1918">
        <v>0</v>
      </c>
      <c r="H1918">
        <v>0</v>
      </c>
      <c r="I1918">
        <v>142.451774</v>
      </c>
      <c r="J1918" t="s">
        <v>3219</v>
      </c>
      <c r="K1918">
        <v>-0</v>
      </c>
      <c r="L1918">
        <v>1.213256269020887</v>
      </c>
      <c r="M1918">
        <v>9.630000000000001</v>
      </c>
      <c r="N1918">
        <v>2.22</v>
      </c>
    </row>
    <row r="1919" spans="1:14">
      <c r="A1919" s="1" t="s">
        <v>1931</v>
      </c>
      <c r="B1919">
        <f>HYPERLINK("https://www.suredividend.com/sure-analysis-research-database/","Mannatech Inc")</f>
        <v>0</v>
      </c>
      <c r="C1919" t="s">
        <v>3225</v>
      </c>
      <c r="D1919">
        <v>33</v>
      </c>
      <c r="E1919">
        <v>0.022841533351239</v>
      </c>
      <c r="F1919">
        <v>0.25</v>
      </c>
      <c r="G1919">
        <v>0.09856054330611785</v>
      </c>
      <c r="H1919">
        <v>0.7537706005909081</v>
      </c>
      <c r="I1919">
        <v>64.243047</v>
      </c>
      <c r="J1919">
        <v>6.527438223938224</v>
      </c>
      <c r="K1919">
        <v>0.1600362209322523</v>
      </c>
      <c r="M1919">
        <v>48.24</v>
      </c>
      <c r="N1919">
        <v>18.62</v>
      </c>
    </row>
    <row r="1920" spans="1:14">
      <c r="A1920" s="1" t="s">
        <v>1932</v>
      </c>
      <c r="B1920">
        <f>HYPERLINK("https://www.suredividend.com/sure-analysis-research-database/","MGIC Investment Corp")</f>
        <v>0</v>
      </c>
      <c r="C1920" t="s">
        <v>3221</v>
      </c>
      <c r="D1920">
        <v>13.41</v>
      </c>
      <c r="E1920">
        <v>0.022209476757794</v>
      </c>
      <c r="H1920">
        <v>0.297829083322024</v>
      </c>
      <c r="I1920">
        <v>4232.263586</v>
      </c>
      <c r="J1920">
        <v>6.665160463193502</v>
      </c>
      <c r="K1920">
        <v>0.1645464548740464</v>
      </c>
      <c r="L1920">
        <v>1.053755281042226</v>
      </c>
      <c r="M1920">
        <v>16.76</v>
      </c>
      <c r="N1920">
        <v>12.8</v>
      </c>
    </row>
    <row r="1921" spans="1:14">
      <c r="A1921" s="1" t="s">
        <v>1933</v>
      </c>
      <c r="B1921">
        <f>HYPERLINK("https://www.suredividend.com/sure-analysis-research-database/","Meritage Homes Corp.")</f>
        <v>0</v>
      </c>
      <c r="C1921" t="s">
        <v>3223</v>
      </c>
      <c r="D1921">
        <v>81.36</v>
      </c>
      <c r="E1921">
        <v>0</v>
      </c>
      <c r="H1921">
        <v>0</v>
      </c>
      <c r="I1921">
        <v>2985.509105</v>
      </c>
      <c r="J1921">
        <v>4.048455347497573</v>
      </c>
      <c r="K1921">
        <v>0</v>
      </c>
      <c r="L1921">
        <v>1.308336782238158</v>
      </c>
      <c r="M1921">
        <v>125.01</v>
      </c>
      <c r="N1921">
        <v>75.56</v>
      </c>
    </row>
    <row r="1922" spans="1:14">
      <c r="A1922" s="1" t="s">
        <v>1934</v>
      </c>
      <c r="B1922">
        <f>HYPERLINK("https://www.suredividend.com/sure-analysis-research-database/","Vail Resorts Inc.")</f>
        <v>0</v>
      </c>
      <c r="C1922" t="s">
        <v>3223</v>
      </c>
      <c r="D1922">
        <v>260.48</v>
      </c>
      <c r="E1922">
        <v>0.014039590841942</v>
      </c>
      <c r="H1922">
        <v>3.657032622509297</v>
      </c>
      <c r="I1922">
        <v>10563.385839</v>
      </c>
      <c r="J1922">
        <v>48.48325357297925</v>
      </c>
      <c r="K1922">
        <v>0.6874121470882137</v>
      </c>
      <c r="L1922">
        <v>1.033834470745846</v>
      </c>
      <c r="M1922">
        <v>373.47</v>
      </c>
      <c r="N1922">
        <v>219.75</v>
      </c>
    </row>
    <row r="1923" spans="1:14">
      <c r="A1923" s="1" t="s">
        <v>1935</v>
      </c>
      <c r="B1923">
        <f>HYPERLINK("https://www.suredividend.com/sure-analysis-research-database/","Matinas Biopharma Holdings Inc")</f>
        <v>0</v>
      </c>
      <c r="C1923" t="s">
        <v>3217</v>
      </c>
      <c r="D1923">
        <v>0.91</v>
      </c>
      <c r="E1923">
        <v>0</v>
      </c>
      <c r="H1923">
        <v>0</v>
      </c>
      <c r="I1923">
        <v>197.346719</v>
      </c>
      <c r="J1923">
        <v>0</v>
      </c>
      <c r="K1923" t="s">
        <v>3219</v>
      </c>
      <c r="L1923">
        <v>1.121124803299155</v>
      </c>
      <c r="M1923">
        <v>1.61</v>
      </c>
      <c r="N1923">
        <v>0.49</v>
      </c>
    </row>
    <row r="1924" spans="1:14">
      <c r="A1924" s="1" t="s">
        <v>1936</v>
      </c>
      <c r="B1924">
        <f>HYPERLINK("https://www.suredividend.com/sure-analysis-research-database/","Meritor Inc")</f>
        <v>0</v>
      </c>
      <c r="C1924" t="s">
        <v>3223</v>
      </c>
      <c r="D1924">
        <v>35.85</v>
      </c>
      <c r="E1924">
        <v>0</v>
      </c>
      <c r="H1924">
        <v>0</v>
      </c>
      <c r="I1924">
        <v>2537.277799</v>
      </c>
      <c r="J1924">
        <v>11.48089501764706</v>
      </c>
      <c r="K1924">
        <v>0</v>
      </c>
      <c r="L1924">
        <v>0.766790100449091</v>
      </c>
      <c r="M1924">
        <v>36.24</v>
      </c>
      <c r="N1924">
        <v>20.5</v>
      </c>
    </row>
    <row r="1925" spans="1:14">
      <c r="A1925" s="1" t="s">
        <v>1937</v>
      </c>
      <c r="B1925">
        <f>HYPERLINK("https://www.suredividend.com/sure-analysis-research-database/","Materion Corp")</f>
        <v>0</v>
      </c>
      <c r="C1925" t="s">
        <v>3218</v>
      </c>
      <c r="D1925">
        <v>82.31999999999999</v>
      </c>
      <c r="E1925">
        <v>0.005811897281957</v>
      </c>
      <c r="F1925">
        <v>0</v>
      </c>
      <c r="G1925">
        <v>0.03713728933664817</v>
      </c>
      <c r="H1925">
        <v>0.478435384250777</v>
      </c>
      <c r="I1925">
        <v>1683.448034</v>
      </c>
      <c r="J1925">
        <v>23.22830302839639</v>
      </c>
      <c r="K1925">
        <v>0.1366958240716506</v>
      </c>
      <c r="L1925">
        <v>0.9849036384443151</v>
      </c>
      <c r="M1925">
        <v>95.72</v>
      </c>
      <c r="N1925">
        <v>64</v>
      </c>
    </row>
    <row r="1926" spans="1:14">
      <c r="A1926" s="1" t="s">
        <v>1938</v>
      </c>
      <c r="B1926">
        <f>HYPERLINK("https://www.suredividend.com/sure-analysis-research-database/","Matrix Service Co.")</f>
        <v>0</v>
      </c>
      <c r="C1926" t="s">
        <v>3226</v>
      </c>
      <c r="D1926">
        <v>7.03</v>
      </c>
      <c r="E1926">
        <v>0</v>
      </c>
      <c r="H1926">
        <v>0</v>
      </c>
      <c r="I1926">
        <v>188.286353</v>
      </c>
      <c r="J1926" t="s">
        <v>3219</v>
      </c>
      <c r="K1926">
        <v>-0</v>
      </c>
      <c r="L1926">
        <v>1.082801297818013</v>
      </c>
      <c r="M1926">
        <v>14.05</v>
      </c>
      <c r="N1926">
        <v>6.18</v>
      </c>
    </row>
    <row r="1927" spans="1:14">
      <c r="A1927" s="1" t="s">
        <v>1939</v>
      </c>
      <c r="B1927">
        <f>HYPERLINK("https://www.suredividend.com/sure-analysis-research-database/","MTS Systems Corp.")</f>
        <v>0</v>
      </c>
      <c r="C1927" t="s">
        <v>3222</v>
      </c>
      <c r="D1927">
        <v>58.49</v>
      </c>
      <c r="E1927">
        <v>0</v>
      </c>
      <c r="H1927">
        <v>0</v>
      </c>
      <c r="I1927">
        <v>0</v>
      </c>
      <c r="J1927">
        <v>0</v>
      </c>
      <c r="K1927">
        <v>-0</v>
      </c>
    </row>
    <row r="1928" spans="1:14">
      <c r="A1928" s="1" t="s">
        <v>1940</v>
      </c>
      <c r="B1928">
        <f>HYPERLINK("https://www.suredividend.com/sure-analysis-research-database/","MACOM Technology Solutions Holdings Inc")</f>
        <v>0</v>
      </c>
      <c r="C1928" t="s">
        <v>3222</v>
      </c>
      <c r="D1928">
        <v>50.9</v>
      </c>
      <c r="E1928">
        <v>0</v>
      </c>
      <c r="H1928">
        <v>0</v>
      </c>
      <c r="I1928">
        <v>3547.076444</v>
      </c>
      <c r="J1928">
        <v>19.09411978381637</v>
      </c>
      <c r="K1928">
        <v>0</v>
      </c>
      <c r="L1928">
        <v>1.717443988733316</v>
      </c>
      <c r="M1928">
        <v>80.3</v>
      </c>
      <c r="N1928">
        <v>48.68</v>
      </c>
    </row>
    <row r="1929" spans="1:14">
      <c r="A1929" s="1" t="s">
        <v>1941</v>
      </c>
      <c r="B1929">
        <f>HYPERLINK("https://www.suredividend.com/sure-analysis-research-database/","Manitowoc Co., Inc.")</f>
        <v>0</v>
      </c>
      <c r="C1929" t="s">
        <v>3220</v>
      </c>
      <c r="D1929">
        <v>13.36</v>
      </c>
      <c r="E1929">
        <v>0</v>
      </c>
      <c r="H1929">
        <v>0</v>
      </c>
      <c r="I1929">
        <v>471.107868</v>
      </c>
      <c r="J1929">
        <v>42.82798803636363</v>
      </c>
      <c r="K1929">
        <v>0</v>
      </c>
      <c r="L1929">
        <v>1.630392834664382</v>
      </c>
      <c r="M1929">
        <v>28.33</v>
      </c>
      <c r="N1929">
        <v>12.28</v>
      </c>
    </row>
    <row r="1930" spans="1:14">
      <c r="A1930" s="1" t="s">
        <v>1942</v>
      </c>
      <c r="B1930">
        <f>HYPERLINK("https://www.suredividend.com/sure-analysis-research-database/","Minerals Technologies, Inc.")</f>
        <v>0</v>
      </c>
      <c r="C1930" t="s">
        <v>3218</v>
      </c>
      <c r="D1930">
        <v>63.05</v>
      </c>
      <c r="E1930">
        <v>0.003168827065876</v>
      </c>
      <c r="F1930">
        <v>0</v>
      </c>
      <c r="G1930">
        <v>0</v>
      </c>
      <c r="H1930">
        <v>0.199794546503503</v>
      </c>
      <c r="I1930">
        <v>2081.197715</v>
      </c>
      <c r="J1930">
        <v>12.65935349969586</v>
      </c>
      <c r="K1930">
        <v>0.04110998899249033</v>
      </c>
      <c r="L1930">
        <v>0.9932599297690811</v>
      </c>
      <c r="M1930">
        <v>88.44</v>
      </c>
      <c r="N1930">
        <v>61.25</v>
      </c>
    </row>
    <row r="1931" spans="1:14">
      <c r="A1931" s="1" t="s">
        <v>1943</v>
      </c>
      <c r="B1931">
        <f>HYPERLINK("https://www.suredividend.com/sure-analysis-research-database/","Mastec Inc.")</f>
        <v>0</v>
      </c>
      <c r="C1931" t="s">
        <v>3220</v>
      </c>
      <c r="D1931">
        <v>79.75</v>
      </c>
      <c r="E1931">
        <v>0</v>
      </c>
      <c r="H1931">
        <v>0</v>
      </c>
      <c r="I1931">
        <v>6076.331379</v>
      </c>
      <c r="J1931">
        <v>18.47858437692918</v>
      </c>
      <c r="K1931">
        <v>0</v>
      </c>
      <c r="L1931">
        <v>0.9540162629614841</v>
      </c>
      <c r="M1931">
        <v>122.33</v>
      </c>
      <c r="N1931">
        <v>71.84999999999999</v>
      </c>
    </row>
    <row r="1932" spans="1:14">
      <c r="A1932" s="1" t="s">
        <v>1944</v>
      </c>
      <c r="B1932">
        <f>HYPERLINK("https://www.suredividend.com/sure-analysis-research-database/","Micron Technology Inc.")</f>
        <v>0</v>
      </c>
      <c r="C1932" t="s">
        <v>3222</v>
      </c>
      <c r="D1932">
        <v>70.13</v>
      </c>
      <c r="E1932">
        <v>0.004272360937592</v>
      </c>
      <c r="H1932">
        <v>0.2996206725533681</v>
      </c>
      <c r="I1932">
        <v>78311.846681</v>
      </c>
      <c r="J1932">
        <v>8.678174499269726</v>
      </c>
      <c r="K1932">
        <v>0.03773560107725038</v>
      </c>
      <c r="L1932">
        <v>1.674056120913057</v>
      </c>
      <c r="M1932">
        <v>98.31999999999999</v>
      </c>
      <c r="N1932">
        <v>65.51000000000001</v>
      </c>
    </row>
    <row r="1933" spans="1:14">
      <c r="A1933" s="1" t="s">
        <v>1945</v>
      </c>
      <c r="B1933">
        <f>HYPERLINK("https://www.suredividend.com/sure-analysis-research-database/","Murphy Oil Corp.")</f>
        <v>0</v>
      </c>
      <c r="C1933" t="s">
        <v>3226</v>
      </c>
      <c r="D1933">
        <v>42.44</v>
      </c>
      <c r="E1933">
        <v>0.012287009881877</v>
      </c>
      <c r="F1933">
        <v>0.2</v>
      </c>
      <c r="G1933">
        <v>-0.09711954855256577</v>
      </c>
      <c r="H1933">
        <v>0.521460699386879</v>
      </c>
      <c r="I1933">
        <v>6593.753029</v>
      </c>
      <c r="J1933" t="s">
        <v>3219</v>
      </c>
      <c r="K1933" t="s">
        <v>3219</v>
      </c>
      <c r="L1933">
        <v>1.06238884257129</v>
      </c>
      <c r="M1933">
        <v>43.2</v>
      </c>
      <c r="N1933">
        <v>14.6</v>
      </c>
    </row>
    <row r="1934" spans="1:14">
      <c r="A1934" s="1" t="s">
        <v>1946</v>
      </c>
      <c r="B1934">
        <f>HYPERLINK("https://www.suredividend.com/sure-analysis-research-database/","Murphy USA Inc")</f>
        <v>0</v>
      </c>
      <c r="C1934" t="s">
        <v>3223</v>
      </c>
      <c r="D1934">
        <v>229.29</v>
      </c>
      <c r="E1934">
        <v>0.004699201192149001</v>
      </c>
      <c r="H1934">
        <v>1.077479841347971</v>
      </c>
      <c r="I1934">
        <v>5605.684671</v>
      </c>
      <c r="J1934">
        <v>14.12367012214664</v>
      </c>
      <c r="K1934">
        <v>0.07221714754342969</v>
      </c>
      <c r="L1934">
        <v>0.7770392479721641</v>
      </c>
      <c r="M1934">
        <v>232.92</v>
      </c>
      <c r="N1934">
        <v>125.94</v>
      </c>
    </row>
    <row r="1935" spans="1:14">
      <c r="A1935" s="1" t="s">
        <v>1947</v>
      </c>
      <c r="B1935">
        <f>HYPERLINK("https://www.suredividend.com/sure-analysis-research-database/","McEwen Mining Inc")</f>
        <v>0</v>
      </c>
      <c r="C1935" t="s">
        <v>3218</v>
      </c>
      <c r="D1935">
        <v>0.85</v>
      </c>
      <c r="E1935">
        <v>0</v>
      </c>
      <c r="H1935">
        <v>0</v>
      </c>
      <c r="I1935">
        <v>403.134282</v>
      </c>
      <c r="J1935" t="s">
        <v>3219</v>
      </c>
      <c r="K1935">
        <v>-0</v>
      </c>
      <c r="L1935">
        <v>0.493631674242562</v>
      </c>
      <c r="M1935">
        <v>1.71</v>
      </c>
      <c r="N1935">
        <v>0.73</v>
      </c>
    </row>
    <row r="1936" spans="1:14">
      <c r="A1936" s="1" t="s">
        <v>1948</v>
      </c>
      <c r="B1936">
        <f>HYPERLINK("https://www.suredividend.com/sure-analysis-research-database/","MVB Financial Corp.")</f>
        <v>0</v>
      </c>
      <c r="C1936" t="s">
        <v>3221</v>
      </c>
      <c r="D1936">
        <v>41.46</v>
      </c>
      <c r="E1936">
        <v>0.01391442800139</v>
      </c>
      <c r="F1936">
        <v>0.7</v>
      </c>
      <c r="G1936">
        <v>0.4672421091215282</v>
      </c>
      <c r="H1936">
        <v>0.5768921849376311</v>
      </c>
      <c r="I1936">
        <v>503.379293</v>
      </c>
      <c r="J1936">
        <v>0</v>
      </c>
      <c r="K1936" t="s">
        <v>3219</v>
      </c>
      <c r="L1936">
        <v>0.6139802734173391</v>
      </c>
      <c r="M1936">
        <v>45.29</v>
      </c>
      <c r="N1936">
        <v>36.59</v>
      </c>
    </row>
    <row r="1937" spans="1:14">
      <c r="A1937" s="1" t="s">
        <v>1949</v>
      </c>
      <c r="B1937">
        <f>HYPERLINK("https://www.suredividend.com/sure-analysis-research-database/","Microvision Inc.")</f>
        <v>0</v>
      </c>
      <c r="C1937" t="s">
        <v>3222</v>
      </c>
      <c r="D1937">
        <v>3.38</v>
      </c>
      <c r="E1937">
        <v>0</v>
      </c>
      <c r="H1937">
        <v>0</v>
      </c>
      <c r="I1937">
        <v>556.449714</v>
      </c>
      <c r="J1937" t="s">
        <v>3219</v>
      </c>
      <c r="K1937">
        <v>-0</v>
      </c>
      <c r="L1937">
        <v>2.985024462043416</v>
      </c>
      <c r="M1937">
        <v>28</v>
      </c>
      <c r="N1937">
        <v>2.61</v>
      </c>
    </row>
    <row r="1938" spans="1:14">
      <c r="A1938" s="1" t="s">
        <v>1950</v>
      </c>
      <c r="B1938">
        <f>HYPERLINK("https://www.suredividend.com/sure-analysis-MWA/","Mueller Water Products Inc")</f>
        <v>0</v>
      </c>
      <c r="C1938" t="s">
        <v>3220</v>
      </c>
      <c r="D1938">
        <v>12.7</v>
      </c>
      <c r="E1938">
        <v>0.01811023622047244</v>
      </c>
      <c r="F1938">
        <v>0.05454545454545467</v>
      </c>
      <c r="G1938">
        <v>0.07714358779274311</v>
      </c>
      <c r="H1938">
        <v>0.22471103788284</v>
      </c>
      <c r="I1938">
        <v>1992.292421</v>
      </c>
      <c r="J1938">
        <v>27.25434228864569</v>
      </c>
      <c r="K1938">
        <v>0.48945989519242</v>
      </c>
      <c r="L1938">
        <v>1.053242174619769</v>
      </c>
      <c r="M1938">
        <v>17.24</v>
      </c>
      <c r="N1938">
        <v>11.89</v>
      </c>
    </row>
    <row r="1939" spans="1:14">
      <c r="A1939" s="1" t="s">
        <v>1951</v>
      </c>
      <c r="B1939">
        <f>HYPERLINK("https://www.suredividend.com/sure-analysis-research-database/","Maxim Integrated Products, Inc.")</f>
        <v>0</v>
      </c>
      <c r="C1939" t="s">
        <v>3222</v>
      </c>
      <c r="D1939">
        <v>103.14</v>
      </c>
      <c r="E1939">
        <v>0</v>
      </c>
      <c r="H1939">
        <v>0</v>
      </c>
      <c r="I1939">
        <v>0</v>
      </c>
      <c r="J1939">
        <v>0</v>
      </c>
      <c r="K1939">
        <v>0</v>
      </c>
    </row>
    <row r="1940" spans="1:14">
      <c r="A1940" s="1" t="s">
        <v>1952</v>
      </c>
      <c r="B1940">
        <f>HYPERLINK("https://www.suredividend.com/sure-analysis-research-database/","MaxLinear Inc")</f>
        <v>0</v>
      </c>
      <c r="C1940" t="s">
        <v>3222</v>
      </c>
      <c r="D1940">
        <v>45.12</v>
      </c>
      <c r="E1940">
        <v>0</v>
      </c>
      <c r="H1940">
        <v>0</v>
      </c>
      <c r="I1940">
        <v>3464.537982</v>
      </c>
      <c r="J1940">
        <v>82.54992927541757</v>
      </c>
      <c r="K1940">
        <v>0</v>
      </c>
      <c r="L1940">
        <v>2.510137894751238</v>
      </c>
      <c r="M1940">
        <v>77.89</v>
      </c>
      <c r="N1940">
        <v>31.76</v>
      </c>
    </row>
    <row r="1941" spans="1:14">
      <c r="A1941" s="1" t="s">
        <v>1953</v>
      </c>
      <c r="B1941">
        <f>HYPERLINK("https://www.suredividend.com/sure-analysis-research-database/","Myers Industries Inc.")</f>
        <v>0</v>
      </c>
      <c r="C1941" t="s">
        <v>3223</v>
      </c>
      <c r="D1941">
        <v>20.91</v>
      </c>
      <c r="E1941">
        <v>0.03192092731321</v>
      </c>
      <c r="F1941">
        <v>0</v>
      </c>
      <c r="G1941">
        <v>0</v>
      </c>
      <c r="H1941">
        <v>0.66746659011924</v>
      </c>
      <c r="I1941">
        <v>758.542786</v>
      </c>
      <c r="J1941">
        <v>22.61741266503667</v>
      </c>
      <c r="K1941">
        <v>0.7236194602333478</v>
      </c>
      <c r="L1941">
        <v>0.7658055255360671</v>
      </c>
      <c r="M1941">
        <v>23.15</v>
      </c>
      <c r="N1941">
        <v>15.71</v>
      </c>
    </row>
    <row r="1942" spans="1:14">
      <c r="A1942" s="1" t="s">
        <v>1954</v>
      </c>
      <c r="B1942">
        <f>HYPERLINK("https://www.suredividend.com/sure-analysis-research-database/","Myriad Genetics, Inc.")</f>
        <v>0</v>
      </c>
      <c r="C1942" t="s">
        <v>3217</v>
      </c>
      <c r="D1942">
        <v>23.98</v>
      </c>
      <c r="E1942">
        <v>0</v>
      </c>
      <c r="H1942">
        <v>0</v>
      </c>
      <c r="I1942">
        <v>1926.582576</v>
      </c>
      <c r="J1942" t="s">
        <v>3219</v>
      </c>
      <c r="K1942">
        <v>-0</v>
      </c>
      <c r="L1942">
        <v>1.561609297259927</v>
      </c>
      <c r="M1942">
        <v>36.95</v>
      </c>
      <c r="N1942">
        <v>22.35</v>
      </c>
    </row>
    <row r="1943" spans="1:14">
      <c r="A1943" s="1" t="s">
        <v>1955</v>
      </c>
      <c r="B1943">
        <f>HYPERLINK("https://www.suredividend.com/sure-analysis-research-database/","MYR Group Inc")</f>
        <v>0</v>
      </c>
      <c r="C1943" t="s">
        <v>3220</v>
      </c>
      <c r="D1943">
        <v>90.02</v>
      </c>
      <c r="E1943">
        <v>0</v>
      </c>
      <c r="H1943">
        <v>0</v>
      </c>
      <c r="I1943">
        <v>1526.33411</v>
      </c>
      <c r="J1943">
        <v>17.95475955769909</v>
      </c>
      <c r="K1943">
        <v>0</v>
      </c>
      <c r="L1943">
        <v>1.245091702168514</v>
      </c>
      <c r="M1943">
        <v>121.22</v>
      </c>
      <c r="N1943">
        <v>67.89</v>
      </c>
    </row>
    <row r="1944" spans="1:14">
      <c r="A1944" s="1" t="s">
        <v>1956</v>
      </c>
      <c r="B1944">
        <f>HYPERLINK("https://www.suredividend.com/sure-analysis-research-database/","Natural Alternatives International, Inc.")</f>
        <v>0</v>
      </c>
      <c r="C1944" t="s">
        <v>3225</v>
      </c>
      <c r="D1944">
        <v>10.05</v>
      </c>
      <c r="E1944">
        <v>0</v>
      </c>
      <c r="H1944">
        <v>0</v>
      </c>
      <c r="I1944">
        <v>61.520854</v>
      </c>
      <c r="J1944">
        <v>0</v>
      </c>
      <c r="K1944" t="s">
        <v>3219</v>
      </c>
      <c r="L1944">
        <v>0.593405138630631</v>
      </c>
      <c r="M1944">
        <v>19.93</v>
      </c>
      <c r="N1944">
        <v>10.05</v>
      </c>
    </row>
    <row r="1945" spans="1:14">
      <c r="A1945" s="1" t="s">
        <v>1957</v>
      </c>
      <c r="B1945">
        <f>HYPERLINK("https://www.suredividend.com/sure-analysis-research-database/","Nathan`s Famous, Inc.")</f>
        <v>0</v>
      </c>
      <c r="C1945" t="s">
        <v>3223</v>
      </c>
      <c r="D1945">
        <v>51.36</v>
      </c>
      <c r="E1945">
        <v>0.028940322511478</v>
      </c>
      <c r="H1945">
        <v>1.486374964189553</v>
      </c>
      <c r="I1945">
        <v>211.354309</v>
      </c>
      <c r="J1945">
        <v>0</v>
      </c>
      <c r="K1945" t="s">
        <v>3219</v>
      </c>
      <c r="L1945">
        <v>0.6816330737628751</v>
      </c>
      <c r="M1945">
        <v>77.08</v>
      </c>
      <c r="N1945">
        <v>50.5</v>
      </c>
    </row>
    <row r="1946" spans="1:14">
      <c r="A1946" s="1" t="s">
        <v>1958</v>
      </c>
      <c r="B1946">
        <f>HYPERLINK("https://www.suredividend.com/sure-analysis-research-database/","National Instruments Corp.")</f>
        <v>0</v>
      </c>
      <c r="C1946" t="s">
        <v>3222</v>
      </c>
      <c r="D1946">
        <v>38.71</v>
      </c>
      <c r="E1946">
        <v>0.027884970251686</v>
      </c>
      <c r="F1946">
        <v>0.03703703703703698</v>
      </c>
      <c r="G1946">
        <v>0.05922384104881218</v>
      </c>
      <c r="H1946">
        <v>1.079427198442791</v>
      </c>
      <c r="I1946">
        <v>5111.20987</v>
      </c>
      <c r="J1946">
        <v>57.22678016548172</v>
      </c>
      <c r="K1946">
        <v>1.614217434488995</v>
      </c>
      <c r="L1946">
        <v>1.151408644207974</v>
      </c>
      <c r="M1946">
        <v>45.66</v>
      </c>
      <c r="N1946">
        <v>36.67</v>
      </c>
    </row>
    <row r="1947" spans="1:14">
      <c r="A1947" s="1" t="s">
        <v>1959</v>
      </c>
      <c r="B1947">
        <f>HYPERLINK("https://www.suredividend.com/sure-analysis-research-database/","Nature`s Sunshine Products, Inc.")</f>
        <v>0</v>
      </c>
      <c r="C1947" t="s">
        <v>3225</v>
      </c>
      <c r="D1947">
        <v>17.75</v>
      </c>
      <c r="E1947">
        <v>0</v>
      </c>
      <c r="H1947">
        <v>0</v>
      </c>
      <c r="I1947">
        <v>345.220815</v>
      </c>
      <c r="J1947">
        <v>11.96481527050913</v>
      </c>
      <c r="K1947">
        <v>0</v>
      </c>
      <c r="L1947">
        <v>0.6092907864593811</v>
      </c>
      <c r="M1947">
        <v>21.5</v>
      </c>
      <c r="N1947">
        <v>13.85</v>
      </c>
    </row>
    <row r="1948" spans="1:14">
      <c r="A1948" s="1" t="s">
        <v>1960</v>
      </c>
      <c r="B1948">
        <f>HYPERLINK("https://www.suredividend.com/sure-analysis-research-database/","Navistar International Corp.")</f>
        <v>0</v>
      </c>
      <c r="C1948" t="s">
        <v>3220</v>
      </c>
      <c r="D1948">
        <v>44.5</v>
      </c>
      <c r="E1948">
        <v>0</v>
      </c>
      <c r="H1948">
        <v>0</v>
      </c>
      <c r="I1948">
        <v>4438.643022</v>
      </c>
      <c r="J1948" t="s">
        <v>3219</v>
      </c>
      <c r="K1948">
        <v>-0</v>
      </c>
      <c r="L1948">
        <v>0.020363096359842</v>
      </c>
      <c r="M1948">
        <v>45.25</v>
      </c>
      <c r="N1948">
        <v>26.47</v>
      </c>
    </row>
    <row r="1949" spans="1:14">
      <c r="A1949" s="1" t="s">
        <v>1961</v>
      </c>
      <c r="B1949">
        <f>HYPERLINK("https://www.suredividend.com/sure-analysis-research-database/","Navidea Biopharmaceuticals Inc")</f>
        <v>0</v>
      </c>
      <c r="C1949" t="s">
        <v>3217</v>
      </c>
      <c r="D1949">
        <v>0.86</v>
      </c>
      <c r="E1949">
        <v>0</v>
      </c>
      <c r="H1949">
        <v>0</v>
      </c>
      <c r="I1949">
        <v>26.057186</v>
      </c>
      <c r="J1949" t="s">
        <v>3219</v>
      </c>
      <c r="K1949">
        <v>-0</v>
      </c>
      <c r="L1949">
        <v>0.307177698431203</v>
      </c>
      <c r="M1949">
        <v>2.19</v>
      </c>
      <c r="N1949">
        <v>0.72</v>
      </c>
    </row>
    <row r="1950" spans="1:14">
      <c r="A1950" s="1" t="s">
        <v>1962</v>
      </c>
      <c r="B1950">
        <f>HYPERLINK("https://www.suredividend.com/sure-analysis-NAVI/","Navient Corp")</f>
        <v>0</v>
      </c>
      <c r="C1950" t="s">
        <v>3221</v>
      </c>
      <c r="D1950">
        <v>16.64</v>
      </c>
      <c r="E1950">
        <v>0.03846153846153846</v>
      </c>
      <c r="F1950">
        <v>0</v>
      </c>
      <c r="G1950">
        <v>0</v>
      </c>
      <c r="H1950">
        <v>0.6319522659246051</v>
      </c>
      <c r="I1950">
        <v>2531.491489</v>
      </c>
      <c r="J1950">
        <v>3.530671533165969</v>
      </c>
      <c r="K1950">
        <v>0.1515473059771235</v>
      </c>
      <c r="L1950">
        <v>1.102036740981141</v>
      </c>
      <c r="M1950">
        <v>23.39</v>
      </c>
      <c r="N1950">
        <v>14.13</v>
      </c>
    </row>
    <row r="1951" spans="1:14">
      <c r="A1951" s="1" t="s">
        <v>1963</v>
      </c>
      <c r="B1951">
        <f>HYPERLINK("https://www.suredividend.com/sure-analysis-research-database/","NewAge Inc")</f>
        <v>0</v>
      </c>
      <c r="C1951" t="s">
        <v>3225</v>
      </c>
      <c r="D1951">
        <v>0.4742</v>
      </c>
      <c r="E1951">
        <v>0</v>
      </c>
      <c r="H1951">
        <v>0</v>
      </c>
      <c r="I1951">
        <v>64.864892</v>
      </c>
      <c r="J1951" t="s">
        <v>3219</v>
      </c>
      <c r="K1951">
        <v>-0</v>
      </c>
      <c r="L1951">
        <v>1.55027457265697</v>
      </c>
      <c r="M1951">
        <v>2.58</v>
      </c>
      <c r="N1951">
        <v>0.46</v>
      </c>
    </row>
    <row r="1952" spans="1:14">
      <c r="A1952" s="1" t="s">
        <v>1964</v>
      </c>
      <c r="B1952">
        <f>HYPERLINK("https://www.suredividend.com/sure-analysis-research-database/","National Bank Holdings Corp")</f>
        <v>0</v>
      </c>
      <c r="C1952" t="s">
        <v>3221</v>
      </c>
      <c r="D1952">
        <v>38.69</v>
      </c>
      <c r="E1952">
        <v>0.022827757816781</v>
      </c>
      <c r="F1952">
        <v>0.09523809523809534</v>
      </c>
      <c r="G1952">
        <v>0.2064159359821514</v>
      </c>
      <c r="H1952">
        <v>0.8832059499312771</v>
      </c>
      <c r="I1952">
        <v>1161.039737</v>
      </c>
      <c r="J1952">
        <v>12.42112414162378</v>
      </c>
      <c r="K1952">
        <v>0.2934239036316535</v>
      </c>
      <c r="L1952">
        <v>0.7240971220607021</v>
      </c>
      <c r="M1952">
        <v>47.99</v>
      </c>
      <c r="N1952">
        <v>33.57</v>
      </c>
    </row>
    <row r="1953" spans="1:14">
      <c r="A1953" s="1" t="s">
        <v>1965</v>
      </c>
      <c r="B1953">
        <f>HYPERLINK("https://www.suredividend.com/sure-analysis-research-database/","Neurocrine Biosciences, Inc.")</f>
        <v>0</v>
      </c>
      <c r="C1953" t="s">
        <v>3217</v>
      </c>
      <c r="D1953">
        <v>99.27</v>
      </c>
      <c r="E1953">
        <v>0</v>
      </c>
      <c r="H1953">
        <v>0</v>
      </c>
      <c r="I1953">
        <v>9481.194412000001</v>
      </c>
      <c r="J1953">
        <v>105.8169019248884</v>
      </c>
      <c r="K1953">
        <v>0</v>
      </c>
      <c r="L1953">
        <v>0.360315052429978</v>
      </c>
      <c r="M1953">
        <v>108.02</v>
      </c>
      <c r="N1953">
        <v>71.88</v>
      </c>
    </row>
    <row r="1954" spans="1:14">
      <c r="A1954" s="1" t="s">
        <v>1966</v>
      </c>
      <c r="B1954">
        <f>HYPERLINK("https://www.suredividend.com/sure-analysis-research-database/","Northeast Bank")</f>
        <v>0</v>
      </c>
      <c r="C1954" t="s">
        <v>3221</v>
      </c>
      <c r="D1954">
        <v>34.88</v>
      </c>
      <c r="E1954">
        <v>0.001146313821079</v>
      </c>
      <c r="H1954">
        <v>0.039983426079261</v>
      </c>
      <c r="I1954">
        <v>313.81536</v>
      </c>
      <c r="J1954">
        <v>0</v>
      </c>
      <c r="K1954" t="s">
        <v>3219</v>
      </c>
      <c r="L1954">
        <v>0.39211057257426</v>
      </c>
      <c r="M1954">
        <v>41.04</v>
      </c>
      <c r="N1954">
        <v>26.07</v>
      </c>
    </row>
    <row r="1955" spans="1:14">
      <c r="A1955" s="1" t="s">
        <v>1967</v>
      </c>
      <c r="B1955">
        <f>HYPERLINK("https://www.suredividend.com/sure-analysis-research-database/","Nabors Industries Ltd")</f>
        <v>0</v>
      </c>
      <c r="C1955" t="s">
        <v>3226</v>
      </c>
      <c r="D1955">
        <v>195.19</v>
      </c>
      <c r="E1955">
        <v>0</v>
      </c>
      <c r="H1955">
        <v>0</v>
      </c>
      <c r="I1955">
        <v>1673.041611</v>
      </c>
      <c r="J1955" t="s">
        <v>3219</v>
      </c>
      <c r="K1955">
        <v>-0</v>
      </c>
      <c r="L1955">
        <v>1.3313052565994</v>
      </c>
      <c r="M1955">
        <v>195.88</v>
      </c>
      <c r="N1955">
        <v>65.58</v>
      </c>
    </row>
    <row r="1956" spans="1:14">
      <c r="A1956" s="1" t="s">
        <v>1968</v>
      </c>
      <c r="B1956">
        <f>HYPERLINK("https://www.suredividend.com/sure-analysis-research-database/","NeuBase Therapeutics Inc")</f>
        <v>0</v>
      </c>
      <c r="C1956" t="s">
        <v>3217</v>
      </c>
      <c r="D1956">
        <v>1.63</v>
      </c>
      <c r="E1956">
        <v>0</v>
      </c>
      <c r="H1956">
        <v>0</v>
      </c>
      <c r="I1956">
        <v>53.41214</v>
      </c>
      <c r="J1956">
        <v>0</v>
      </c>
      <c r="K1956" t="s">
        <v>3219</v>
      </c>
      <c r="L1956">
        <v>1.862232109120302</v>
      </c>
      <c r="M1956">
        <v>6.6</v>
      </c>
      <c r="N1956">
        <v>1.21</v>
      </c>
    </row>
    <row r="1957" spans="1:14">
      <c r="A1957" s="1" t="s">
        <v>1969</v>
      </c>
      <c r="B1957">
        <f>HYPERLINK("https://www.suredividend.com/sure-analysis-research-database/","NBT Bancorp. Inc.")</f>
        <v>0</v>
      </c>
      <c r="C1957" t="s">
        <v>3221</v>
      </c>
      <c r="D1957">
        <v>35.31</v>
      </c>
      <c r="E1957">
        <v>0.031087101739004</v>
      </c>
      <c r="F1957">
        <v>0.03703703703703698</v>
      </c>
      <c r="G1957">
        <v>0.04012620718096094</v>
      </c>
      <c r="H1957">
        <v>1.097685562404232</v>
      </c>
      <c r="I1957">
        <v>1518.561175</v>
      </c>
      <c r="J1957">
        <v>9.804443132453111</v>
      </c>
      <c r="K1957">
        <v>0.3100806673458283</v>
      </c>
      <c r="L1957">
        <v>0.6735999253452181</v>
      </c>
      <c r="M1957">
        <v>42.02</v>
      </c>
      <c r="N1957">
        <v>31.92</v>
      </c>
    </row>
    <row r="1958" spans="1:14">
      <c r="A1958" s="1" t="s">
        <v>1970</v>
      </c>
      <c r="B1958">
        <f>HYPERLINK("https://www.suredividend.com/sure-analysis-research-database/","Novabay Pharmaceuticals Inc")</f>
        <v>0</v>
      </c>
      <c r="C1958" t="s">
        <v>3217</v>
      </c>
      <c r="D1958">
        <v>0.2785</v>
      </c>
      <c r="E1958">
        <v>0</v>
      </c>
      <c r="H1958">
        <v>0</v>
      </c>
      <c r="I1958">
        <v>14.320014</v>
      </c>
      <c r="J1958">
        <v>0</v>
      </c>
      <c r="K1958" t="s">
        <v>3219</v>
      </c>
      <c r="L1958">
        <v>0.603148309919979</v>
      </c>
      <c r="M1958">
        <v>0.8772000000000001</v>
      </c>
      <c r="N1958">
        <v>0.2531</v>
      </c>
    </row>
    <row r="1959" spans="1:14">
      <c r="A1959" s="1" t="s">
        <v>1971</v>
      </c>
      <c r="B1959">
        <f>HYPERLINK("https://www.suredividend.com/sure-analysis-NC/","Nacco Industries Inc.")</f>
        <v>0</v>
      </c>
      <c r="C1959" t="s">
        <v>3226</v>
      </c>
      <c r="D1959">
        <v>46.5</v>
      </c>
      <c r="E1959">
        <v>0.01698924731182796</v>
      </c>
      <c r="F1959">
        <v>0.02597402597402598</v>
      </c>
      <c r="G1959">
        <v>-0.06235138023499132</v>
      </c>
      <c r="H1959">
        <v>0.782381698309208</v>
      </c>
      <c r="I1959">
        <v>267.474789</v>
      </c>
      <c r="J1959">
        <v>5.557917693506494</v>
      </c>
      <c r="K1959">
        <v>0.1169479369669967</v>
      </c>
      <c r="L1959">
        <v>0.6499059877811351</v>
      </c>
      <c r="M1959">
        <v>51.2</v>
      </c>
      <c r="N1959">
        <v>20.17</v>
      </c>
    </row>
    <row r="1960" spans="1:14">
      <c r="A1960" s="1" t="s">
        <v>1972</v>
      </c>
      <c r="B1960">
        <f>HYPERLINK("https://www.suredividend.com/sure-analysis-research-database/","Nicolet Bankshares Inc.")</f>
        <v>0</v>
      </c>
      <c r="C1960" t="s">
        <v>3221</v>
      </c>
      <c r="D1960">
        <v>91.52</v>
      </c>
      <c r="E1960">
        <v>0</v>
      </c>
      <c r="H1960">
        <v>0</v>
      </c>
      <c r="I1960">
        <v>1238.551692</v>
      </c>
      <c r="J1960">
        <v>20.42062407702961</v>
      </c>
      <c r="K1960">
        <v>0</v>
      </c>
      <c r="L1960">
        <v>0.5252295540593861</v>
      </c>
      <c r="M1960">
        <v>98.2</v>
      </c>
      <c r="N1960">
        <v>68.06999999999999</v>
      </c>
    </row>
    <row r="1961" spans="1:14">
      <c r="A1961" s="1" t="s">
        <v>1973</v>
      </c>
      <c r="B1961">
        <f>HYPERLINK("https://www.suredividend.com/sure-analysis-research-database/","Norwegian Cruise Line Holdings Ltd")</f>
        <v>0</v>
      </c>
      <c r="C1961" t="s">
        <v>3223</v>
      </c>
      <c r="D1961">
        <v>21.64</v>
      </c>
      <c r="E1961">
        <v>0</v>
      </c>
      <c r="H1961">
        <v>0</v>
      </c>
      <c r="I1961">
        <v>4650.436</v>
      </c>
      <c r="J1961" t="s">
        <v>3219</v>
      </c>
      <c r="K1961">
        <v>-0</v>
      </c>
      <c r="L1961">
        <v>1.998822879189787</v>
      </c>
      <c r="M1961">
        <v>33.95</v>
      </c>
      <c r="N1961">
        <v>14.9</v>
      </c>
    </row>
    <row r="1962" spans="1:14">
      <c r="A1962" s="1" t="s">
        <v>1974</v>
      </c>
      <c r="B1962">
        <f>HYPERLINK("https://www.suredividend.com/sure-analysis-research-database/","National Cinemedia Inc")</f>
        <v>0</v>
      </c>
      <c r="C1962" t="s">
        <v>3228</v>
      </c>
      <c r="D1962">
        <v>2.45</v>
      </c>
      <c r="E1962">
        <v>0.079469139185981</v>
      </c>
      <c r="F1962">
        <v>0</v>
      </c>
      <c r="G1962">
        <v>-0.25645122115897</v>
      </c>
      <c r="H1962">
        <v>0.194699391005654</v>
      </c>
      <c r="I1962">
        <v>200.080583</v>
      </c>
      <c r="J1962" t="s">
        <v>3219</v>
      </c>
      <c r="K1962" t="s">
        <v>3219</v>
      </c>
      <c r="L1962">
        <v>1.242893581765904</v>
      </c>
      <c r="M1962">
        <v>5.09</v>
      </c>
      <c r="N1962">
        <v>2.3</v>
      </c>
    </row>
    <row r="1963" spans="1:14">
      <c r="A1963" s="1" t="s">
        <v>1975</v>
      </c>
      <c r="B1963">
        <f>HYPERLINK("https://www.suredividend.com/sure-analysis-research-database/","NCR Corp.")</f>
        <v>0</v>
      </c>
      <c r="C1963" t="s">
        <v>3222</v>
      </c>
      <c r="D1963">
        <v>40.43</v>
      </c>
      <c r="E1963">
        <v>0</v>
      </c>
      <c r="H1963">
        <v>0</v>
      </c>
      <c r="I1963">
        <v>5494.437</v>
      </c>
      <c r="J1963">
        <v>67.83255555555554</v>
      </c>
      <c r="K1963">
        <v>0</v>
      </c>
      <c r="L1963">
        <v>1.67114228117389</v>
      </c>
      <c r="M1963">
        <v>50</v>
      </c>
      <c r="N1963">
        <v>34.3</v>
      </c>
    </row>
    <row r="1964" spans="1:14">
      <c r="A1964" s="1" t="s">
        <v>1976</v>
      </c>
      <c r="B1964">
        <f>HYPERLINK("https://www.suredividend.com/sure-analysis-research-database/","NCS Multistage Holdings Inc")</f>
        <v>0</v>
      </c>
      <c r="C1964" t="s">
        <v>3226</v>
      </c>
      <c r="D1964">
        <v>47.05</v>
      </c>
      <c r="E1964">
        <v>0</v>
      </c>
      <c r="H1964">
        <v>0</v>
      </c>
      <c r="I1964">
        <v>113.206676</v>
      </c>
      <c r="J1964">
        <v>0</v>
      </c>
      <c r="K1964" t="s">
        <v>3219</v>
      </c>
      <c r="M1964">
        <v>62.53</v>
      </c>
      <c r="N1964">
        <v>21.64</v>
      </c>
    </row>
    <row r="1965" spans="1:14">
      <c r="A1965" s="1" t="s">
        <v>1977</v>
      </c>
      <c r="B1965">
        <f>HYPERLINK("https://www.suredividend.com/sure-analysis-research-database/","Nasdaq Inc")</f>
        <v>0</v>
      </c>
      <c r="C1965" t="s">
        <v>3221</v>
      </c>
      <c r="D1965">
        <v>178.55</v>
      </c>
      <c r="E1965">
        <v>0.012043865146272</v>
      </c>
      <c r="F1965">
        <v>0.1020408163265307</v>
      </c>
      <c r="G1965">
        <v>0.07280807218764251</v>
      </c>
      <c r="H1965">
        <v>2.150432121866925</v>
      </c>
      <c r="I1965">
        <v>29355.782955</v>
      </c>
      <c r="J1965">
        <v>24.73107241339511</v>
      </c>
      <c r="K1965">
        <v>0.3050258328889255</v>
      </c>
      <c r="L1965">
        <v>0.9081981112990271</v>
      </c>
      <c r="M1965">
        <v>213.69</v>
      </c>
      <c r="N1965">
        <v>154.87</v>
      </c>
    </row>
    <row r="1966" spans="1:14">
      <c r="A1966" s="1" t="s">
        <v>1978</v>
      </c>
      <c r="B1966">
        <f>HYPERLINK("https://www.suredividend.com/sure-analysis-research-database/","Noodles &amp; Company")</f>
        <v>0</v>
      </c>
      <c r="C1966" t="s">
        <v>3223</v>
      </c>
      <c r="D1966">
        <v>5.3</v>
      </c>
      <c r="E1966">
        <v>0</v>
      </c>
      <c r="H1966">
        <v>0</v>
      </c>
      <c r="I1966">
        <v>242.236717</v>
      </c>
      <c r="J1966">
        <v>0</v>
      </c>
      <c r="K1966" t="s">
        <v>3219</v>
      </c>
      <c r="L1966">
        <v>1.299310700374301</v>
      </c>
      <c r="M1966">
        <v>13.55</v>
      </c>
      <c r="N1966">
        <v>5.12</v>
      </c>
    </row>
    <row r="1967" spans="1:14">
      <c r="A1967" s="1" t="s">
        <v>1979</v>
      </c>
      <c r="B1967">
        <f>HYPERLINK("https://www.suredividend.com/sure-analysis-NDSN/","Nordson Corp.")</f>
        <v>0</v>
      </c>
      <c r="C1967" t="s">
        <v>3220</v>
      </c>
      <c r="D1967">
        <v>214.74</v>
      </c>
      <c r="E1967">
        <v>0.009499860296172115</v>
      </c>
      <c r="F1967">
        <v>0.3076923076923077</v>
      </c>
      <c r="G1967">
        <v>0.1356415724960776</v>
      </c>
      <c r="H1967">
        <v>1.914154531079289</v>
      </c>
      <c r="I1967">
        <v>12442.158002</v>
      </c>
      <c r="J1967">
        <v>25.02470459638573</v>
      </c>
      <c r="K1967">
        <v>0.2262594008367954</v>
      </c>
      <c r="L1967">
        <v>1.030005837916842</v>
      </c>
      <c r="M1967">
        <v>271.12</v>
      </c>
      <c r="N1967">
        <v>195.54</v>
      </c>
    </row>
    <row r="1968" spans="1:14">
      <c r="A1968" s="1" t="s">
        <v>1980</v>
      </c>
      <c r="B1968">
        <f>HYPERLINK("https://www.suredividend.com/sure-analysis-research-database/","Noble Corp")</f>
        <v>0</v>
      </c>
      <c r="C1968" t="s">
        <v>3226</v>
      </c>
      <c r="D1968">
        <v>33.97</v>
      </c>
      <c r="E1968">
        <v>0</v>
      </c>
      <c r="H1968">
        <v>0</v>
      </c>
      <c r="I1968">
        <v>2102.356286</v>
      </c>
      <c r="J1968">
        <v>0</v>
      </c>
      <c r="K1968" t="s">
        <v>3219</v>
      </c>
      <c r="M1968">
        <v>36.79</v>
      </c>
      <c r="N1968">
        <v>20.34</v>
      </c>
    </row>
    <row r="1969" spans="1:14">
      <c r="A1969" s="1" t="s">
        <v>1981</v>
      </c>
      <c r="B1969">
        <f>HYPERLINK("https://www.suredividend.com/sure-analysis-NEE/","NextEra Energy Inc")</f>
        <v>0</v>
      </c>
      <c r="C1969" t="s">
        <v>3227</v>
      </c>
      <c r="D1969">
        <v>82.81</v>
      </c>
      <c r="E1969">
        <v>0.02052892162782273</v>
      </c>
      <c r="F1969">
        <v>0.1038961038961039</v>
      </c>
      <c r="G1969">
        <v>-0.1543098462331344</v>
      </c>
      <c r="H1969">
        <v>1.568525160645385</v>
      </c>
      <c r="I1969">
        <v>162230.582725</v>
      </c>
      <c r="J1969">
        <v>45.40458514556955</v>
      </c>
      <c r="K1969">
        <v>0.8665884865444117</v>
      </c>
      <c r="L1969">
        <v>0.5214667764923211</v>
      </c>
      <c r="M1969">
        <v>93.20999999999999</v>
      </c>
      <c r="N1969">
        <v>69.41</v>
      </c>
    </row>
    <row r="1970" spans="1:14">
      <c r="A1970" s="1" t="s">
        <v>1982</v>
      </c>
      <c r="B1970">
        <f>HYPERLINK("https://www.suredividend.com/sure-analysis-NEM/","Newmont Corp")</f>
        <v>0</v>
      </c>
      <c r="C1970" t="s">
        <v>3218</v>
      </c>
      <c r="D1970">
        <v>84.77</v>
      </c>
      <c r="E1970">
        <v>0.02595257756281704</v>
      </c>
      <c r="F1970">
        <v>0</v>
      </c>
      <c r="G1970">
        <v>0.4895678330272486</v>
      </c>
      <c r="H1970">
        <v>2.172551509809688</v>
      </c>
      <c r="I1970">
        <v>67184.419165</v>
      </c>
      <c r="J1970">
        <v>57.61957046765866</v>
      </c>
      <c r="K1970">
        <v>1.488048979321704</v>
      </c>
      <c r="L1970">
        <v>-0.129775719502214</v>
      </c>
      <c r="M1970">
        <v>85.29000000000001</v>
      </c>
      <c r="N1970">
        <v>51.72</v>
      </c>
    </row>
    <row r="1971" spans="1:14">
      <c r="A1971" s="1" t="s">
        <v>1983</v>
      </c>
      <c r="B1971">
        <f>HYPERLINK("https://www.suredividend.com/sure-analysis-research-database/","Neogenomics Inc.")</f>
        <v>0</v>
      </c>
      <c r="C1971" t="s">
        <v>3217</v>
      </c>
      <c r="D1971">
        <v>12.31</v>
      </c>
      <c r="E1971">
        <v>0</v>
      </c>
      <c r="H1971">
        <v>0</v>
      </c>
      <c r="I1971">
        <v>1526.757179</v>
      </c>
      <c r="J1971" t="s">
        <v>3219</v>
      </c>
      <c r="K1971">
        <v>-0</v>
      </c>
      <c r="L1971">
        <v>1.647062954038308</v>
      </c>
      <c r="M1971">
        <v>54.74</v>
      </c>
      <c r="N1971">
        <v>11</v>
      </c>
    </row>
    <row r="1972" spans="1:14">
      <c r="A1972" s="1" t="s">
        <v>1984</v>
      </c>
      <c r="B1972">
        <f>HYPERLINK("https://www.suredividend.com/sure-analysis-research-database/","Neogen Corp.")</f>
        <v>0</v>
      </c>
      <c r="C1972" t="s">
        <v>3217</v>
      </c>
      <c r="D1972">
        <v>30.06</v>
      </c>
      <c r="E1972">
        <v>0</v>
      </c>
      <c r="H1972">
        <v>0</v>
      </c>
      <c r="I1972">
        <v>3241.01386</v>
      </c>
      <c r="J1972">
        <v>65.99767572574733</v>
      </c>
      <c r="K1972">
        <v>0</v>
      </c>
      <c r="L1972">
        <v>0.797134846891268</v>
      </c>
      <c r="M1972">
        <v>48.85</v>
      </c>
      <c r="N1972">
        <v>29.71</v>
      </c>
    </row>
    <row r="1973" spans="1:14">
      <c r="A1973" s="1" t="s">
        <v>1985</v>
      </c>
      <c r="B1973">
        <f>HYPERLINK("https://www.suredividend.com/sure-analysis-research-database/","Neonode Inc.")</f>
        <v>0</v>
      </c>
      <c r="C1973" t="s">
        <v>3222</v>
      </c>
      <c r="D1973">
        <v>5.1</v>
      </c>
      <c r="E1973">
        <v>0</v>
      </c>
      <c r="H1973">
        <v>0</v>
      </c>
      <c r="I1973">
        <v>69.23735499999999</v>
      </c>
      <c r="J1973" t="s">
        <v>3219</v>
      </c>
      <c r="K1973">
        <v>-0</v>
      </c>
      <c r="L1973">
        <v>1.817612729134429</v>
      </c>
      <c r="M1973">
        <v>12.42</v>
      </c>
      <c r="N1973">
        <v>3.7</v>
      </c>
    </row>
    <row r="1974" spans="1:14">
      <c r="A1974" s="1" t="s">
        <v>1986</v>
      </c>
      <c r="B1974">
        <f>HYPERLINK("https://www.suredividend.com/sure-analysis-research-database/","Neos Therapeutics Inc")</f>
        <v>0</v>
      </c>
      <c r="C1974" t="s">
        <v>3217</v>
      </c>
      <c r="D1974">
        <v>1.15</v>
      </c>
      <c r="E1974">
        <v>0</v>
      </c>
      <c r="H1974">
        <v>0</v>
      </c>
      <c r="I1974">
        <v>0</v>
      </c>
      <c r="J1974">
        <v>0</v>
      </c>
      <c r="K1974">
        <v>-0</v>
      </c>
    </row>
    <row r="1975" spans="1:14">
      <c r="A1975" s="1" t="s">
        <v>1987</v>
      </c>
      <c r="B1975">
        <f>HYPERLINK("https://www.suredividend.com/sure-analysis-research-database/","Minerva Neurosciences Inc")</f>
        <v>0</v>
      </c>
      <c r="C1975" t="s">
        <v>3217</v>
      </c>
      <c r="D1975">
        <v>0.7789</v>
      </c>
      <c r="E1975">
        <v>0</v>
      </c>
      <c r="H1975">
        <v>0</v>
      </c>
      <c r="I1975">
        <v>33.275828</v>
      </c>
      <c r="J1975">
        <v>0</v>
      </c>
      <c r="K1975" t="s">
        <v>3219</v>
      </c>
      <c r="L1975">
        <v>0.797766465570359</v>
      </c>
      <c r="M1975">
        <v>3.54</v>
      </c>
      <c r="N1975">
        <v>0.63</v>
      </c>
    </row>
    <row r="1976" spans="1:14">
      <c r="A1976" s="1" t="s">
        <v>1988</v>
      </c>
      <c r="B1976">
        <f>HYPERLINK("https://www.suredividend.com/sure-analysis-research-database/","Net Element Inc.")</f>
        <v>0</v>
      </c>
      <c r="C1976" t="s">
        <v>3222</v>
      </c>
      <c r="D1976">
        <v>11.77</v>
      </c>
      <c r="E1976">
        <v>0</v>
      </c>
      <c r="H1976">
        <v>0</v>
      </c>
      <c r="I1976">
        <v>70.74211699999999</v>
      </c>
      <c r="J1976">
        <v>0</v>
      </c>
      <c r="K1976" t="s">
        <v>3219</v>
      </c>
      <c r="M1976">
        <v>19.15</v>
      </c>
      <c r="N1976">
        <v>5.72</v>
      </c>
    </row>
    <row r="1977" spans="1:14">
      <c r="A1977" s="1" t="s">
        <v>1989</v>
      </c>
      <c r="B1977">
        <f>HYPERLINK("https://www.suredividend.com/sure-analysis-research-database/","NewMarket Corp.")</f>
        <v>0</v>
      </c>
      <c r="C1977" t="s">
        <v>3218</v>
      </c>
      <c r="D1977">
        <v>331.57</v>
      </c>
      <c r="E1977">
        <v>0.024497816566903</v>
      </c>
      <c r="F1977">
        <v>0.1052631578947369</v>
      </c>
      <c r="G1977">
        <v>0.03713728933664817</v>
      </c>
      <c r="H1977">
        <v>8.122741039088105</v>
      </c>
      <c r="I1977">
        <v>3420.86903</v>
      </c>
      <c r="J1977">
        <v>17.96240945176061</v>
      </c>
      <c r="K1977">
        <v>0.4586527972381764</v>
      </c>
      <c r="L1977">
        <v>0.663088188267372</v>
      </c>
      <c r="M1977">
        <v>380.6</v>
      </c>
      <c r="N1977">
        <v>291.6</v>
      </c>
    </row>
    <row r="1978" spans="1:14">
      <c r="A1978" s="1" t="s">
        <v>1990</v>
      </c>
      <c r="B1978">
        <f>HYPERLINK("https://www.suredividend.com/sure-analysis-research-database/","New Relic Inc")</f>
        <v>0</v>
      </c>
      <c r="C1978" t="s">
        <v>3222</v>
      </c>
      <c r="D1978">
        <v>71.88</v>
      </c>
      <c r="E1978">
        <v>0</v>
      </c>
      <c r="H1978">
        <v>0</v>
      </c>
      <c r="I1978">
        <v>4756.596249</v>
      </c>
      <c r="J1978" t="s">
        <v>3219</v>
      </c>
      <c r="K1978">
        <v>-0</v>
      </c>
      <c r="L1978">
        <v>0.955415810441791</v>
      </c>
      <c r="M1978">
        <v>129.7</v>
      </c>
      <c r="N1978">
        <v>51.52</v>
      </c>
    </row>
    <row r="1979" spans="1:14">
      <c r="A1979" s="1" t="s">
        <v>1991</v>
      </c>
      <c r="B1979">
        <f>HYPERLINK("https://www.suredividend.com/sure-analysis-research-database/","Northfield Bancorp Inc")</f>
        <v>0</v>
      </c>
      <c r="C1979" t="s">
        <v>3221</v>
      </c>
      <c r="D1979">
        <v>13.53</v>
      </c>
      <c r="E1979">
        <v>0.037981133452118</v>
      </c>
      <c r="F1979">
        <v>0.1818181818181819</v>
      </c>
      <c r="G1979">
        <v>0.1019722877214801</v>
      </c>
      <c r="H1979">
        <v>0.5138847356071671</v>
      </c>
      <c r="I1979">
        <v>661.764639</v>
      </c>
      <c r="J1979">
        <v>9.366272813428822</v>
      </c>
      <c r="K1979">
        <v>0.3544032659359773</v>
      </c>
      <c r="L1979">
        <v>0.488851244030184</v>
      </c>
      <c r="M1979">
        <v>18.24</v>
      </c>
      <c r="N1979">
        <v>13.41</v>
      </c>
    </row>
    <row r="1980" spans="1:14">
      <c r="A1980" s="1" t="s">
        <v>1992</v>
      </c>
      <c r="B1980">
        <f>HYPERLINK("https://www.suredividend.com/sure-analysis-NFG/","National Fuel Gas Co.")</f>
        <v>0</v>
      </c>
      <c r="C1980" t="s">
        <v>3226</v>
      </c>
      <c r="D1980">
        <v>71.53</v>
      </c>
      <c r="E1980">
        <v>0.02544386970501887</v>
      </c>
      <c r="F1980">
        <v>0.02247191011235961</v>
      </c>
      <c r="G1980">
        <v>0.01857417298664354</v>
      </c>
      <c r="H1980">
        <v>1.800876419103074</v>
      </c>
      <c r="I1980">
        <v>6540.983669</v>
      </c>
      <c r="J1980">
        <v>15.63837201087827</v>
      </c>
      <c r="K1980">
        <v>0.3949290392769899</v>
      </c>
      <c r="L1980">
        <v>0.509292132352626</v>
      </c>
      <c r="M1980">
        <v>71.59999999999999</v>
      </c>
      <c r="N1980">
        <v>47.91</v>
      </c>
    </row>
    <row r="1981" spans="1:14">
      <c r="A1981" s="1" t="s">
        <v>1993</v>
      </c>
      <c r="B1981">
        <f>HYPERLINK("https://www.suredividend.com/sure-analysis-research-database/","NetFlix Inc")</f>
        <v>0</v>
      </c>
      <c r="C1981" t="s">
        <v>3228</v>
      </c>
      <c r="D1981">
        <v>341.13</v>
      </c>
      <c r="E1981">
        <v>0</v>
      </c>
      <c r="H1981">
        <v>0</v>
      </c>
      <c r="I1981">
        <v>150709.531079</v>
      </c>
      <c r="J1981">
        <v>29.45715692870607</v>
      </c>
      <c r="K1981">
        <v>0</v>
      </c>
      <c r="L1981">
        <v>1.321017439474618</v>
      </c>
      <c r="M1981">
        <v>700.99</v>
      </c>
      <c r="N1981">
        <v>329.82</v>
      </c>
    </row>
    <row r="1982" spans="1:14">
      <c r="A1982" s="1" t="s">
        <v>1994</v>
      </c>
      <c r="B1982">
        <f>HYPERLINK("https://www.suredividend.com/sure-analysis-research-database/","National General Holdings Corp")</f>
        <v>0</v>
      </c>
      <c r="C1982" t="s">
        <v>3221</v>
      </c>
      <c r="D1982">
        <v>34.18</v>
      </c>
      <c r="E1982">
        <v>0</v>
      </c>
      <c r="H1982">
        <v>0.200000002980232</v>
      </c>
      <c r="I1982">
        <v>0</v>
      </c>
      <c r="J1982">
        <v>0</v>
      </c>
      <c r="K1982">
        <v>0.05154639252067836</v>
      </c>
    </row>
    <row r="1983" spans="1:14">
      <c r="A1983" s="1" t="s">
        <v>1995</v>
      </c>
      <c r="B1983">
        <f>HYPERLINK("https://www.suredividend.com/sure-analysis-research-database/","Natural Gas Services Group, Inc.")</f>
        <v>0</v>
      </c>
      <c r="C1983" t="s">
        <v>3226</v>
      </c>
      <c r="D1983">
        <v>13.54</v>
      </c>
      <c r="E1983">
        <v>0</v>
      </c>
      <c r="H1983">
        <v>0</v>
      </c>
      <c r="I1983">
        <v>176.544255</v>
      </c>
      <c r="J1983" t="s">
        <v>3219</v>
      </c>
      <c r="K1983">
        <v>-0</v>
      </c>
      <c r="L1983">
        <v>0.473464964760776</v>
      </c>
      <c r="M1983">
        <v>14.04</v>
      </c>
      <c r="N1983">
        <v>8.9</v>
      </c>
    </row>
    <row r="1984" spans="1:14">
      <c r="A1984" s="1" t="s">
        <v>1996</v>
      </c>
      <c r="B1984">
        <f>HYPERLINK("https://www.suredividend.com/sure-analysis-research-database/","Natural Grocers by Vitamin Cottage Inc")</f>
        <v>0</v>
      </c>
      <c r="C1984" t="s">
        <v>3225</v>
      </c>
      <c r="D1984">
        <v>21.02</v>
      </c>
      <c r="E1984">
        <v>0.01608732896703</v>
      </c>
      <c r="H1984">
        <v>0.338155654886974</v>
      </c>
      <c r="I1984">
        <v>475.974568</v>
      </c>
      <c r="J1984">
        <v>18.40297586606867</v>
      </c>
      <c r="K1984">
        <v>0.296627767444714</v>
      </c>
      <c r="L1984">
        <v>0.222574744049071</v>
      </c>
      <c r="M1984">
        <v>21.99</v>
      </c>
      <c r="N1984">
        <v>9.82</v>
      </c>
    </row>
    <row r="1985" spans="1:14">
      <c r="A1985" s="1" t="s">
        <v>1997</v>
      </c>
      <c r="B1985">
        <f>HYPERLINK("https://www.suredividend.com/sure-analysis-research-database/","Ingevity Corp")</f>
        <v>0</v>
      </c>
      <c r="C1985" t="s">
        <v>3218</v>
      </c>
      <c r="D1985">
        <v>62.35</v>
      </c>
      <c r="E1985">
        <v>0</v>
      </c>
      <c r="H1985">
        <v>0</v>
      </c>
      <c r="I1985">
        <v>2431.693645</v>
      </c>
      <c r="J1985">
        <v>20.59012400508044</v>
      </c>
      <c r="K1985">
        <v>0</v>
      </c>
      <c r="L1985">
        <v>1.093498431923376</v>
      </c>
      <c r="M1985">
        <v>89.55</v>
      </c>
      <c r="N1985">
        <v>56.31</v>
      </c>
    </row>
    <row r="1986" spans="1:14">
      <c r="A1986" s="1" t="s">
        <v>1998</v>
      </c>
      <c r="B1986">
        <f>HYPERLINK("https://www.suredividend.com/sure-analysis-research-database/","National Healthcare Corp.")</f>
        <v>0</v>
      </c>
      <c r="C1986" t="s">
        <v>3217</v>
      </c>
      <c r="D1986">
        <v>71.98999999999999</v>
      </c>
      <c r="E1986">
        <v>0.029392378450438</v>
      </c>
      <c r="F1986">
        <v>0.05769230769230771</v>
      </c>
      <c r="G1986">
        <v>0.02760046099310043</v>
      </c>
      <c r="H1986">
        <v>2.115957324647082</v>
      </c>
      <c r="I1986">
        <v>1113.781047</v>
      </c>
      <c r="J1986">
        <v>8.036518123241214</v>
      </c>
      <c r="K1986">
        <v>0.2353678892822116</v>
      </c>
      <c r="L1986">
        <v>0.5593181946877981</v>
      </c>
      <c r="M1986">
        <v>76.63</v>
      </c>
      <c r="N1986">
        <v>61.51</v>
      </c>
    </row>
    <row r="1987" spans="1:14">
      <c r="A1987" s="1" t="s">
        <v>1999</v>
      </c>
      <c r="B1987">
        <f>HYPERLINK("https://www.suredividend.com/sure-analysis-NHI/","National Health Investors, Inc.")</f>
        <v>0</v>
      </c>
      <c r="C1987" t="s">
        <v>3224</v>
      </c>
      <c r="D1987">
        <v>55.81</v>
      </c>
      <c r="E1987">
        <v>0.06450456907364271</v>
      </c>
      <c r="F1987">
        <v>-0.1836734693877551</v>
      </c>
      <c r="G1987">
        <v>-0.01075518913431428</v>
      </c>
      <c r="H1987">
        <v>3.518095847661278</v>
      </c>
      <c r="I1987">
        <v>2558.92193</v>
      </c>
      <c r="J1987">
        <v>22.88757048218311</v>
      </c>
      <c r="K1987">
        <v>1.441842560516917</v>
      </c>
      <c r="L1987">
        <v>0.459602925915176</v>
      </c>
      <c r="M1987">
        <v>70.55</v>
      </c>
      <c r="N1987">
        <v>49.35</v>
      </c>
    </row>
    <row r="1988" spans="1:14">
      <c r="A1988" s="1" t="s">
        <v>2000</v>
      </c>
      <c r="B1988">
        <f>HYPERLINK("https://www.suredividend.com/sure-analysis-research-database/","Natural Health Trends Corp.")</f>
        <v>0</v>
      </c>
      <c r="C1988" t="s">
        <v>3223</v>
      </c>
      <c r="D1988">
        <v>7.12</v>
      </c>
      <c r="E1988">
        <v>0.108121647221323</v>
      </c>
      <c r="F1988">
        <v>0</v>
      </c>
      <c r="G1988">
        <v>0.1075663432482901</v>
      </c>
      <c r="H1988">
        <v>0.7698261282158241</v>
      </c>
      <c r="I1988">
        <v>81.328478</v>
      </c>
      <c r="J1988">
        <v>0</v>
      </c>
      <c r="K1988" t="s">
        <v>3219</v>
      </c>
      <c r="L1988">
        <v>0.279580926839518</v>
      </c>
      <c r="M1988">
        <v>7.91</v>
      </c>
      <c r="N1988">
        <v>6.01</v>
      </c>
    </row>
    <row r="1989" spans="1:14">
      <c r="A1989" s="1" t="s">
        <v>2001</v>
      </c>
      <c r="B1989">
        <f>HYPERLINK("https://www.suredividend.com/sure-analysis-research-database/","Nisource Inc. (Holding Co.)")</f>
        <v>0</v>
      </c>
      <c r="C1989" t="s">
        <v>3227</v>
      </c>
      <c r="D1989">
        <v>31.75</v>
      </c>
      <c r="E1989">
        <v>0.027841994639707</v>
      </c>
      <c r="F1989">
        <v>0.06818181818181834</v>
      </c>
      <c r="G1989">
        <v>0.06073271303853334</v>
      </c>
      <c r="H1989">
        <v>0.883983329810726</v>
      </c>
      <c r="I1989">
        <v>12870.974068</v>
      </c>
      <c r="J1989">
        <v>24.29402428746697</v>
      </c>
      <c r="K1989">
        <v>0.6960498659926977</v>
      </c>
      <c r="L1989">
        <v>0.309891119922177</v>
      </c>
      <c r="M1989">
        <v>32.59</v>
      </c>
      <c r="N1989">
        <v>23.25</v>
      </c>
    </row>
    <row r="1990" spans="1:14">
      <c r="A1990" s="1" t="s">
        <v>2002</v>
      </c>
      <c r="B1990">
        <f>HYPERLINK("https://www.suredividend.com/sure-analysis-research-database/","Nicholas Financial, Inc.")</f>
        <v>0</v>
      </c>
      <c r="C1990" t="s">
        <v>3221</v>
      </c>
      <c r="D1990">
        <v>10.29</v>
      </c>
      <c r="E1990">
        <v>0</v>
      </c>
      <c r="H1990">
        <v>0</v>
      </c>
      <c r="I1990">
        <v>130.683</v>
      </c>
      <c r="J1990">
        <v>0</v>
      </c>
      <c r="K1990" t="s">
        <v>3219</v>
      </c>
      <c r="M1990">
        <v>12.5</v>
      </c>
      <c r="N1990">
        <v>9.5</v>
      </c>
    </row>
    <row r="1991" spans="1:14">
      <c r="A1991" s="1" t="s">
        <v>2003</v>
      </c>
      <c r="B1991">
        <f>HYPERLINK("https://www.suredividend.com/sure-analysis-research-database/","Nine Energy Service Inc")</f>
        <v>0</v>
      </c>
      <c r="C1991" t="s">
        <v>3226</v>
      </c>
      <c r="D1991">
        <v>3.34</v>
      </c>
      <c r="E1991">
        <v>0</v>
      </c>
      <c r="H1991">
        <v>0</v>
      </c>
      <c r="I1991">
        <v>102.115116</v>
      </c>
      <c r="J1991" t="s">
        <v>3219</v>
      </c>
      <c r="K1991">
        <v>-0</v>
      </c>
      <c r="L1991">
        <v>-1.339839491893773</v>
      </c>
      <c r="M1991">
        <v>8.1</v>
      </c>
      <c r="N1991">
        <v>0.794</v>
      </c>
    </row>
    <row r="1992" spans="1:14">
      <c r="A1992" s="1" t="s">
        <v>2004</v>
      </c>
      <c r="B1992">
        <f>HYPERLINK("https://www.suredividend.com/sure-analysis-NJR/","New Jersey Resources Corporation")</f>
        <v>0</v>
      </c>
      <c r="C1992" t="s">
        <v>3227</v>
      </c>
      <c r="D1992">
        <v>45.79</v>
      </c>
      <c r="E1992">
        <v>0.03166630268617602</v>
      </c>
      <c r="F1992">
        <v>0.09022556390977443</v>
      </c>
      <c r="G1992">
        <v>0.07288596995728391</v>
      </c>
      <c r="H1992">
        <v>1.401636965052479</v>
      </c>
      <c r="I1992">
        <v>4398.651598</v>
      </c>
      <c r="J1992">
        <v>29.68912435848458</v>
      </c>
      <c r="K1992">
        <v>0.916102591537568</v>
      </c>
      <c r="L1992">
        <v>0.5089772262475301</v>
      </c>
      <c r="M1992">
        <v>47.23</v>
      </c>
      <c r="N1992">
        <v>33.81</v>
      </c>
    </row>
    <row r="1993" spans="1:14">
      <c r="A1993" s="1" t="s">
        <v>2005</v>
      </c>
      <c r="B1993">
        <f>HYPERLINK("https://www.suredividend.com/sure-analysis-NKE/","Nike, Inc.")</f>
        <v>0</v>
      </c>
      <c r="C1993" t="s">
        <v>3223</v>
      </c>
      <c r="D1993">
        <v>133.46</v>
      </c>
      <c r="E1993">
        <v>0.009141315750037463</v>
      </c>
      <c r="F1993">
        <v>0.1090909090909089</v>
      </c>
      <c r="G1993">
        <v>0.1112338617639914</v>
      </c>
      <c r="H1993">
        <v>1.156617789140027</v>
      </c>
      <c r="I1993">
        <v>209509.513935</v>
      </c>
      <c r="J1993">
        <v>34.25597023141923</v>
      </c>
      <c r="K1993">
        <v>0.3059835421005362</v>
      </c>
      <c r="L1993">
        <v>1.073763797356014</v>
      </c>
      <c r="M1993">
        <v>178.37</v>
      </c>
      <c r="N1993">
        <v>116.75</v>
      </c>
    </row>
    <row r="1994" spans="1:14">
      <c r="A1994" s="1" t="s">
        <v>2006</v>
      </c>
      <c r="B1994">
        <f>HYPERLINK("https://www.suredividend.com/sure-analysis-research-database/","National Bankshares Inc.")</f>
        <v>0</v>
      </c>
      <c r="C1994" t="s">
        <v>3221</v>
      </c>
      <c r="D1994">
        <v>35</v>
      </c>
      <c r="E1994">
        <v>0.040762097732092</v>
      </c>
      <c r="H1994">
        <v>1.426673420623238</v>
      </c>
      <c r="I1994">
        <v>210.79632</v>
      </c>
      <c r="J1994">
        <v>10.34227848101266</v>
      </c>
      <c r="K1994">
        <v>0.4349614087265969</v>
      </c>
      <c r="L1994">
        <v>0.372234333470664</v>
      </c>
      <c r="M1994">
        <v>38.88</v>
      </c>
      <c r="N1994">
        <v>31.42</v>
      </c>
    </row>
    <row r="1995" spans="1:14">
      <c r="A1995" s="1" t="s">
        <v>2007</v>
      </c>
      <c r="B1995">
        <f>HYPERLINK("https://www.suredividend.com/sure-analysis-research-database/","Nektar Therapeutics")</f>
        <v>0</v>
      </c>
      <c r="C1995" t="s">
        <v>3217</v>
      </c>
      <c r="D1995">
        <v>6.16</v>
      </c>
      <c r="E1995">
        <v>0</v>
      </c>
      <c r="H1995">
        <v>0</v>
      </c>
      <c r="I1995">
        <v>1147.448801</v>
      </c>
      <c r="J1995" t="s">
        <v>3219</v>
      </c>
      <c r="K1995">
        <v>-0</v>
      </c>
      <c r="M1995">
        <v>20.66</v>
      </c>
      <c r="N1995">
        <v>3.88</v>
      </c>
    </row>
    <row r="1996" spans="1:14">
      <c r="A1996" s="1" t="s">
        <v>2008</v>
      </c>
      <c r="B1996">
        <f>HYPERLINK("https://www.suredividend.com/sure-analysis-research-database/","NL Industries, Inc.")</f>
        <v>0</v>
      </c>
      <c r="C1996" t="s">
        <v>3220</v>
      </c>
      <c r="D1996">
        <v>7.05</v>
      </c>
      <c r="E1996">
        <v>0.034953640066665</v>
      </c>
      <c r="H1996">
        <v>0.24642316246999</v>
      </c>
      <c r="I1996">
        <v>344.059275</v>
      </c>
      <c r="J1996">
        <v>6.721483056575759</v>
      </c>
      <c r="K1996">
        <v>0.2346887261618952</v>
      </c>
      <c r="L1996">
        <v>1.283087324137422</v>
      </c>
      <c r="M1996">
        <v>8.15</v>
      </c>
      <c r="N1996">
        <v>5.06</v>
      </c>
    </row>
    <row r="1997" spans="1:14">
      <c r="A1997" s="1" t="s">
        <v>2009</v>
      </c>
      <c r="B1997">
        <f>HYPERLINK("https://www.suredividend.com/sure-analysis-research-database/","Nautilus Inc")</f>
        <v>0</v>
      </c>
      <c r="C1997" t="s">
        <v>3223</v>
      </c>
      <c r="D1997">
        <v>3.94</v>
      </c>
      <c r="E1997">
        <v>0</v>
      </c>
      <c r="H1997">
        <v>0</v>
      </c>
      <c r="I1997">
        <v>123.118294</v>
      </c>
      <c r="J1997">
        <v>4.980715001415915</v>
      </c>
      <c r="K1997">
        <v>0</v>
      </c>
      <c r="L1997">
        <v>1.19319231625186</v>
      </c>
      <c r="M1997">
        <v>18.59</v>
      </c>
      <c r="N1997">
        <v>3.62</v>
      </c>
    </row>
    <row r="1998" spans="1:14">
      <c r="A1998" s="1" t="s">
        <v>2010</v>
      </c>
      <c r="B1998">
        <f>HYPERLINK("https://www.suredividend.com/sure-analysis-NLSN/","Nielsen Holdings plc")</f>
        <v>0</v>
      </c>
      <c r="C1998" t="s">
        <v>3220</v>
      </c>
      <c r="D1998">
        <v>27.4</v>
      </c>
      <c r="E1998">
        <v>0.008759124087591242</v>
      </c>
      <c r="F1998">
        <v>0</v>
      </c>
      <c r="G1998">
        <v>-0.29313827425686</v>
      </c>
      <c r="H1998">
        <v>0.238894949303127</v>
      </c>
      <c r="I1998">
        <v>9850.678475999999</v>
      </c>
      <c r="J1998">
        <v>10.22915729615784</v>
      </c>
      <c r="K1998">
        <v>0.0894737637839427</v>
      </c>
      <c r="L1998">
        <v>1.057404602938153</v>
      </c>
      <c r="M1998">
        <v>28.11</v>
      </c>
      <c r="N1998">
        <v>15.96</v>
      </c>
    </row>
    <row r="1999" spans="1:14">
      <c r="A1999" s="1" t="s">
        <v>2011</v>
      </c>
      <c r="B1999">
        <f>HYPERLINK("https://www.suredividend.com/sure-analysis-research-database/","Neoleukin Therapeutics Inc")</f>
        <v>0</v>
      </c>
      <c r="C1999" t="s">
        <v>3217</v>
      </c>
      <c r="D1999">
        <v>1.38</v>
      </c>
      <c r="E1999">
        <v>0</v>
      </c>
      <c r="H1999">
        <v>0</v>
      </c>
      <c r="I1999">
        <v>58.64168</v>
      </c>
      <c r="J1999">
        <v>0</v>
      </c>
      <c r="K1999" t="s">
        <v>3219</v>
      </c>
      <c r="L1999">
        <v>2.152728901320389</v>
      </c>
      <c r="M1999">
        <v>13.4</v>
      </c>
      <c r="N1999">
        <v>1.36</v>
      </c>
    </row>
    <row r="2000" spans="1:14">
      <c r="A2000" s="1" t="s">
        <v>2012</v>
      </c>
      <c r="B2000">
        <f>HYPERLINK("https://www.suredividend.com/sure-analysis-NLY/","Annaly Capital Management Inc")</f>
        <v>0</v>
      </c>
      <c r="C2000" t="s">
        <v>3224</v>
      </c>
      <c r="D2000">
        <v>6.77</v>
      </c>
      <c r="E2000">
        <v>0.1299852289512556</v>
      </c>
      <c r="F2000">
        <v>0</v>
      </c>
      <c r="G2000">
        <v>-0.06014623565001143</v>
      </c>
      <c r="H2000">
        <v>0.8438267768316821</v>
      </c>
      <c r="I2000">
        <v>9891.052946</v>
      </c>
      <c r="J2000">
        <v>4.333687766736594</v>
      </c>
      <c r="K2000">
        <v>0.5273917355198012</v>
      </c>
      <c r="L2000">
        <v>0.6902876366146501</v>
      </c>
      <c r="M2000">
        <v>8.66</v>
      </c>
      <c r="N2000">
        <v>6.26</v>
      </c>
    </row>
    <row r="2001" spans="1:14">
      <c r="A2001" s="1" t="s">
        <v>2013</v>
      </c>
      <c r="B2001">
        <f>HYPERLINK("https://www.suredividend.com/sure-analysis-research-database/","NMI Holdings Inc")</f>
        <v>0</v>
      </c>
      <c r="C2001" t="s">
        <v>3221</v>
      </c>
      <c r="D2001">
        <v>19.38</v>
      </c>
      <c r="E2001">
        <v>0</v>
      </c>
      <c r="H2001">
        <v>0</v>
      </c>
      <c r="I2001">
        <v>1663.574995</v>
      </c>
      <c r="J2001">
        <v>0</v>
      </c>
      <c r="K2001" t="s">
        <v>3219</v>
      </c>
      <c r="L2001">
        <v>1.041078371804913</v>
      </c>
      <c r="M2001">
        <v>27.25</v>
      </c>
      <c r="N2001">
        <v>18.17</v>
      </c>
    </row>
    <row r="2002" spans="1:14">
      <c r="A2002" s="1" t="s">
        <v>2014</v>
      </c>
      <c r="B2002">
        <f>HYPERLINK("https://www.suredividend.com/sure-analysis-research-database/","Newmark Group Inc")</f>
        <v>0</v>
      </c>
      <c r="C2002" t="s">
        <v>3224</v>
      </c>
      <c r="D2002">
        <v>13.29</v>
      </c>
      <c r="E2002">
        <v>0.003007038794108</v>
      </c>
      <c r="H2002">
        <v>0.03996354557370101</v>
      </c>
      <c r="I2002">
        <v>2229.752795</v>
      </c>
      <c r="J2002">
        <v>2.994854182596222</v>
      </c>
      <c r="K2002">
        <v>0.010516722519395</v>
      </c>
      <c r="L2002">
        <v>1.515445965662314</v>
      </c>
      <c r="M2002">
        <v>19.09</v>
      </c>
      <c r="N2002">
        <v>10.22</v>
      </c>
    </row>
    <row r="2003" spans="1:14">
      <c r="A2003" s="1" t="s">
        <v>2015</v>
      </c>
      <c r="B2003">
        <f>HYPERLINK("https://www.suredividend.com/sure-analysis-research-database/","NN Inc")</f>
        <v>0</v>
      </c>
      <c r="C2003" t="s">
        <v>3220</v>
      </c>
      <c r="D2003">
        <v>2.47</v>
      </c>
      <c r="E2003">
        <v>0</v>
      </c>
      <c r="H2003">
        <v>0</v>
      </c>
      <c r="I2003">
        <v>106.945203</v>
      </c>
      <c r="J2003" t="s">
        <v>3219</v>
      </c>
      <c r="K2003">
        <v>-0</v>
      </c>
      <c r="L2003">
        <v>1.064836191714695</v>
      </c>
      <c r="M2003">
        <v>9.619999999999999</v>
      </c>
      <c r="N2003">
        <v>2.37</v>
      </c>
    </row>
    <row r="2004" spans="1:14">
      <c r="A2004" s="1" t="s">
        <v>2016</v>
      </c>
      <c r="B2004">
        <f>HYPERLINK("https://www.suredividend.com/sure-analysis-research-database/","Nelnet Inc")</f>
        <v>0</v>
      </c>
      <c r="C2004" t="s">
        <v>3221</v>
      </c>
      <c r="D2004">
        <v>85.11</v>
      </c>
      <c r="E2004">
        <v>0.010764763738082</v>
      </c>
      <c r="F2004">
        <v>0.09090909090909083</v>
      </c>
      <c r="G2004">
        <v>0.1138241786028789</v>
      </c>
      <c r="H2004">
        <v>0.9161890417481631</v>
      </c>
      <c r="I2004">
        <v>2313.698754</v>
      </c>
      <c r="J2004">
        <v>5.882992920037835</v>
      </c>
      <c r="K2004">
        <v>0.08982245507334932</v>
      </c>
      <c r="L2004">
        <v>0.5301119845212801</v>
      </c>
      <c r="M2004">
        <v>99.48999999999999</v>
      </c>
      <c r="N2004">
        <v>71.39</v>
      </c>
    </row>
    <row r="2005" spans="1:14">
      <c r="A2005" s="1" t="s">
        <v>2017</v>
      </c>
      <c r="B2005">
        <f>HYPERLINK("https://www.suredividend.com/sure-analysis-NNN/","National Retail Properties Inc")</f>
        <v>0</v>
      </c>
      <c r="C2005" t="s">
        <v>3224</v>
      </c>
      <c r="D2005">
        <v>46.48</v>
      </c>
      <c r="E2005">
        <v>0.04561101549053357</v>
      </c>
      <c r="F2005">
        <v>0.01923076923076916</v>
      </c>
      <c r="G2005">
        <v>0.03098630066224661</v>
      </c>
      <c r="H2005">
        <v>2.073200259272506</v>
      </c>
      <c r="I2005">
        <v>8163.515451</v>
      </c>
      <c r="J2005">
        <v>30.97779154670471</v>
      </c>
      <c r="K2005">
        <v>1.372980304153977</v>
      </c>
      <c r="L2005">
        <v>0.704233433467306</v>
      </c>
      <c r="M2005">
        <v>48.76</v>
      </c>
      <c r="N2005">
        <v>40.65</v>
      </c>
    </row>
    <row r="2006" spans="1:14">
      <c r="A2006" s="1" t="s">
        <v>2018</v>
      </c>
      <c r="B2006">
        <f>HYPERLINK("https://www.suredividend.com/sure-analysis-research-database/","NanoViricides Inc")</f>
        <v>0</v>
      </c>
      <c r="C2006" t="s">
        <v>3217</v>
      </c>
      <c r="D2006">
        <v>1.8902</v>
      </c>
      <c r="E2006">
        <v>0</v>
      </c>
      <c r="H2006">
        <v>0</v>
      </c>
      <c r="I2006">
        <v>21.801567</v>
      </c>
      <c r="J2006">
        <v>0</v>
      </c>
      <c r="K2006" t="s">
        <v>3219</v>
      </c>
      <c r="L2006">
        <v>0.9382172710930631</v>
      </c>
      <c r="M2006">
        <v>7.86</v>
      </c>
      <c r="N2006">
        <v>1.67</v>
      </c>
    </row>
    <row r="2007" spans="1:14">
      <c r="A2007" s="1" t="s">
        <v>2019</v>
      </c>
      <c r="B2007">
        <f>HYPERLINK("https://www.suredividend.com/sure-analysis-NOC/","Northrop Grumman Corp.")</f>
        <v>0</v>
      </c>
      <c r="C2007" t="s">
        <v>3220</v>
      </c>
      <c r="D2007">
        <v>467.2</v>
      </c>
      <c r="E2007">
        <v>0.01451198630136986</v>
      </c>
      <c r="F2007">
        <v>0.08275862068965534</v>
      </c>
      <c r="G2007">
        <v>0.09440969203387906</v>
      </c>
      <c r="H2007">
        <v>6.25460871401928</v>
      </c>
      <c r="I2007">
        <v>72744.84712999999</v>
      </c>
      <c r="J2007">
        <v>10.38470337324768</v>
      </c>
      <c r="K2007">
        <v>0.1436520145617657</v>
      </c>
      <c r="L2007">
        <v>0.189892690437013</v>
      </c>
      <c r="M2007">
        <v>490.82</v>
      </c>
      <c r="N2007">
        <v>331.85</v>
      </c>
    </row>
    <row r="2008" spans="1:14">
      <c r="A2008" s="1" t="s">
        <v>2020</v>
      </c>
      <c r="B2008">
        <f>HYPERLINK("https://www.suredividend.com/sure-analysis-research-database/","NI Holdings Inc")</f>
        <v>0</v>
      </c>
      <c r="C2008" t="s">
        <v>3221</v>
      </c>
      <c r="D2008">
        <v>16</v>
      </c>
      <c r="E2008">
        <v>0</v>
      </c>
      <c r="H2008">
        <v>0</v>
      </c>
      <c r="I2008">
        <v>340.066608</v>
      </c>
      <c r="J2008">
        <v>0</v>
      </c>
      <c r="K2008" t="s">
        <v>3219</v>
      </c>
      <c r="L2008">
        <v>0.6226718527886921</v>
      </c>
      <c r="M2008">
        <v>21.21</v>
      </c>
      <c r="N2008">
        <v>15.76</v>
      </c>
    </row>
    <row r="2009" spans="1:14">
      <c r="A2009" s="1" t="s">
        <v>2021</v>
      </c>
      <c r="B2009">
        <f>HYPERLINK("https://www.suredividend.com/sure-analysis-research-database/","Northern Oil and Gas Inc.")</f>
        <v>0</v>
      </c>
      <c r="C2009" t="s">
        <v>3226</v>
      </c>
      <c r="D2009">
        <v>28.87</v>
      </c>
      <c r="E2009">
        <v>0.009151470645300001</v>
      </c>
      <c r="H2009">
        <v>0.264202957529839</v>
      </c>
      <c r="I2009">
        <v>2232.838394</v>
      </c>
      <c r="J2009" t="s">
        <v>3219</v>
      </c>
      <c r="K2009" t="s">
        <v>3219</v>
      </c>
      <c r="L2009">
        <v>1.113952854941208</v>
      </c>
      <c r="M2009">
        <v>30.44</v>
      </c>
      <c r="N2009">
        <v>11.75</v>
      </c>
    </row>
    <row r="2010" spans="1:14">
      <c r="A2010" s="1" t="s">
        <v>2022</v>
      </c>
      <c r="B2010">
        <f>HYPERLINK("https://www.suredividend.com/sure-analysis-research-database/","NOV Inc")</f>
        <v>0</v>
      </c>
      <c r="C2010" t="s">
        <v>3226</v>
      </c>
      <c r="D2010">
        <v>20.56</v>
      </c>
      <c r="E2010">
        <v>0.004858067698147</v>
      </c>
      <c r="H2010">
        <v>0.09988187187391701</v>
      </c>
      <c r="I2010">
        <v>8076.478505</v>
      </c>
      <c r="J2010" t="s">
        <v>3219</v>
      </c>
      <c r="K2010" t="s">
        <v>3219</v>
      </c>
      <c r="L2010">
        <v>0.572912146253008</v>
      </c>
      <c r="M2010">
        <v>24</v>
      </c>
      <c r="N2010">
        <v>11.43</v>
      </c>
    </row>
    <row r="2011" spans="1:14">
      <c r="A2011" s="1" t="s">
        <v>2023</v>
      </c>
      <c r="B2011">
        <f>HYPERLINK("https://www.suredividend.com/sure-analysis-research-database/","Novanta Inc")</f>
        <v>0</v>
      </c>
      <c r="C2011" t="s">
        <v>3222</v>
      </c>
      <c r="D2011">
        <v>128.62</v>
      </c>
      <c r="E2011">
        <v>0</v>
      </c>
      <c r="H2011">
        <v>0</v>
      </c>
      <c r="I2011">
        <v>4589.558007</v>
      </c>
      <c r="J2011">
        <v>91.18749889412092</v>
      </c>
      <c r="K2011">
        <v>0</v>
      </c>
      <c r="L2011">
        <v>1.389990908834826</v>
      </c>
      <c r="M2011">
        <v>184.44</v>
      </c>
      <c r="N2011">
        <v>122.17</v>
      </c>
    </row>
    <row r="2012" spans="1:14">
      <c r="A2012" s="1" t="s">
        <v>2024</v>
      </c>
      <c r="B2012">
        <f>HYPERLINK("https://www.suredividend.com/sure-analysis-research-database/","ServiceNow Inc")</f>
        <v>0</v>
      </c>
      <c r="C2012" t="s">
        <v>3222</v>
      </c>
      <c r="D2012">
        <v>507.33</v>
      </c>
      <c r="E2012">
        <v>0</v>
      </c>
      <c r="H2012">
        <v>0</v>
      </c>
      <c r="I2012">
        <v>101466</v>
      </c>
      <c r="J2012">
        <v>441.1565217391305</v>
      </c>
      <c r="K2012">
        <v>0</v>
      </c>
      <c r="L2012">
        <v>1.758560224060249</v>
      </c>
      <c r="M2012">
        <v>707.6</v>
      </c>
      <c r="N2012">
        <v>448.27</v>
      </c>
    </row>
    <row r="2013" spans="1:14">
      <c r="A2013" s="1" t="s">
        <v>2025</v>
      </c>
      <c r="B2013">
        <f>HYPERLINK("https://www.suredividend.com/sure-analysis-research-database/","Neenah Inc")</f>
        <v>0</v>
      </c>
      <c r="C2013" t="s">
        <v>3218</v>
      </c>
      <c r="D2013">
        <v>39.44</v>
      </c>
      <c r="E2013">
        <v>0.047245019909702</v>
      </c>
      <c r="F2013">
        <v>0.0106382978723405</v>
      </c>
      <c r="G2013">
        <v>0.05123152693949451</v>
      </c>
      <c r="H2013">
        <v>1.86334358523866</v>
      </c>
      <c r="I2013">
        <v>662.102707</v>
      </c>
      <c r="J2013" t="s">
        <v>3219</v>
      </c>
      <c r="K2013" t="s">
        <v>3219</v>
      </c>
      <c r="L2013">
        <v>0.8728106054548711</v>
      </c>
      <c r="M2013">
        <v>55.8</v>
      </c>
      <c r="N2013">
        <v>31.46</v>
      </c>
    </row>
    <row r="2014" spans="1:14">
      <c r="A2014" s="1" t="s">
        <v>2026</v>
      </c>
      <c r="B2014">
        <f>HYPERLINK("https://www.suredividend.com/sure-analysis-research-database/","National Presto Industries, Inc.")</f>
        <v>0</v>
      </c>
      <c r="C2014" t="s">
        <v>3220</v>
      </c>
      <c r="D2014">
        <v>77.5</v>
      </c>
      <c r="E2014">
        <v>0.012903225806451</v>
      </c>
      <c r="H2014">
        <v>1</v>
      </c>
      <c r="I2014">
        <v>548.530663</v>
      </c>
      <c r="J2014">
        <v>21.38187660793638</v>
      </c>
      <c r="K2014">
        <v>0.2754820936639119</v>
      </c>
      <c r="L2014">
        <v>0.54710200412869</v>
      </c>
      <c r="M2014">
        <v>106.6</v>
      </c>
      <c r="N2014">
        <v>75.48999999999999</v>
      </c>
    </row>
    <row r="2015" spans="1:14">
      <c r="A2015" s="1" t="s">
        <v>2027</v>
      </c>
      <c r="B2015">
        <f>HYPERLINK("https://www.suredividend.com/sure-analysis-research-database/","EnPro Industries Inc")</f>
        <v>0</v>
      </c>
      <c r="C2015" t="s">
        <v>3220</v>
      </c>
      <c r="D2015">
        <v>97.93000000000001</v>
      </c>
      <c r="E2015">
        <v>0.011086712806238</v>
      </c>
      <c r="F2015">
        <v>0.03703703703703698</v>
      </c>
      <c r="G2015">
        <v>0.04941452284458392</v>
      </c>
      <c r="H2015">
        <v>1.085721785114898</v>
      </c>
      <c r="I2015">
        <v>2051.525189</v>
      </c>
      <c r="J2015">
        <v>11.57745592223476</v>
      </c>
      <c r="K2015">
        <v>0.127432134403157</v>
      </c>
      <c r="L2015">
        <v>1.017733603690052</v>
      </c>
      <c r="M2015">
        <v>117.33</v>
      </c>
      <c r="N2015">
        <v>79.39</v>
      </c>
    </row>
    <row r="2016" spans="1:14">
      <c r="A2016" s="1" t="s">
        <v>2028</v>
      </c>
      <c r="B2016">
        <f>HYPERLINK("https://www.suredividend.com/sure-analysis-research-database/","NeoPhotonics Corporation")</f>
        <v>0</v>
      </c>
      <c r="C2016" t="s">
        <v>3222</v>
      </c>
      <c r="D2016">
        <v>15.21</v>
      </c>
      <c r="E2016">
        <v>0</v>
      </c>
      <c r="H2016">
        <v>0</v>
      </c>
      <c r="I2016">
        <v>808.080196</v>
      </c>
      <c r="J2016">
        <v>0</v>
      </c>
      <c r="K2016" t="s">
        <v>3219</v>
      </c>
      <c r="L2016">
        <v>0.6933465933605381</v>
      </c>
      <c r="M2016">
        <v>16.14</v>
      </c>
      <c r="N2016">
        <v>7.95</v>
      </c>
    </row>
    <row r="2017" spans="1:14">
      <c r="A2017" s="1" t="s">
        <v>2029</v>
      </c>
      <c r="B2017">
        <f>HYPERLINK("https://www.suredividend.com/sure-analysis-research-database/","Newpark Resources, Inc.")</f>
        <v>0</v>
      </c>
      <c r="C2017" t="s">
        <v>3226</v>
      </c>
      <c r="D2017">
        <v>4.01</v>
      </c>
      <c r="E2017">
        <v>0</v>
      </c>
      <c r="H2017">
        <v>0</v>
      </c>
      <c r="I2017">
        <v>370.335947</v>
      </c>
      <c r="J2017" t="s">
        <v>3219</v>
      </c>
      <c r="K2017">
        <v>-0</v>
      </c>
      <c r="L2017">
        <v>0.6481421128037861</v>
      </c>
      <c r="M2017">
        <v>4.81</v>
      </c>
      <c r="N2017">
        <v>1.92</v>
      </c>
    </row>
    <row r="2018" spans="1:14">
      <c r="A2018" s="1" t="s">
        <v>2030</v>
      </c>
      <c r="B2018">
        <f>HYPERLINK("https://www.suredividend.com/sure-analysis-research-database/","National Research Corp")</f>
        <v>0</v>
      </c>
      <c r="C2018" t="s">
        <v>3217</v>
      </c>
      <c r="D2018">
        <v>38.97</v>
      </c>
      <c r="E2018">
        <v>0.015314965037205</v>
      </c>
      <c r="H2018">
        <v>0.5968241874998911</v>
      </c>
      <c r="I2018">
        <v>981.8276</v>
      </c>
      <c r="J2018">
        <v>26.21842553914762</v>
      </c>
      <c r="K2018">
        <v>0.4087836900684186</v>
      </c>
      <c r="L2018">
        <v>0.7076097831782441</v>
      </c>
      <c r="M2018">
        <v>55.03</v>
      </c>
      <c r="N2018">
        <v>36.07</v>
      </c>
    </row>
    <row r="2019" spans="1:14">
      <c r="A2019" s="1" t="s">
        <v>2031</v>
      </c>
      <c r="B2019">
        <f>HYPERLINK("https://www.suredividend.com/sure-analysis-research-database/","NRG Energy Inc.")</f>
        <v>0</v>
      </c>
      <c r="C2019" t="s">
        <v>3227</v>
      </c>
      <c r="D2019">
        <v>39.19</v>
      </c>
      <c r="E2019">
        <v>0.033397145429068</v>
      </c>
      <c r="F2019">
        <v>0.07692307692307709</v>
      </c>
      <c r="G2019">
        <v>0.6345166840512457</v>
      </c>
      <c r="H2019">
        <v>1.308834129365182</v>
      </c>
      <c r="I2019">
        <v>9489.985436000001</v>
      </c>
      <c r="J2019">
        <v>4.339270889990854</v>
      </c>
      <c r="K2019">
        <v>0.146565971933391</v>
      </c>
      <c r="L2019">
        <v>0.684969749383958</v>
      </c>
      <c r="M2019">
        <v>45.33</v>
      </c>
      <c r="N2019">
        <v>31.16</v>
      </c>
    </row>
    <row r="2020" spans="1:14">
      <c r="A2020" s="1" t="s">
        <v>2032</v>
      </c>
      <c r="B2020">
        <f>HYPERLINK("https://www.suredividend.com/sure-analysis-research-database/","Northrim Bancorp, Inc.")</f>
        <v>0</v>
      </c>
      <c r="C2020" t="s">
        <v>3221</v>
      </c>
      <c r="D2020">
        <v>42.06</v>
      </c>
      <c r="E2020">
        <v>0.036130344228015</v>
      </c>
      <c r="F2020">
        <v>0.1081081081081081</v>
      </c>
      <c r="G2020">
        <v>0.1431755108178514</v>
      </c>
      <c r="H2020">
        <v>1.519642278230338</v>
      </c>
      <c r="I2020">
        <v>247.22746</v>
      </c>
      <c r="J2020">
        <v>0</v>
      </c>
      <c r="K2020" t="s">
        <v>3219</v>
      </c>
      <c r="L2020">
        <v>0.6775659026317571</v>
      </c>
      <c r="M2020">
        <v>46.48</v>
      </c>
      <c r="N2020">
        <v>37.72</v>
      </c>
    </row>
    <row r="2021" spans="1:14">
      <c r="A2021" s="1" t="s">
        <v>2033</v>
      </c>
      <c r="B2021">
        <f>HYPERLINK("https://www.suredividend.com/sure-analysis-NRZ/","New Residential Investment Corp")</f>
        <v>0</v>
      </c>
      <c r="C2021" t="s">
        <v>3224</v>
      </c>
      <c r="D2021">
        <v>10.66</v>
      </c>
      <c r="E2021">
        <v>0.09380863039399624</v>
      </c>
      <c r="F2021">
        <v>0.25</v>
      </c>
      <c r="G2021">
        <v>-0.1294494367038759</v>
      </c>
      <c r="H2021">
        <v>0.919735216751818</v>
      </c>
      <c r="I2021">
        <v>4975.643116</v>
      </c>
      <c r="J2021">
        <v>7.052827875920293</v>
      </c>
      <c r="K2021">
        <v>0.6090961700343166</v>
      </c>
      <c r="L2021">
        <v>1.030994807022565</v>
      </c>
      <c r="M2021">
        <v>11.28</v>
      </c>
      <c r="N2021">
        <v>8.380000000000001</v>
      </c>
    </row>
    <row r="2022" spans="1:14">
      <c r="A2022" s="1" t="s">
        <v>2034</v>
      </c>
      <c r="B2022">
        <f>HYPERLINK("https://www.suredividend.com/sure-analysis-NSA/","National Storage Affiliates Trust")</f>
        <v>0</v>
      </c>
      <c r="C2022" t="s">
        <v>3224</v>
      </c>
      <c r="D2022">
        <v>63.17</v>
      </c>
      <c r="E2022">
        <v>0.03166059838530948</v>
      </c>
      <c r="F2022">
        <v>0.4285714285714284</v>
      </c>
      <c r="G2022">
        <v>0.1397230490720158</v>
      </c>
      <c r="H2022">
        <v>1.721613558225031</v>
      </c>
      <c r="I2022">
        <v>5777.636852</v>
      </c>
      <c r="J2022">
        <v>62.73766290665856</v>
      </c>
      <c r="K2022">
        <v>2.515140333418599</v>
      </c>
      <c r="L2022">
        <v>0.7003200297052341</v>
      </c>
      <c r="M2022">
        <v>69.45999999999999</v>
      </c>
      <c r="N2022">
        <v>39.88</v>
      </c>
    </row>
    <row r="2023" spans="1:14">
      <c r="A2023" s="1" t="s">
        <v>2035</v>
      </c>
      <c r="B2023">
        <f>HYPERLINK("https://www.suredividend.com/sure-analysis-NSC/","Norfolk Southern Corp.")</f>
        <v>0</v>
      </c>
      <c r="C2023" t="s">
        <v>3220</v>
      </c>
      <c r="D2023">
        <v>263.06</v>
      </c>
      <c r="E2023">
        <v>0.01885501406523227</v>
      </c>
      <c r="F2023">
        <v>0.2525252525252526</v>
      </c>
      <c r="G2023">
        <v>0.1524401227238181</v>
      </c>
      <c r="H2023">
        <v>4.383912005373109</v>
      </c>
      <c r="I2023">
        <v>66813.291996</v>
      </c>
      <c r="J2023">
        <v>22.24884848335665</v>
      </c>
      <c r="K2023">
        <v>0.3623067773035627</v>
      </c>
      <c r="L2023">
        <v>0.7333443654114631</v>
      </c>
      <c r="M2023">
        <v>297.87</v>
      </c>
      <c r="N2023">
        <v>236.66</v>
      </c>
    </row>
    <row r="2024" spans="1:14">
      <c r="A2024" s="1" t="s">
        <v>2036</v>
      </c>
      <c r="B2024">
        <f>HYPERLINK("https://www.suredividend.com/sure-analysis-research-database/","National Security Group, Inc.")</f>
        <v>0</v>
      </c>
      <c r="C2024" t="s">
        <v>3221</v>
      </c>
      <c r="D2024">
        <v>16.09</v>
      </c>
      <c r="E2024">
        <v>0.014853413874883</v>
      </c>
      <c r="F2024">
        <v>0</v>
      </c>
      <c r="G2024">
        <v>0.03713728933664817</v>
      </c>
      <c r="H2024">
        <v>0.238991429246883</v>
      </c>
      <c r="I2024">
        <v>40.750049</v>
      </c>
      <c r="J2024">
        <v>0</v>
      </c>
      <c r="K2024" t="s">
        <v>3219</v>
      </c>
      <c r="M2024">
        <v>16.19</v>
      </c>
      <c r="N2024">
        <v>8.880000000000001</v>
      </c>
    </row>
    <row r="2025" spans="1:14">
      <c r="A2025" s="1" t="s">
        <v>2037</v>
      </c>
      <c r="B2025">
        <f>HYPERLINK("https://www.suredividend.com/sure-analysis-research-database/","Insight Enterprises Inc.")</f>
        <v>0</v>
      </c>
      <c r="C2025" t="s">
        <v>3222</v>
      </c>
      <c r="D2025">
        <v>100.67</v>
      </c>
      <c r="E2025">
        <v>0</v>
      </c>
      <c r="H2025">
        <v>0</v>
      </c>
      <c r="I2025">
        <v>3530.739011</v>
      </c>
      <c r="J2025">
        <v>16.09673806720008</v>
      </c>
      <c r="K2025">
        <v>0</v>
      </c>
      <c r="L2025">
        <v>0.8281969428001321</v>
      </c>
      <c r="M2025">
        <v>111.02</v>
      </c>
      <c r="N2025">
        <v>88.28</v>
      </c>
    </row>
    <row r="2026" spans="1:14">
      <c r="A2026" s="1" t="s">
        <v>2038</v>
      </c>
      <c r="B2026">
        <f>HYPERLINK("https://www.suredividend.com/sure-analysis-NSP/","Insperity Inc")</f>
        <v>0</v>
      </c>
      <c r="C2026" t="s">
        <v>3220</v>
      </c>
      <c r="D2026">
        <v>100.65</v>
      </c>
      <c r="E2026">
        <v>0.01788375558867362</v>
      </c>
      <c r="F2026">
        <v>0</v>
      </c>
      <c r="G2026">
        <v>-0.2579443030489705</v>
      </c>
      <c r="H2026">
        <v>1.775803544554294</v>
      </c>
      <c r="I2026">
        <v>3858.603953</v>
      </c>
      <c r="J2026">
        <v>31.15043152094938</v>
      </c>
      <c r="K2026">
        <v>0.5584287875956899</v>
      </c>
      <c r="L2026">
        <v>1.330943500274037</v>
      </c>
      <c r="M2026">
        <v>126.44</v>
      </c>
      <c r="N2026">
        <v>80.26000000000001</v>
      </c>
    </row>
    <row r="2027" spans="1:14">
      <c r="A2027" s="1" t="s">
        <v>2039</v>
      </c>
      <c r="B2027">
        <f>HYPERLINK("https://www.suredividend.com/sure-analysis-research-database/","NAPCO Security Technologies Inc")</f>
        <v>0</v>
      </c>
      <c r="C2027" t="s">
        <v>3220</v>
      </c>
      <c r="D2027">
        <v>19.21</v>
      </c>
      <c r="E2027">
        <v>0</v>
      </c>
      <c r="H2027">
        <v>0</v>
      </c>
      <c r="I2027">
        <v>705.617033</v>
      </c>
      <c r="J2027">
        <v>38.8256318234841</v>
      </c>
      <c r="K2027">
        <v>0</v>
      </c>
      <c r="L2027">
        <v>1.049622338404261</v>
      </c>
      <c r="M2027">
        <v>26</v>
      </c>
      <c r="N2027">
        <v>15.33</v>
      </c>
    </row>
    <row r="2028" spans="1:14">
      <c r="A2028" s="1" t="s">
        <v>2040</v>
      </c>
      <c r="B2028">
        <f>HYPERLINK("https://www.suredividend.com/sure-analysis-research-database/","Nanostring Technologies Inc")</f>
        <v>0</v>
      </c>
      <c r="C2028" t="s">
        <v>3217</v>
      </c>
      <c r="D2028">
        <v>22.11</v>
      </c>
      <c r="E2028">
        <v>0</v>
      </c>
      <c r="H2028">
        <v>0</v>
      </c>
      <c r="I2028">
        <v>1015.839307</v>
      </c>
      <c r="J2028">
        <v>0</v>
      </c>
      <c r="K2028" t="s">
        <v>3219</v>
      </c>
      <c r="L2028">
        <v>1.750778765634815</v>
      </c>
      <c r="M2028">
        <v>81.89</v>
      </c>
      <c r="N2028">
        <v>20.8</v>
      </c>
    </row>
    <row r="2029" spans="1:14">
      <c r="A2029" s="1" t="s">
        <v>2041</v>
      </c>
      <c r="B2029">
        <f>HYPERLINK("https://www.suredividend.com/sure-analysis-NTAP/","Netapp Inc")</f>
        <v>0</v>
      </c>
      <c r="C2029" t="s">
        <v>3222</v>
      </c>
      <c r="D2029">
        <v>75.5</v>
      </c>
      <c r="E2029">
        <v>0.02649006622516556</v>
      </c>
      <c r="F2029">
        <v>0.04166666666666674</v>
      </c>
      <c r="G2029">
        <v>0.2011244339814313</v>
      </c>
      <c r="H2029">
        <v>1.982499006398723</v>
      </c>
      <c r="I2029">
        <v>16801.502428</v>
      </c>
      <c r="J2029">
        <v>16.60227512648221</v>
      </c>
      <c r="K2029">
        <v>0.449546259954359</v>
      </c>
      <c r="L2029">
        <v>1.063548527159559</v>
      </c>
      <c r="M2029">
        <v>96.20999999999999</v>
      </c>
      <c r="N2029">
        <v>71.59</v>
      </c>
    </row>
    <row r="2030" spans="1:14">
      <c r="A2030" s="1" t="s">
        <v>2042</v>
      </c>
      <c r="B2030">
        <f>HYPERLINK("https://www.suredividend.com/sure-analysis-research-database/","Netscout Systems Inc")</f>
        <v>0</v>
      </c>
      <c r="C2030" t="s">
        <v>3222</v>
      </c>
      <c r="D2030">
        <v>33.24</v>
      </c>
      <c r="E2030">
        <v>0</v>
      </c>
      <c r="H2030">
        <v>0</v>
      </c>
      <c r="I2030">
        <v>2455.595427</v>
      </c>
      <c r="J2030">
        <v>44.07264258448948</v>
      </c>
      <c r="K2030">
        <v>0</v>
      </c>
      <c r="L2030">
        <v>0.9900232497940591</v>
      </c>
      <c r="M2030">
        <v>34.87</v>
      </c>
      <c r="N2030">
        <v>24.82</v>
      </c>
    </row>
    <row r="2031" spans="1:14">
      <c r="A2031" s="1" t="s">
        <v>2043</v>
      </c>
      <c r="B2031">
        <f>HYPERLINK("https://www.suredividend.com/sure-analysis-research-database/","Netgear Inc")</f>
        <v>0</v>
      </c>
      <c r="C2031" t="s">
        <v>3222</v>
      </c>
      <c r="D2031">
        <v>22.55</v>
      </c>
      <c r="E2031">
        <v>0</v>
      </c>
      <c r="H2031">
        <v>0</v>
      </c>
      <c r="I2031">
        <v>662.0797260000001</v>
      </c>
      <c r="J2031">
        <v>13.40595148520866</v>
      </c>
      <c r="K2031">
        <v>0</v>
      </c>
      <c r="L2031">
        <v>0.86037383497314</v>
      </c>
      <c r="M2031">
        <v>41.96</v>
      </c>
      <c r="N2031">
        <v>22.51</v>
      </c>
    </row>
    <row r="2032" spans="1:14">
      <c r="A2032" s="1" t="s">
        <v>2044</v>
      </c>
      <c r="B2032">
        <f>HYPERLINK("https://www.suredividend.com/sure-analysis-research-database/","Northern Technologies International Corp.")</f>
        <v>0</v>
      </c>
      <c r="C2032" t="s">
        <v>3218</v>
      </c>
      <c r="D2032">
        <v>11.33</v>
      </c>
      <c r="E2032">
        <v>0.023668233180614</v>
      </c>
      <c r="H2032">
        <v>0.268161081936365</v>
      </c>
      <c r="I2032">
        <v>104.479788</v>
      </c>
      <c r="J2032">
        <v>0</v>
      </c>
      <c r="K2032" t="s">
        <v>3219</v>
      </c>
      <c r="M2032">
        <v>21.22</v>
      </c>
      <c r="N2032">
        <v>10.6</v>
      </c>
    </row>
    <row r="2033" spans="1:14">
      <c r="A2033" s="1" t="s">
        <v>2045</v>
      </c>
      <c r="B2033">
        <f>HYPERLINK("https://www.suredividend.com/sure-analysis-research-database/","Network-1 Technologies Inc")</f>
        <v>0</v>
      </c>
      <c r="C2033" t="s">
        <v>3222</v>
      </c>
      <c r="D2033">
        <v>2.5</v>
      </c>
      <c r="E2033">
        <v>0.039615488805804</v>
      </c>
      <c r="H2033">
        <v>0.09903872201451201</v>
      </c>
      <c r="I2033">
        <v>59.70756</v>
      </c>
      <c r="J2033">
        <v>0</v>
      </c>
      <c r="K2033" t="s">
        <v>3219</v>
      </c>
      <c r="M2033">
        <v>4</v>
      </c>
      <c r="N2033">
        <v>2.36</v>
      </c>
    </row>
    <row r="2034" spans="1:14">
      <c r="A2034" s="1" t="s">
        <v>2046</v>
      </c>
      <c r="B2034">
        <f>HYPERLINK("https://www.suredividend.com/sure-analysis-research-database/","Intellia Therapeutics Inc")</f>
        <v>0</v>
      </c>
      <c r="C2034" t="s">
        <v>3217</v>
      </c>
      <c r="D2034">
        <v>59.93</v>
      </c>
      <c r="E2034">
        <v>0</v>
      </c>
      <c r="H2034">
        <v>0</v>
      </c>
      <c r="I2034">
        <v>4475.11855</v>
      </c>
      <c r="J2034" t="s">
        <v>3219</v>
      </c>
      <c r="K2034">
        <v>-0</v>
      </c>
      <c r="L2034">
        <v>2.389061301143879</v>
      </c>
      <c r="M2034">
        <v>202.73</v>
      </c>
      <c r="N2034">
        <v>56.47</v>
      </c>
    </row>
    <row r="2035" spans="1:14">
      <c r="A2035" s="1" t="s">
        <v>2047</v>
      </c>
      <c r="B2035">
        <f>HYPERLINK("https://www.suredividend.com/sure-analysis-research-database/","Nutanix Inc")</f>
        <v>0</v>
      </c>
      <c r="C2035" t="s">
        <v>3222</v>
      </c>
      <c r="D2035">
        <v>26.01</v>
      </c>
      <c r="E2035">
        <v>0</v>
      </c>
      <c r="H2035">
        <v>0</v>
      </c>
      <c r="I2035">
        <v>5736.924807</v>
      </c>
      <c r="J2035" t="s">
        <v>3219</v>
      </c>
      <c r="K2035">
        <v>-0</v>
      </c>
      <c r="L2035">
        <v>1.78593560853674</v>
      </c>
      <c r="M2035">
        <v>44.5</v>
      </c>
      <c r="N2035">
        <v>21.99</v>
      </c>
    </row>
    <row r="2036" spans="1:14">
      <c r="A2036" s="1" t="s">
        <v>2048</v>
      </c>
      <c r="B2036">
        <f>HYPERLINK("https://www.suredividend.com/sure-analysis-research-database/","Natera Inc")</f>
        <v>0</v>
      </c>
      <c r="C2036" t="s">
        <v>3217</v>
      </c>
      <c r="D2036">
        <v>39.52</v>
      </c>
      <c r="E2036">
        <v>0</v>
      </c>
      <c r="H2036">
        <v>0</v>
      </c>
      <c r="I2036">
        <v>3803.616864</v>
      </c>
      <c r="J2036" t="s">
        <v>3219</v>
      </c>
      <c r="K2036">
        <v>-0</v>
      </c>
      <c r="L2036">
        <v>1.491405020874806</v>
      </c>
      <c r="M2036">
        <v>129.09</v>
      </c>
      <c r="N2036">
        <v>26.1</v>
      </c>
    </row>
    <row r="2037" spans="1:14">
      <c r="A2037" s="1" t="s">
        <v>2049</v>
      </c>
      <c r="B2037">
        <f>HYPERLINK("https://www.suredividend.com/sure-analysis-research-database/","Northern Trust Corp.")</f>
        <v>0</v>
      </c>
      <c r="C2037" t="s">
        <v>3221</v>
      </c>
      <c r="D2037">
        <v>110.89</v>
      </c>
      <c r="E2037">
        <v>0.025015749255505</v>
      </c>
      <c r="H2037">
        <v>2.773996434943007</v>
      </c>
      <c r="I2037">
        <v>23058.903617</v>
      </c>
      <c r="J2037">
        <v>15.4695448929894</v>
      </c>
      <c r="K2037">
        <v>0.3885149068547629</v>
      </c>
      <c r="L2037">
        <v>1.189794576594323</v>
      </c>
      <c r="M2037">
        <v>134.27</v>
      </c>
      <c r="N2037">
        <v>101.73</v>
      </c>
    </row>
    <row r="2038" spans="1:14">
      <c r="A2038" s="1" t="s">
        <v>2050</v>
      </c>
      <c r="B2038">
        <f>HYPERLINK("https://www.suredividend.com/sure-analysis-research-database/","Natus Medical Inc")</f>
        <v>0</v>
      </c>
      <c r="C2038" t="s">
        <v>3217</v>
      </c>
      <c r="D2038">
        <v>26.05</v>
      </c>
      <c r="E2038">
        <v>0</v>
      </c>
      <c r="H2038">
        <v>0</v>
      </c>
      <c r="I2038">
        <v>896.332412</v>
      </c>
      <c r="J2038">
        <v>68.02249462700159</v>
      </c>
      <c r="K2038">
        <v>0</v>
      </c>
      <c r="L2038">
        <v>0.8382679369554391</v>
      </c>
      <c r="M2038">
        <v>29.7</v>
      </c>
      <c r="N2038">
        <v>20.9</v>
      </c>
    </row>
    <row r="2039" spans="1:14">
      <c r="A2039" s="1" t="s">
        <v>2051</v>
      </c>
      <c r="B2039">
        <f>HYPERLINK("https://www.suredividend.com/sure-analysis-research-database/","Netsol Technologies, Inc.")</f>
        <v>0</v>
      </c>
      <c r="C2039" t="s">
        <v>3222</v>
      </c>
      <c r="D2039">
        <v>3.95</v>
      </c>
      <c r="E2039">
        <v>0</v>
      </c>
      <c r="H2039">
        <v>0</v>
      </c>
      <c r="I2039">
        <v>44.415929</v>
      </c>
      <c r="J2039">
        <v>15.32872959361339</v>
      </c>
      <c r="K2039">
        <v>0</v>
      </c>
      <c r="L2039">
        <v>0.4546175246386671</v>
      </c>
      <c r="M2039">
        <v>6.12</v>
      </c>
      <c r="N2039">
        <v>3.61</v>
      </c>
    </row>
    <row r="2040" spans="1:14">
      <c r="A2040" s="1" t="s">
        <v>2052</v>
      </c>
      <c r="B2040">
        <f>HYPERLINK("https://www.suredividend.com/sure-analysis-research-database/","Nuance Communications Inc")</f>
        <v>0</v>
      </c>
      <c r="C2040" t="s">
        <v>3222</v>
      </c>
      <c r="D2040">
        <v>55.99</v>
      </c>
      <c r="E2040">
        <v>0</v>
      </c>
      <c r="H2040">
        <v>0</v>
      </c>
      <c r="I2040">
        <v>0</v>
      </c>
      <c r="J2040">
        <v>0</v>
      </c>
      <c r="K2040">
        <v>-0</v>
      </c>
    </row>
    <row r="2041" spans="1:14">
      <c r="A2041" s="1" t="s">
        <v>2053</v>
      </c>
      <c r="B2041">
        <f>HYPERLINK("https://www.suredividend.com/sure-analysis-NUE/","Nucor Corp.")</f>
        <v>0</v>
      </c>
      <c r="C2041" t="s">
        <v>3218</v>
      </c>
      <c r="D2041">
        <v>165.32</v>
      </c>
      <c r="E2041">
        <v>0.01209774981853375</v>
      </c>
      <c r="F2041">
        <v>0.2345679012345678</v>
      </c>
      <c r="G2041">
        <v>0.05781716431609585</v>
      </c>
      <c r="H2041">
        <v>1.800552867724584</v>
      </c>
      <c r="I2041">
        <v>44434.530228</v>
      </c>
      <c r="J2041">
        <v>6.539153694590995</v>
      </c>
      <c r="K2041">
        <v>0.07774407891729637</v>
      </c>
      <c r="L2041">
        <v>1.134086595956203</v>
      </c>
      <c r="M2041">
        <v>166.84</v>
      </c>
      <c r="N2041">
        <v>74.41</v>
      </c>
    </row>
    <row r="2042" spans="1:14">
      <c r="A2042" s="1" t="s">
        <v>2054</v>
      </c>
      <c r="B2042">
        <f>HYPERLINK("https://www.suredividend.com/sure-analysis-research-database/","Neurometrix Inc.")</f>
        <v>0</v>
      </c>
      <c r="C2042" t="s">
        <v>3217</v>
      </c>
      <c r="D2042">
        <v>4.01</v>
      </c>
      <c r="E2042">
        <v>0</v>
      </c>
      <c r="H2042">
        <v>0</v>
      </c>
      <c r="I2042">
        <v>28.038878</v>
      </c>
      <c r="J2042">
        <v>0</v>
      </c>
      <c r="K2042" t="s">
        <v>3219</v>
      </c>
      <c r="L2042">
        <v>3.171747758836338</v>
      </c>
      <c r="M2042">
        <v>38.75</v>
      </c>
      <c r="N2042">
        <v>2.58</v>
      </c>
    </row>
    <row r="2043" spans="1:14">
      <c r="A2043" s="1" t="s">
        <v>2055</v>
      </c>
      <c r="B2043">
        <f>HYPERLINK("https://www.suredividend.com/sure-analysis-research-database/","Nu Skin Enterprises, Inc.")</f>
        <v>0</v>
      </c>
      <c r="C2043" t="s">
        <v>3225</v>
      </c>
      <c r="D2043">
        <v>51.27</v>
      </c>
      <c r="E2043">
        <v>0.029391730457065</v>
      </c>
      <c r="F2043">
        <v>0.01315789473684204</v>
      </c>
      <c r="G2043">
        <v>0.01351841916935714</v>
      </c>
      <c r="H2043">
        <v>1.506914020533724</v>
      </c>
      <c r="I2043">
        <v>2570.19981</v>
      </c>
      <c r="J2043">
        <v>17.45277124244564</v>
      </c>
      <c r="K2043">
        <v>0.5268930141726308</v>
      </c>
      <c r="L2043">
        <v>0.9310757666614711</v>
      </c>
      <c r="M2043">
        <v>61.23</v>
      </c>
      <c r="N2043">
        <v>38.76</v>
      </c>
    </row>
    <row r="2044" spans="1:14">
      <c r="A2044" s="1" t="s">
        <v>2056</v>
      </c>
      <c r="B2044">
        <f>HYPERLINK("https://www.suredividend.com/sure-analysis-research-database/","Nuvasive Inc")</f>
        <v>0</v>
      </c>
      <c r="C2044" t="s">
        <v>3217</v>
      </c>
      <c r="D2044">
        <v>59.75</v>
      </c>
      <c r="E2044">
        <v>0</v>
      </c>
      <c r="H2044">
        <v>0</v>
      </c>
      <c r="I2044">
        <v>3103.922696</v>
      </c>
      <c r="J2044" t="s">
        <v>3219</v>
      </c>
      <c r="K2044">
        <v>-0</v>
      </c>
      <c r="L2044">
        <v>0.990186613133007</v>
      </c>
      <c r="M2044">
        <v>72.61</v>
      </c>
      <c r="N2044">
        <v>45.45</v>
      </c>
    </row>
    <row r="2045" spans="1:14">
      <c r="A2045" s="1" t="s">
        <v>2057</v>
      </c>
      <c r="B2045">
        <f>HYPERLINK("https://www.suredividend.com/sure-analysis-research-database/","Novavax, Inc.")</f>
        <v>0</v>
      </c>
      <c r="C2045" t="s">
        <v>3217</v>
      </c>
      <c r="D2045">
        <v>58.55</v>
      </c>
      <c r="E2045">
        <v>0</v>
      </c>
      <c r="H2045">
        <v>0</v>
      </c>
      <c r="I2045">
        <v>4466.36883</v>
      </c>
      <c r="J2045" t="s">
        <v>3219</v>
      </c>
      <c r="K2045">
        <v>-0</v>
      </c>
      <c r="L2045">
        <v>1.684206304535326</v>
      </c>
      <c r="M2045">
        <v>277.8</v>
      </c>
      <c r="N2045">
        <v>56.67</v>
      </c>
    </row>
    <row r="2046" spans="1:14">
      <c r="A2046" s="1" t="s">
        <v>2058</v>
      </c>
      <c r="B2046">
        <f>HYPERLINK("https://www.suredividend.com/sure-analysis-NVDA/","NVIDIA Corp")</f>
        <v>0</v>
      </c>
      <c r="C2046" t="s">
        <v>3222</v>
      </c>
      <c r="D2046">
        <v>212.58</v>
      </c>
      <c r="E2046">
        <v>0.0007526578229372471</v>
      </c>
      <c r="F2046">
        <v>-0.75</v>
      </c>
      <c r="G2046">
        <v>-0.2216294584488292</v>
      </c>
      <c r="H2046">
        <v>0.159962714083948</v>
      </c>
      <c r="I2046">
        <v>619193.568442</v>
      </c>
      <c r="J2046">
        <v>63.49400824872847</v>
      </c>
      <c r="K2046">
        <v>0.04154875690492156</v>
      </c>
      <c r="L2046">
        <v>2.421656998447207</v>
      </c>
      <c r="M2046">
        <v>346.37</v>
      </c>
      <c r="N2046">
        <v>134.5</v>
      </c>
    </row>
    <row r="2047" spans="1:14">
      <c r="A2047" s="1" t="s">
        <v>2059</v>
      </c>
      <c r="B2047">
        <f>HYPERLINK("https://www.suredividend.com/sure-analysis-research-database/","NVE Corp")</f>
        <v>0</v>
      </c>
      <c r="C2047" t="s">
        <v>3222</v>
      </c>
      <c r="D2047">
        <v>49.3</v>
      </c>
      <c r="E2047">
        <v>0.079307418756903</v>
      </c>
      <c r="F2047">
        <v>0</v>
      </c>
      <c r="G2047">
        <v>0</v>
      </c>
      <c r="H2047">
        <v>3.909855744715333</v>
      </c>
      <c r="I2047">
        <v>238.3021</v>
      </c>
      <c r="J2047">
        <v>17.23585722500081</v>
      </c>
      <c r="K2047">
        <v>1.367082428222145</v>
      </c>
      <c r="L2047">
        <v>0.8436175367624831</v>
      </c>
      <c r="M2047">
        <v>76.84</v>
      </c>
      <c r="N2047">
        <v>49</v>
      </c>
    </row>
    <row r="2048" spans="1:14">
      <c r="A2048" s="1" t="s">
        <v>2060</v>
      </c>
      <c r="B2048">
        <f>HYPERLINK("https://www.suredividend.com/sure-analysis-research-database/","NV5 Global Inc")</f>
        <v>0</v>
      </c>
      <c r="C2048" t="s">
        <v>3220</v>
      </c>
      <c r="D2048">
        <v>129.05</v>
      </c>
      <c r="E2048">
        <v>0</v>
      </c>
      <c r="H2048">
        <v>0</v>
      </c>
      <c r="I2048">
        <v>1993.693966</v>
      </c>
      <c r="J2048">
        <v>0</v>
      </c>
      <c r="K2048" t="s">
        <v>3219</v>
      </c>
      <c r="L2048">
        <v>0.5935169076464011</v>
      </c>
      <c r="M2048">
        <v>141.48</v>
      </c>
      <c r="N2048">
        <v>79.58</v>
      </c>
    </row>
    <row r="2049" spans="1:14">
      <c r="A2049" s="1" t="s">
        <v>2061</v>
      </c>
      <c r="B2049">
        <f>HYPERLINK("https://www.suredividend.com/sure-analysis-research-database/","Nova Lifestyle Inc")</f>
        <v>0</v>
      </c>
      <c r="C2049" t="s">
        <v>3223</v>
      </c>
      <c r="D2049">
        <v>1.2193</v>
      </c>
      <c r="E2049">
        <v>0</v>
      </c>
      <c r="H2049">
        <v>0</v>
      </c>
      <c r="I2049">
        <v>8.326003</v>
      </c>
      <c r="J2049">
        <v>0</v>
      </c>
      <c r="K2049" t="s">
        <v>3219</v>
      </c>
      <c r="L2049">
        <v>1.001858204012122</v>
      </c>
      <c r="M2049">
        <v>6.66</v>
      </c>
      <c r="N2049">
        <v>1.14</v>
      </c>
    </row>
    <row r="2050" spans="1:14">
      <c r="A2050" s="1" t="s">
        <v>2062</v>
      </c>
      <c r="B2050">
        <f>HYPERLINK("https://www.suredividend.com/sure-analysis-research-database/","InVivo Therapeutics Holdings Corp")</f>
        <v>0</v>
      </c>
      <c r="C2050" t="s">
        <v>3217</v>
      </c>
      <c r="D2050">
        <v>0.3009</v>
      </c>
      <c r="E2050">
        <v>0</v>
      </c>
      <c r="H2050">
        <v>0</v>
      </c>
      <c r="I2050">
        <v>10.310295</v>
      </c>
      <c r="J2050">
        <v>0</v>
      </c>
      <c r="K2050" t="s">
        <v>3219</v>
      </c>
      <c r="L2050">
        <v>0.5865096430470941</v>
      </c>
      <c r="M2050">
        <v>0.9275</v>
      </c>
      <c r="N2050">
        <v>0.255</v>
      </c>
    </row>
    <row r="2051" spans="1:14">
      <c r="A2051" s="1" t="s">
        <v>2063</v>
      </c>
      <c r="B2051">
        <f>HYPERLINK("https://www.suredividend.com/sure-analysis-research-database/","NVR Inc.")</f>
        <v>0</v>
      </c>
      <c r="C2051" t="s">
        <v>3223</v>
      </c>
      <c r="D2051">
        <v>4335.45</v>
      </c>
      <c r="E2051">
        <v>0</v>
      </c>
      <c r="H2051">
        <v>0</v>
      </c>
      <c r="I2051">
        <v>14567.567222</v>
      </c>
      <c r="J2051">
        <v>11.77920548018588</v>
      </c>
      <c r="K2051">
        <v>0</v>
      </c>
      <c r="L2051">
        <v>1.02826026348583</v>
      </c>
      <c r="M2051">
        <v>5982.45</v>
      </c>
      <c r="N2051">
        <v>4250.01</v>
      </c>
    </row>
    <row r="2052" spans="1:14">
      <c r="A2052" s="1" t="s">
        <v>2064</v>
      </c>
      <c r="B2052">
        <f>HYPERLINK("https://www.suredividend.com/sure-analysis-research-database/","Nevro Corp")</f>
        <v>0</v>
      </c>
      <c r="C2052" t="s">
        <v>3217</v>
      </c>
      <c r="D2052">
        <v>73.69</v>
      </c>
      <c r="E2052">
        <v>0</v>
      </c>
      <c r="H2052">
        <v>0</v>
      </c>
      <c r="I2052">
        <v>2593.327588</v>
      </c>
      <c r="J2052" t="s">
        <v>3219</v>
      </c>
      <c r="K2052">
        <v>-0</v>
      </c>
      <c r="L2052">
        <v>1.14018335750099</v>
      </c>
      <c r="M2052">
        <v>182.45</v>
      </c>
      <c r="N2052">
        <v>59.79</v>
      </c>
    </row>
    <row r="2053" spans="1:14">
      <c r="A2053" s="1" t="s">
        <v>2065</v>
      </c>
      <c r="B2053">
        <f>HYPERLINK("https://www.suredividend.com/sure-analysis-research-database/","nVent Electric plc")</f>
        <v>0</v>
      </c>
      <c r="C2053" t="s">
        <v>3220</v>
      </c>
      <c r="D2053">
        <v>34.56</v>
      </c>
      <c r="E2053">
        <v>0.020098381856751</v>
      </c>
      <c r="H2053">
        <v>0.69460007696933</v>
      </c>
      <c r="I2053">
        <v>5748.694191</v>
      </c>
      <c r="J2053">
        <v>21.06520407240748</v>
      </c>
      <c r="K2053">
        <v>0.4314286192356087</v>
      </c>
      <c r="L2053">
        <v>1.209644920107963</v>
      </c>
      <c r="M2053">
        <v>39.34</v>
      </c>
      <c r="N2053">
        <v>27.82</v>
      </c>
    </row>
    <row r="2054" spans="1:14">
      <c r="A2054" s="1" t="s">
        <v>2066</v>
      </c>
      <c r="B2054">
        <f>HYPERLINK("https://www.suredividend.com/sure-analysis-research-database/","Invitae Corp")</f>
        <v>0</v>
      </c>
      <c r="C2054" t="s">
        <v>3217</v>
      </c>
      <c r="D2054">
        <v>6.5</v>
      </c>
      <c r="E2054">
        <v>0</v>
      </c>
      <c r="H2054">
        <v>0</v>
      </c>
      <c r="I2054">
        <v>1471.41048</v>
      </c>
      <c r="J2054" t="s">
        <v>3219</v>
      </c>
      <c r="K2054">
        <v>-0</v>
      </c>
      <c r="L2054">
        <v>2.149786338123893</v>
      </c>
      <c r="M2054">
        <v>38.42</v>
      </c>
      <c r="N2054">
        <v>6.06</v>
      </c>
    </row>
    <row r="2055" spans="1:14">
      <c r="A2055" s="1" t="s">
        <v>2067</v>
      </c>
      <c r="B2055">
        <f>HYPERLINK("https://www.suredividend.com/sure-analysis-NWBI/","Northwest Bancshares Inc")</f>
        <v>0</v>
      </c>
      <c r="C2055" t="s">
        <v>3221</v>
      </c>
      <c r="D2055">
        <v>13.1</v>
      </c>
      <c r="E2055">
        <v>0.06106870229007634</v>
      </c>
      <c r="F2055">
        <v>0.05263157894736836</v>
      </c>
      <c r="G2055">
        <v>0.04563955259127317</v>
      </c>
      <c r="H2055">
        <v>0.783041016840137</v>
      </c>
      <c r="I2055">
        <v>1659.415029</v>
      </c>
      <c r="J2055">
        <v>10.82370724791766</v>
      </c>
      <c r="K2055">
        <v>0.6471413362315183</v>
      </c>
      <c r="L2055">
        <v>0.513606875641453</v>
      </c>
      <c r="M2055">
        <v>14.93</v>
      </c>
      <c r="N2055">
        <v>12.02</v>
      </c>
    </row>
    <row r="2056" spans="1:14">
      <c r="A2056" s="1" t="s">
        <v>2068</v>
      </c>
      <c r="B2056">
        <f>HYPERLINK("https://www.suredividend.com/sure-analysis-research-database/","Northwestern Corp.")</f>
        <v>0</v>
      </c>
      <c r="C2056" t="s">
        <v>3227</v>
      </c>
      <c r="D2056">
        <v>59.84</v>
      </c>
      <c r="E2056">
        <v>0.040958150866335</v>
      </c>
      <c r="F2056">
        <v>0.0161290322580645</v>
      </c>
      <c r="G2056">
        <v>0.03713728933664817</v>
      </c>
      <c r="H2056">
        <v>2.450935747841537</v>
      </c>
      <c r="I2056">
        <v>3239.315309</v>
      </c>
      <c r="J2056">
        <v>17.33737587839863</v>
      </c>
      <c r="K2056">
        <v>0.680815485511538</v>
      </c>
      <c r="L2056">
        <v>0.284972155214371</v>
      </c>
      <c r="M2056">
        <v>67.94</v>
      </c>
      <c r="N2056">
        <v>52.51</v>
      </c>
    </row>
    <row r="2057" spans="1:14">
      <c r="A2057" s="1" t="s">
        <v>2069</v>
      </c>
      <c r="B2057">
        <f>HYPERLINK("https://www.suredividend.com/sure-analysis-research-database/","Norwood Financial Corp.")</f>
        <v>0</v>
      </c>
      <c r="C2057" t="s">
        <v>3221</v>
      </c>
      <c r="D2057">
        <v>28.31</v>
      </c>
      <c r="E2057">
        <v>0.037602375052692</v>
      </c>
      <c r="F2057">
        <v>0.07692307692307709</v>
      </c>
      <c r="G2057">
        <v>-0.0263528193848318</v>
      </c>
      <c r="H2057">
        <v>1.064523237741728</v>
      </c>
      <c r="I2057">
        <v>232.228997</v>
      </c>
      <c r="J2057">
        <v>0</v>
      </c>
      <c r="K2057" t="s">
        <v>3219</v>
      </c>
      <c r="M2057">
        <v>28.84</v>
      </c>
      <c r="N2057">
        <v>23.54</v>
      </c>
    </row>
    <row r="2058" spans="1:14">
      <c r="A2058" s="1" t="s">
        <v>2070</v>
      </c>
      <c r="B2058">
        <f>HYPERLINK("https://www.suredividend.com/sure-analysis-research-database/","New Home Company Inc (The)")</f>
        <v>0</v>
      </c>
      <c r="C2058" t="s">
        <v>3223</v>
      </c>
      <c r="D2058">
        <v>8.99</v>
      </c>
      <c r="E2058">
        <v>0</v>
      </c>
      <c r="H2058">
        <v>0</v>
      </c>
      <c r="I2058">
        <v>163.263911</v>
      </c>
      <c r="J2058">
        <v>0</v>
      </c>
      <c r="K2058" t="s">
        <v>3219</v>
      </c>
      <c r="M2058">
        <v>9</v>
      </c>
      <c r="N2058">
        <v>3.81</v>
      </c>
    </row>
    <row r="2059" spans="1:14">
      <c r="A2059" s="1" t="s">
        <v>2071</v>
      </c>
      <c r="B2059">
        <f>HYPERLINK("https://www.suredividend.com/sure-analysis-NWL/","Newell Brands Inc")</f>
        <v>0</v>
      </c>
      <c r="C2059" t="s">
        <v>3225</v>
      </c>
      <c r="D2059">
        <v>22.41</v>
      </c>
      <c r="E2059">
        <v>0.04105310129406515</v>
      </c>
      <c r="F2059">
        <v>0</v>
      </c>
      <c r="G2059">
        <v>0</v>
      </c>
      <c r="H2059">
        <v>0.9066581952440451</v>
      </c>
      <c r="I2059">
        <v>9318.215015</v>
      </c>
      <c r="J2059">
        <v>16.29058569010489</v>
      </c>
      <c r="K2059">
        <v>0.6766105934657053</v>
      </c>
      <c r="L2059">
        <v>0.9112338642477691</v>
      </c>
      <c r="M2059">
        <v>29</v>
      </c>
      <c r="N2059">
        <v>20.16</v>
      </c>
    </row>
    <row r="2060" spans="1:14">
      <c r="A2060" s="1" t="s">
        <v>2072</v>
      </c>
      <c r="B2060">
        <f>HYPERLINK("https://www.suredividend.com/sure-analysis-research-database/","National Western Life Group Inc")</f>
        <v>0</v>
      </c>
      <c r="C2060" t="s">
        <v>3221</v>
      </c>
      <c r="D2060">
        <v>207.11</v>
      </c>
      <c r="E2060">
        <v>0.001738206819106</v>
      </c>
      <c r="H2060">
        <v>0.360000014305114</v>
      </c>
      <c r="I2060">
        <v>711.634102</v>
      </c>
      <c r="J2060">
        <v>3.966568392713815</v>
      </c>
      <c r="K2060">
        <v>0.007094994369434647</v>
      </c>
      <c r="L2060">
        <v>0.69751300042021</v>
      </c>
      <c r="M2060">
        <v>259.58</v>
      </c>
      <c r="N2060">
        <v>197.3</v>
      </c>
    </row>
    <row r="2061" spans="1:14">
      <c r="A2061" s="1" t="s">
        <v>2073</v>
      </c>
      <c r="B2061">
        <f>HYPERLINK("https://www.suredividend.com/sure-analysis-NWN/","Northwest Natural Holding Co")</f>
        <v>0</v>
      </c>
      <c r="C2061" t="s">
        <v>3227</v>
      </c>
      <c r="D2061">
        <v>49.88</v>
      </c>
      <c r="E2061">
        <v>0.03869286287089013</v>
      </c>
      <c r="H2061">
        <v>1.896173645415561</v>
      </c>
      <c r="I2061">
        <v>1708.659851</v>
      </c>
      <c r="J2061">
        <v>21.72043641217298</v>
      </c>
      <c r="K2061">
        <v>0.7406928302404535</v>
      </c>
      <c r="L2061">
        <v>0.387395574739245</v>
      </c>
      <c r="M2061">
        <v>57.63</v>
      </c>
      <c r="N2061">
        <v>42.63</v>
      </c>
    </row>
    <row r="2062" spans="1:14">
      <c r="A2062" s="1" t="s">
        <v>2074</v>
      </c>
      <c r="B2062">
        <f>HYPERLINK("https://www.suredividend.com/sure-analysis-research-database/","Northwest Pipe Co.")</f>
        <v>0</v>
      </c>
      <c r="C2062" t="s">
        <v>3220</v>
      </c>
      <c r="D2062">
        <v>26.26</v>
      </c>
      <c r="E2062">
        <v>0</v>
      </c>
      <c r="H2062">
        <v>0</v>
      </c>
      <c r="I2062">
        <v>259.520569</v>
      </c>
      <c r="J2062">
        <v>22.52196203939947</v>
      </c>
      <c r="K2062">
        <v>0</v>
      </c>
      <c r="L2062">
        <v>0.8363764260760511</v>
      </c>
      <c r="M2062">
        <v>34.52</v>
      </c>
      <c r="N2062">
        <v>23.11</v>
      </c>
    </row>
    <row r="2063" spans="1:14">
      <c r="A2063" s="1" t="s">
        <v>2075</v>
      </c>
      <c r="B2063">
        <f>HYPERLINK("https://www.suredividend.com/sure-analysis-research-database/","News Corp")</f>
        <v>0</v>
      </c>
      <c r="C2063" t="s">
        <v>3228</v>
      </c>
      <c r="D2063">
        <v>21.48</v>
      </c>
      <c r="E2063">
        <v>0.009289307855016001</v>
      </c>
      <c r="H2063">
        <v>0.199534332725745</v>
      </c>
      <c r="I2063">
        <v>12538.218526</v>
      </c>
      <c r="J2063">
        <v>0</v>
      </c>
      <c r="K2063" t="s">
        <v>3219</v>
      </c>
      <c r="L2063">
        <v>1.24056003238994</v>
      </c>
      <c r="M2063">
        <v>25.97</v>
      </c>
      <c r="N2063">
        <v>20.24</v>
      </c>
    </row>
    <row r="2064" spans="1:14">
      <c r="A2064" s="1" t="s">
        <v>2076</v>
      </c>
      <c r="B2064">
        <f>HYPERLINK("https://www.suredividend.com/sure-analysis-research-database/","News Corp")</f>
        <v>0</v>
      </c>
      <c r="C2064" t="s">
        <v>3228</v>
      </c>
      <c r="D2064">
        <v>21.17</v>
      </c>
      <c r="E2064">
        <v>0.009424946975060002</v>
      </c>
      <c r="H2064">
        <v>0.199526127462039</v>
      </c>
      <c r="I2064">
        <v>12538.218526</v>
      </c>
      <c r="J2064">
        <v>25.27866638344758</v>
      </c>
      <c r="K2064">
        <v>0.2392686502722617</v>
      </c>
      <c r="L2064">
        <v>1.226412255295113</v>
      </c>
      <c r="M2064">
        <v>27.71</v>
      </c>
      <c r="N2064">
        <v>19.95</v>
      </c>
    </row>
    <row r="2065" spans="1:14">
      <c r="A2065" s="1" t="s">
        <v>2077</v>
      </c>
      <c r="B2065">
        <f>HYPERLINK("https://www.suredividend.com/sure-analysis-research-database/","Quanex Building Products Corp")</f>
        <v>0</v>
      </c>
      <c r="C2065" t="s">
        <v>3220</v>
      </c>
      <c r="D2065">
        <v>20.47</v>
      </c>
      <c r="E2065">
        <v>0.015550626737284</v>
      </c>
      <c r="F2065">
        <v>0</v>
      </c>
      <c r="G2065">
        <v>0.1486983549970351</v>
      </c>
      <c r="H2065">
        <v>0.318321329312212</v>
      </c>
      <c r="I2065">
        <v>683.467405</v>
      </c>
      <c r="J2065">
        <v>11.32187131131247</v>
      </c>
      <c r="K2065">
        <v>0.1768451829512289</v>
      </c>
      <c r="L2065">
        <v>1.065321129140568</v>
      </c>
      <c r="M2065">
        <v>28.63</v>
      </c>
      <c r="N2065">
        <v>20.16</v>
      </c>
    </row>
    <row r="2066" spans="1:14">
      <c r="A2066" s="1" t="s">
        <v>2078</v>
      </c>
      <c r="B2066">
        <f>HYPERLINK("https://www.suredividend.com/sure-analysis-research-database/","NextGen Healthcare Inc")</f>
        <v>0</v>
      </c>
      <c r="C2066" t="s">
        <v>3217</v>
      </c>
      <c r="D2066">
        <v>21.11</v>
      </c>
      <c r="E2066">
        <v>0</v>
      </c>
      <c r="H2066">
        <v>0</v>
      </c>
      <c r="I2066">
        <v>1411.518018</v>
      </c>
      <c r="J2066">
        <v>2045.678286797101</v>
      </c>
      <c r="K2066">
        <v>0</v>
      </c>
      <c r="L2066">
        <v>0.572201760954087</v>
      </c>
      <c r="M2066">
        <v>21.87</v>
      </c>
      <c r="N2066">
        <v>13.64</v>
      </c>
    </row>
    <row r="2067" spans="1:14">
      <c r="A2067" s="1" t="s">
        <v>2079</v>
      </c>
      <c r="B2067">
        <f>HYPERLINK("https://www.suredividend.com/sure-analysis-NXRT/","NexPoint Residential Trust Inc")</f>
        <v>0</v>
      </c>
      <c r="C2067" t="s">
        <v>3224</v>
      </c>
      <c r="D2067">
        <v>87.05</v>
      </c>
      <c r="E2067">
        <v>0.01746122917863297</v>
      </c>
      <c r="F2067">
        <v>0.1135531135531134</v>
      </c>
      <c r="G2067">
        <v>0.115506700140541</v>
      </c>
      <c r="H2067">
        <v>1.432824772041439</v>
      </c>
      <c r="I2067">
        <v>2237.20154</v>
      </c>
      <c r="J2067">
        <v>97.11340623779138</v>
      </c>
      <c r="K2067">
        <v>1.60217463048355</v>
      </c>
      <c r="L2067">
        <v>0.70456531976084</v>
      </c>
      <c r="M2067">
        <v>92.81999999999999</v>
      </c>
      <c r="N2067">
        <v>47.1</v>
      </c>
    </row>
    <row r="2068" spans="1:14">
      <c r="A2068" s="1" t="s">
        <v>2080</v>
      </c>
      <c r="B2068">
        <f>HYPERLINK("https://www.suredividend.com/sure-analysis-research-database/","Nexstar Media Group Inc")</f>
        <v>0</v>
      </c>
      <c r="C2068" t="s">
        <v>3228</v>
      </c>
      <c r="D2068">
        <v>170.02</v>
      </c>
      <c r="E2068">
        <v>0.017530637946185</v>
      </c>
      <c r="F2068">
        <v>0.2857142857142856</v>
      </c>
      <c r="G2068">
        <v>0.2457309396155174</v>
      </c>
      <c r="H2068">
        <v>2.980559063610381</v>
      </c>
      <c r="I2068">
        <v>6971.353693</v>
      </c>
      <c r="J2068">
        <v>8.353248258715887</v>
      </c>
      <c r="K2068">
        <v>0.1570368315916955</v>
      </c>
      <c r="L2068">
        <v>1.008348336159108</v>
      </c>
      <c r="M2068">
        <v>192.84</v>
      </c>
      <c r="N2068">
        <v>134.01</v>
      </c>
    </row>
    <row r="2069" spans="1:14">
      <c r="A2069" s="1" t="s">
        <v>2081</v>
      </c>
      <c r="B2069">
        <f>HYPERLINK("https://www.suredividend.com/sure-analysis-research-database/","Nxt-ID Inc")</f>
        <v>0</v>
      </c>
      <c r="C2069" t="s">
        <v>3220</v>
      </c>
      <c r="D2069">
        <v>2.42</v>
      </c>
      <c r="E2069">
        <v>0</v>
      </c>
      <c r="H2069">
        <v>0</v>
      </c>
      <c r="I2069">
        <v>21.529479</v>
      </c>
      <c r="J2069">
        <v>0</v>
      </c>
      <c r="K2069" t="s">
        <v>3219</v>
      </c>
      <c r="M2069">
        <v>19.2</v>
      </c>
      <c r="N2069">
        <v>2.1</v>
      </c>
    </row>
    <row r="2070" spans="1:14">
      <c r="A2070" s="1" t="s">
        <v>2082</v>
      </c>
      <c r="B2070">
        <f>HYPERLINK("https://www.suredividend.com/sure-analysis-NYCB/","New York Community Bancorp Inc.")</f>
        <v>0</v>
      </c>
      <c r="C2070" t="s">
        <v>3221</v>
      </c>
      <c r="D2070">
        <v>10.04</v>
      </c>
      <c r="E2070">
        <v>0.06772908366533865</v>
      </c>
      <c r="F2070">
        <v>0</v>
      </c>
      <c r="G2070">
        <v>0</v>
      </c>
      <c r="H2070">
        <v>0.665634228093955</v>
      </c>
      <c r="I2070">
        <v>4688.525966</v>
      </c>
      <c r="J2070">
        <v>8.432600658848919</v>
      </c>
      <c r="K2070">
        <v>0.5546951900782958</v>
      </c>
      <c r="L2070">
        <v>0.8561454122114721</v>
      </c>
      <c r="M2070">
        <v>13.93</v>
      </c>
      <c r="N2070">
        <v>9.81</v>
      </c>
    </row>
    <row r="2071" spans="1:14">
      <c r="A2071" s="1" t="s">
        <v>2083</v>
      </c>
      <c r="B2071">
        <f>HYPERLINK("https://www.suredividend.com/sure-analysis-NYMT/","New York Mortgage Trust Inc")</f>
        <v>0</v>
      </c>
      <c r="C2071" t="s">
        <v>3224</v>
      </c>
      <c r="D2071">
        <v>3.5</v>
      </c>
      <c r="E2071">
        <v>0.1142857142857143</v>
      </c>
      <c r="H2071">
        <v>0.38472981430873</v>
      </c>
      <c r="I2071">
        <v>1334.465104</v>
      </c>
      <c r="J2071">
        <v>9.255806125846188</v>
      </c>
      <c r="K2071">
        <v>1.016727839082268</v>
      </c>
      <c r="L2071">
        <v>0.7802304670211061</v>
      </c>
      <c r="M2071">
        <v>4.47</v>
      </c>
      <c r="N2071">
        <v>3.15</v>
      </c>
    </row>
    <row r="2072" spans="1:14">
      <c r="A2072" s="1" t="s">
        <v>2084</v>
      </c>
      <c r="B2072">
        <f>HYPERLINK("https://www.suredividend.com/sure-analysis-research-database/","New York Times Co.")</f>
        <v>0</v>
      </c>
      <c r="C2072" t="s">
        <v>3228</v>
      </c>
      <c r="D2072">
        <v>43.9</v>
      </c>
      <c r="E2072">
        <v>0.006817739686992</v>
      </c>
      <c r="F2072">
        <v>0.2857142857142856</v>
      </c>
      <c r="G2072">
        <v>0.1760790225246736</v>
      </c>
      <c r="H2072">
        <v>0.299298772258962</v>
      </c>
      <c r="I2072">
        <v>7318.082061</v>
      </c>
      <c r="J2072">
        <v>33.26839474839865</v>
      </c>
      <c r="K2072">
        <v>0.2284723452358489</v>
      </c>
      <c r="L2072">
        <v>0.8064878988709681</v>
      </c>
      <c r="M2072">
        <v>56</v>
      </c>
      <c r="N2072">
        <v>37.2</v>
      </c>
    </row>
    <row r="2073" spans="1:14">
      <c r="A2073" s="1" t="s">
        <v>2085</v>
      </c>
      <c r="B2073">
        <f>HYPERLINK("https://www.suredividend.com/sure-analysis-O/","Realty Income Corp.")</f>
        <v>0</v>
      </c>
      <c r="C2073" t="s">
        <v>3224</v>
      </c>
      <c r="D2073">
        <v>72.61</v>
      </c>
      <c r="E2073">
        <v>0.04076573474727999</v>
      </c>
      <c r="F2073">
        <v>0.004065040650406582</v>
      </c>
      <c r="G2073">
        <v>0.01130467219435949</v>
      </c>
      <c r="H2073">
        <v>2.826984879134526</v>
      </c>
      <c r="I2073">
        <v>43413.594079</v>
      </c>
      <c r="J2073">
        <v>120.7758225728323</v>
      </c>
      <c r="K2073">
        <v>3.262156564890983</v>
      </c>
      <c r="L2073">
        <v>0.5997958967842421</v>
      </c>
      <c r="M2073">
        <v>73.08</v>
      </c>
      <c r="N2073">
        <v>62.08</v>
      </c>
    </row>
    <row r="2074" spans="1:14">
      <c r="A2074" s="1" t="s">
        <v>2086</v>
      </c>
      <c r="B2074">
        <f>HYPERLINK("https://www.suredividend.com/sure-analysis-research-database/","Oasis Petroleum Inc.")</f>
        <v>0</v>
      </c>
      <c r="C2074" t="s">
        <v>3226</v>
      </c>
      <c r="D2074">
        <v>151</v>
      </c>
      <c r="E2074">
        <v>0.011844991943554</v>
      </c>
      <c r="H2074">
        <v>1.788593783476689</v>
      </c>
      <c r="I2074">
        <v>2929.408003</v>
      </c>
      <c r="J2074" t="s">
        <v>3219</v>
      </c>
      <c r="K2074" t="s">
        <v>3219</v>
      </c>
      <c r="L2074">
        <v>0.761770035653609</v>
      </c>
      <c r="M2074">
        <v>155.33</v>
      </c>
      <c r="N2074">
        <v>67.14</v>
      </c>
    </row>
    <row r="2075" spans="1:14">
      <c r="A2075" s="1" t="s">
        <v>2087</v>
      </c>
      <c r="B2075">
        <f>HYPERLINK("https://www.suredividend.com/sure-analysis-research-database/","Ocean Bio-Chem, Inc.")</f>
        <v>0</v>
      </c>
      <c r="C2075" t="s">
        <v>3220</v>
      </c>
      <c r="D2075">
        <v>8</v>
      </c>
      <c r="E2075">
        <v>0.01616372554246</v>
      </c>
      <c r="H2075">
        <v>0.129309804339683</v>
      </c>
      <c r="I2075">
        <v>76.07839199999999</v>
      </c>
      <c r="J2075">
        <v>0</v>
      </c>
      <c r="K2075" t="s">
        <v>3219</v>
      </c>
      <c r="M2075">
        <v>15.05</v>
      </c>
      <c r="N2075">
        <v>7.5</v>
      </c>
    </row>
    <row r="2076" spans="1:14">
      <c r="A2076" s="1" t="s">
        <v>2088</v>
      </c>
      <c r="B2076">
        <f>HYPERLINK("https://www.suredividend.com/sure-analysis-research-database/","Origin Bancorp Inc")</f>
        <v>0</v>
      </c>
      <c r="C2076" t="s">
        <v>3221</v>
      </c>
      <c r="D2076">
        <v>40.67</v>
      </c>
      <c r="E2076">
        <v>0.012728770887645</v>
      </c>
      <c r="H2076">
        <v>0.5176791120005571</v>
      </c>
      <c r="I2076">
        <v>965.861581</v>
      </c>
      <c r="J2076">
        <v>8.898177557533213</v>
      </c>
      <c r="K2076">
        <v>0.1125389373914255</v>
      </c>
      <c r="L2076">
        <v>0.7465156379490341</v>
      </c>
      <c r="M2076">
        <v>47.3</v>
      </c>
      <c r="N2076">
        <v>37.82</v>
      </c>
    </row>
    <row r="2077" spans="1:14">
      <c r="A2077" s="1" t="s">
        <v>2089</v>
      </c>
      <c r="B2077">
        <f>HYPERLINK("https://www.suredividend.com/sure-analysis-research-database/","Owens Corning")</f>
        <v>0</v>
      </c>
      <c r="C2077" t="s">
        <v>3220</v>
      </c>
      <c r="D2077">
        <v>86.22</v>
      </c>
      <c r="E2077">
        <v>0.014080755355269</v>
      </c>
      <c r="F2077">
        <v>0.3461538461538463</v>
      </c>
      <c r="G2077">
        <v>0.1184269147201447</v>
      </c>
      <c r="H2077">
        <v>1.214042726731311</v>
      </c>
      <c r="I2077">
        <v>8541.653824000001</v>
      </c>
      <c r="J2077">
        <v>8.584576707256282</v>
      </c>
      <c r="K2077">
        <v>0.1272581474561123</v>
      </c>
      <c r="L2077">
        <v>1.418833137665367</v>
      </c>
      <c r="M2077">
        <v>108.46</v>
      </c>
      <c r="N2077">
        <v>79.34999999999999</v>
      </c>
    </row>
    <row r="2078" spans="1:14">
      <c r="A2078" s="1" t="s">
        <v>2090</v>
      </c>
      <c r="B2078">
        <f>HYPERLINK("https://www.suredividend.com/sure-analysis-research-database/","Optical Cable Corp.")</f>
        <v>0</v>
      </c>
      <c r="C2078" t="s">
        <v>3222</v>
      </c>
      <c r="D2078">
        <v>4.21</v>
      </c>
      <c r="E2078">
        <v>0</v>
      </c>
      <c r="H2078">
        <v>0</v>
      </c>
      <c r="I2078">
        <v>33.048492</v>
      </c>
      <c r="J2078">
        <v>0</v>
      </c>
      <c r="K2078" t="s">
        <v>3219</v>
      </c>
      <c r="L2078">
        <v>0.6885213382583381</v>
      </c>
      <c r="M2078">
        <v>6.85</v>
      </c>
      <c r="N2078">
        <v>3.15</v>
      </c>
    </row>
    <row r="2079" spans="1:14">
      <c r="A2079" s="1" t="s">
        <v>2091</v>
      </c>
      <c r="B2079">
        <f>HYPERLINK("https://www.suredividend.com/sure-analysis-research-database/","OceanFirst Financial Corp.")</f>
        <v>0</v>
      </c>
      <c r="C2079" t="s">
        <v>3221</v>
      </c>
      <c r="D2079">
        <v>18.86</v>
      </c>
      <c r="E2079">
        <v>0.035639058628933</v>
      </c>
      <c r="F2079">
        <v>0</v>
      </c>
      <c r="G2079">
        <v>0.02534857565773274</v>
      </c>
      <c r="H2079">
        <v>0.6721526457416861</v>
      </c>
      <c r="I2079">
        <v>1117.349799</v>
      </c>
      <c r="J2079">
        <v>10.53507259023194</v>
      </c>
      <c r="K2079">
        <v>0.3776138459222956</v>
      </c>
      <c r="L2079">
        <v>0.728073625459238</v>
      </c>
      <c r="M2079">
        <v>24.07</v>
      </c>
      <c r="N2079">
        <v>18.16</v>
      </c>
    </row>
    <row r="2080" spans="1:14">
      <c r="A2080" s="1" t="s">
        <v>2092</v>
      </c>
      <c r="B2080">
        <f>HYPERLINK("https://www.suredividend.com/sure-analysis-research-database/","Ocwen Financial Corp.")</f>
        <v>0</v>
      </c>
      <c r="C2080" t="s">
        <v>3221</v>
      </c>
      <c r="D2080">
        <v>20.8</v>
      </c>
      <c r="E2080">
        <v>0</v>
      </c>
      <c r="H2080">
        <v>0</v>
      </c>
      <c r="I2080">
        <v>191.53289</v>
      </c>
      <c r="J2080">
        <v>10.59480526606926</v>
      </c>
      <c r="K2080">
        <v>0</v>
      </c>
      <c r="L2080">
        <v>0.9022001090097691</v>
      </c>
      <c r="M2080">
        <v>41.92</v>
      </c>
      <c r="N2080">
        <v>20.1</v>
      </c>
    </row>
    <row r="2081" spans="1:14">
      <c r="A2081" s="1" t="s">
        <v>2093</v>
      </c>
      <c r="B2081">
        <f>HYPERLINK("https://www.suredividend.com/sure-analysis-research-database/","Ocular Therapeutix Inc")</f>
        <v>0</v>
      </c>
      <c r="C2081" t="s">
        <v>3217</v>
      </c>
      <c r="D2081">
        <v>4.38</v>
      </c>
      <c r="E2081">
        <v>0</v>
      </c>
      <c r="H2081">
        <v>0</v>
      </c>
      <c r="I2081">
        <v>336.183221</v>
      </c>
      <c r="J2081">
        <v>0</v>
      </c>
      <c r="K2081" t="s">
        <v>3219</v>
      </c>
      <c r="L2081">
        <v>1.302384635219886</v>
      </c>
      <c r="M2081">
        <v>19.84</v>
      </c>
      <c r="N2081">
        <v>4.06</v>
      </c>
    </row>
    <row r="2082" spans="1:14">
      <c r="A2082" s="1" t="s">
        <v>2094</v>
      </c>
      <c r="B2082">
        <f>HYPERLINK("https://www.suredividend.com/sure-analysis-research-database/","Oncocyte Corporation")</f>
        <v>0</v>
      </c>
      <c r="C2082" t="s">
        <v>3217</v>
      </c>
      <c r="D2082">
        <v>1.26</v>
      </c>
      <c r="E2082">
        <v>0</v>
      </c>
      <c r="H2082">
        <v>0</v>
      </c>
      <c r="I2082">
        <v>116.230721</v>
      </c>
      <c r="J2082">
        <v>0</v>
      </c>
      <c r="K2082" t="s">
        <v>3219</v>
      </c>
      <c r="L2082">
        <v>1.877365617417351</v>
      </c>
      <c r="M2082">
        <v>6.25</v>
      </c>
      <c r="N2082">
        <v>1.14</v>
      </c>
    </row>
    <row r="2083" spans="1:14">
      <c r="A2083" s="1" t="s">
        <v>2095</v>
      </c>
      <c r="B2083">
        <f>HYPERLINK("https://www.suredividend.com/sure-analysis-research-database/","Oil-Dri Corp. Of America")</f>
        <v>0</v>
      </c>
      <c r="C2083" t="s">
        <v>3218</v>
      </c>
      <c r="D2083">
        <v>27.06</v>
      </c>
      <c r="E2083">
        <v>0.039079480635428</v>
      </c>
      <c r="F2083">
        <v>0.03846153846153855</v>
      </c>
      <c r="G2083">
        <v>0.04180926810264429</v>
      </c>
      <c r="H2083">
        <v>1.057490745994686</v>
      </c>
      <c r="I2083">
        <v>143.066572</v>
      </c>
      <c r="J2083">
        <v>27.62436218961189</v>
      </c>
      <c r="K2083">
        <v>1.468125428286389</v>
      </c>
      <c r="L2083">
        <v>0.398332557704185</v>
      </c>
      <c r="M2083">
        <v>37.17</v>
      </c>
      <c r="N2083">
        <v>26.67</v>
      </c>
    </row>
    <row r="2084" spans="1:14">
      <c r="A2084" s="1" t="s">
        <v>2096</v>
      </c>
      <c r="B2084">
        <f>HYPERLINK("https://www.suredividend.com/sure-analysis-ODFL/","Old Dominion Freight Line, Inc.")</f>
        <v>0</v>
      </c>
      <c r="C2084" t="s">
        <v>3220</v>
      </c>
      <c r="D2084">
        <v>264.75</v>
      </c>
      <c r="E2084">
        <v>0.004532577903682719</v>
      </c>
      <c r="F2084">
        <v>0.5000000000000002</v>
      </c>
      <c r="G2084">
        <v>0.2457309396155174</v>
      </c>
      <c r="H2084">
        <v>0.8990672064638041</v>
      </c>
      <c r="I2084">
        <v>30410.191844</v>
      </c>
      <c r="J2084">
        <v>29.39958123915408</v>
      </c>
      <c r="K2084">
        <v>0.1011324191747811</v>
      </c>
      <c r="L2084">
        <v>1.16230385407341</v>
      </c>
      <c r="M2084">
        <v>373.22</v>
      </c>
      <c r="N2084">
        <v>244.55</v>
      </c>
    </row>
    <row r="2085" spans="1:14">
      <c r="A2085" s="1" t="s">
        <v>2097</v>
      </c>
      <c r="B2085">
        <f>HYPERLINK("https://www.suredividend.com/sure-analysis-research-database/","ODP Corporation (The)")</f>
        <v>0</v>
      </c>
      <c r="C2085" t="s">
        <v>3223</v>
      </c>
      <c r="D2085">
        <v>45.92</v>
      </c>
      <c r="E2085">
        <v>0</v>
      </c>
      <c r="H2085">
        <v>0</v>
      </c>
      <c r="I2085">
        <v>2226.518632</v>
      </c>
      <c r="J2085" t="s">
        <v>3219</v>
      </c>
      <c r="K2085">
        <v>-0</v>
      </c>
      <c r="L2085">
        <v>1.260358646843085</v>
      </c>
      <c r="M2085">
        <v>51.4</v>
      </c>
      <c r="N2085">
        <v>34.71</v>
      </c>
    </row>
    <row r="2086" spans="1:14">
      <c r="A2086" s="1" t="s">
        <v>2098</v>
      </c>
      <c r="B2086">
        <f>HYPERLINK("https://www.suredividend.com/sure-analysis-research-database/","Odonate Therapeutics Inc")</f>
        <v>0</v>
      </c>
      <c r="C2086" t="s">
        <v>3217</v>
      </c>
      <c r="D2086">
        <v>1.12</v>
      </c>
      <c r="E2086">
        <v>0</v>
      </c>
      <c r="H2086">
        <v>0</v>
      </c>
      <c r="I2086">
        <v>0</v>
      </c>
      <c r="J2086">
        <v>0</v>
      </c>
      <c r="K2086" t="s">
        <v>3219</v>
      </c>
    </row>
    <row r="2087" spans="1:14">
      <c r="A2087" s="1" t="s">
        <v>2099</v>
      </c>
      <c r="B2087">
        <f>HYPERLINK("https://www.suredividend.com/sure-analysis-research-database/","Orion Energy Systems Inc")</f>
        <v>0</v>
      </c>
      <c r="C2087" t="s">
        <v>3220</v>
      </c>
      <c r="D2087">
        <v>2.62</v>
      </c>
      <c r="E2087">
        <v>0</v>
      </c>
      <c r="H2087">
        <v>0</v>
      </c>
      <c r="I2087">
        <v>81.462174</v>
      </c>
      <c r="J2087">
        <v>0</v>
      </c>
      <c r="K2087" t="s">
        <v>3219</v>
      </c>
      <c r="L2087">
        <v>1.417118336418715</v>
      </c>
      <c r="M2087">
        <v>6.78</v>
      </c>
      <c r="N2087">
        <v>2.57</v>
      </c>
    </row>
    <row r="2088" spans="1:14">
      <c r="A2088" s="1" t="s">
        <v>2100</v>
      </c>
      <c r="B2088">
        <f>HYPERLINK("https://www.suredividend.com/sure-analysis-OFC/","Corporate Office Properties Trust")</f>
        <v>0</v>
      </c>
      <c r="C2088" t="s">
        <v>3224</v>
      </c>
      <c r="D2088">
        <v>28.17</v>
      </c>
      <c r="E2088">
        <v>0.03904863329783458</v>
      </c>
      <c r="F2088">
        <v>0</v>
      </c>
      <c r="G2088">
        <v>0</v>
      </c>
      <c r="H2088">
        <v>1.084355494079932</v>
      </c>
      <c r="I2088">
        <v>3166.862132</v>
      </c>
      <c r="J2088">
        <v>41.37471593093898</v>
      </c>
      <c r="K2088">
        <v>1.592532668644341</v>
      </c>
      <c r="L2088">
        <v>0.589915783852069</v>
      </c>
      <c r="M2088">
        <v>29.64</v>
      </c>
      <c r="N2088">
        <v>23.67</v>
      </c>
    </row>
    <row r="2089" spans="1:14">
      <c r="A2089" s="1" t="s">
        <v>2101</v>
      </c>
      <c r="B2089">
        <f>HYPERLINK("https://www.suredividend.com/sure-analysis-research-database/","Oconee Federal Financial Corp")</f>
        <v>0</v>
      </c>
      <c r="C2089" t="s">
        <v>3221</v>
      </c>
      <c r="D2089">
        <v>24.06</v>
      </c>
      <c r="E2089">
        <v>0.011746806156186</v>
      </c>
      <c r="F2089">
        <v>0</v>
      </c>
      <c r="G2089">
        <v>0</v>
      </c>
      <c r="H2089">
        <v>0.299543556982761</v>
      </c>
      <c r="I2089">
        <v>142.300251</v>
      </c>
      <c r="J2089">
        <v>0</v>
      </c>
      <c r="K2089" t="s">
        <v>3219</v>
      </c>
      <c r="M2089">
        <v>27</v>
      </c>
      <c r="N2089">
        <v>20.12</v>
      </c>
    </row>
    <row r="2090" spans="1:14">
      <c r="A2090" s="1" t="s">
        <v>2102</v>
      </c>
      <c r="B2090">
        <f>HYPERLINK("https://www.suredividend.com/sure-analysis-research-database/","OFG Bancorp")</f>
        <v>0</v>
      </c>
      <c r="C2090" t="s">
        <v>3221</v>
      </c>
      <c r="D2090">
        <v>25.79</v>
      </c>
      <c r="E2090">
        <v>0.018108059995219</v>
      </c>
      <c r="F2090">
        <v>0.875</v>
      </c>
      <c r="G2090">
        <v>0.2011244339814313</v>
      </c>
      <c r="H2090">
        <v>0.467006867276722</v>
      </c>
      <c r="I2090">
        <v>1255.601186</v>
      </c>
      <c r="J2090">
        <v>8.665533800588006</v>
      </c>
      <c r="K2090">
        <v>0.165605272083944</v>
      </c>
      <c r="L2090">
        <v>1.025464938448932</v>
      </c>
      <c r="M2090">
        <v>30.76</v>
      </c>
      <c r="N2090">
        <v>19.49</v>
      </c>
    </row>
    <row r="2091" spans="1:14">
      <c r="A2091" s="1" t="s">
        <v>2103</v>
      </c>
      <c r="B2091">
        <f>HYPERLINK("https://www.suredividend.com/sure-analysis-research-database/","Orthofix Medical Inc")</f>
        <v>0</v>
      </c>
      <c r="C2091" t="s">
        <v>3217</v>
      </c>
      <c r="D2091">
        <v>32.38</v>
      </c>
      <c r="E2091">
        <v>0</v>
      </c>
      <c r="H2091">
        <v>0</v>
      </c>
      <c r="I2091">
        <v>642.838553</v>
      </c>
      <c r="J2091" t="s">
        <v>3219</v>
      </c>
      <c r="K2091">
        <v>-0</v>
      </c>
      <c r="L2091">
        <v>0.715737433963308</v>
      </c>
      <c r="M2091">
        <v>45.96</v>
      </c>
      <c r="N2091">
        <v>28.65</v>
      </c>
    </row>
    <row r="2092" spans="1:14">
      <c r="A2092" s="1" t="s">
        <v>2104</v>
      </c>
      <c r="B2092">
        <f>HYPERLINK("https://www.suredividend.com/sure-analysis-research-database/","Omega Flex Inc")</f>
        <v>0</v>
      </c>
      <c r="C2092" t="s">
        <v>3220</v>
      </c>
      <c r="D2092">
        <v>125.45</v>
      </c>
      <c r="E2092">
        <v>0.009532440274802</v>
      </c>
      <c r="F2092">
        <v>0.0714285714285714</v>
      </c>
      <c r="G2092">
        <v>0.06399531281508364</v>
      </c>
      <c r="H2092">
        <v>1.195844632473981</v>
      </c>
      <c r="I2092">
        <v>1266.332695</v>
      </c>
      <c r="J2092">
        <v>48.34253464019851</v>
      </c>
      <c r="K2092">
        <v>0.4599402432592235</v>
      </c>
      <c r="L2092">
        <v>0.750475518880331</v>
      </c>
      <c r="M2092">
        <v>171.67</v>
      </c>
      <c r="N2092">
        <v>108.48</v>
      </c>
    </row>
    <row r="2093" spans="1:14">
      <c r="A2093" s="1" t="s">
        <v>2105</v>
      </c>
      <c r="B2093">
        <f>HYPERLINK("https://www.suredividend.com/sure-analysis-OGE/","Oge Energy Corp.")</f>
        <v>0</v>
      </c>
      <c r="C2093" t="s">
        <v>3227</v>
      </c>
      <c r="D2093">
        <v>41.63</v>
      </c>
      <c r="E2093">
        <v>0.03939466730723036</v>
      </c>
      <c r="F2093">
        <v>0.01863354037267073</v>
      </c>
      <c r="G2093">
        <v>0.0627024835848522</v>
      </c>
      <c r="H2093">
        <v>1.606993762349158</v>
      </c>
      <c r="I2093">
        <v>8334.437234999999</v>
      </c>
      <c r="J2093">
        <v>11.30399733535874</v>
      </c>
      <c r="K2093">
        <v>0.4366830875948799</v>
      </c>
      <c r="L2093">
        <v>0.385910717613501</v>
      </c>
      <c r="M2093">
        <v>41.87</v>
      </c>
      <c r="N2093">
        <v>31.1</v>
      </c>
    </row>
    <row r="2094" spans="1:14">
      <c r="A2094" s="1" t="s">
        <v>2106</v>
      </c>
      <c r="B2094">
        <f>HYPERLINK("https://www.suredividend.com/sure-analysis-research-database/","Oragenics Inc")</f>
        <v>0</v>
      </c>
      <c r="C2094" t="s">
        <v>3217</v>
      </c>
      <c r="D2094">
        <v>0.3479</v>
      </c>
      <c r="E2094">
        <v>0</v>
      </c>
      <c r="H2094">
        <v>0</v>
      </c>
      <c r="I2094">
        <v>40.493753</v>
      </c>
      <c r="J2094">
        <v>0</v>
      </c>
      <c r="K2094" t="s">
        <v>3219</v>
      </c>
      <c r="L2094">
        <v>0.5403401885145911</v>
      </c>
      <c r="M2094">
        <v>1.15</v>
      </c>
      <c r="N2094">
        <v>0.3</v>
      </c>
    </row>
    <row r="2095" spans="1:14">
      <c r="A2095" s="1" t="s">
        <v>2107</v>
      </c>
      <c r="B2095">
        <f>HYPERLINK("https://www.suredividend.com/sure-analysis-OGS/","ONE Gas Inc")</f>
        <v>0</v>
      </c>
      <c r="C2095" t="s">
        <v>3227</v>
      </c>
      <c r="D2095">
        <v>89.02</v>
      </c>
      <c r="E2095">
        <v>0.02785890811053696</v>
      </c>
      <c r="F2095">
        <v>0.06896551724137945</v>
      </c>
      <c r="G2095">
        <v>0.08100693430783124</v>
      </c>
      <c r="H2095">
        <v>2.331497725418248</v>
      </c>
      <c r="I2095">
        <v>4815.075509</v>
      </c>
      <c r="J2095">
        <v>23.32501191344449</v>
      </c>
      <c r="K2095">
        <v>0.6055838247839604</v>
      </c>
      <c r="L2095">
        <v>0.231528154017354</v>
      </c>
      <c r="M2095">
        <v>92.26000000000001</v>
      </c>
      <c r="N2095">
        <v>61.48</v>
      </c>
    </row>
    <row r="2096" spans="1:14">
      <c r="A2096" s="1" t="s">
        <v>2108</v>
      </c>
      <c r="B2096">
        <f>HYPERLINK("https://www.suredividend.com/sure-analysis-OHI/","Omega Healthcare Investors, Inc.")</f>
        <v>0</v>
      </c>
      <c r="C2096" t="s">
        <v>3224</v>
      </c>
      <c r="D2096">
        <v>27.47</v>
      </c>
      <c r="E2096">
        <v>0.0975609756097561</v>
      </c>
      <c r="F2096">
        <v>0</v>
      </c>
      <c r="G2096">
        <v>0.01238767806453756</v>
      </c>
      <c r="H2096">
        <v>2.591775697865755</v>
      </c>
      <c r="I2096">
        <v>6568.41348</v>
      </c>
      <c r="J2096">
        <v>15.76145616328205</v>
      </c>
      <c r="K2096">
        <v>1.515658302845471</v>
      </c>
      <c r="L2096">
        <v>0.658238036062044</v>
      </c>
      <c r="M2096">
        <v>36.56</v>
      </c>
      <c r="N2096">
        <v>26.42</v>
      </c>
    </row>
    <row r="2097" spans="1:14">
      <c r="A2097" s="1" t="s">
        <v>2109</v>
      </c>
      <c r="B2097">
        <f>HYPERLINK("https://www.suredividend.com/sure-analysis-research-database/","O-I Glass Inc")</f>
        <v>0</v>
      </c>
      <c r="C2097" t="s">
        <v>3223</v>
      </c>
      <c r="D2097">
        <v>13.1</v>
      </c>
      <c r="E2097">
        <v>0</v>
      </c>
      <c r="H2097">
        <v>0</v>
      </c>
      <c r="I2097">
        <v>2045.553917</v>
      </c>
      <c r="J2097">
        <v>0</v>
      </c>
      <c r="K2097" t="s">
        <v>3219</v>
      </c>
      <c r="L2097">
        <v>1.263724489051007</v>
      </c>
      <c r="M2097">
        <v>19.46</v>
      </c>
      <c r="N2097">
        <v>10.64</v>
      </c>
    </row>
    <row r="2098" spans="1:14">
      <c r="A2098" s="1" t="s">
        <v>2110</v>
      </c>
      <c r="B2098">
        <f>HYPERLINK("https://www.suredividend.com/sure-analysis-research-database/","Oceaneering International, Inc.")</f>
        <v>0</v>
      </c>
      <c r="C2098" t="s">
        <v>3226</v>
      </c>
      <c r="D2098">
        <v>15.11</v>
      </c>
      <c r="E2098">
        <v>0</v>
      </c>
      <c r="H2098">
        <v>0</v>
      </c>
      <c r="I2098">
        <v>1505.694033</v>
      </c>
      <c r="J2098" t="s">
        <v>3219</v>
      </c>
      <c r="K2098">
        <v>-0</v>
      </c>
      <c r="L2098">
        <v>0.9568634309656021</v>
      </c>
      <c r="M2098">
        <v>18.2</v>
      </c>
      <c r="N2098">
        <v>9.41</v>
      </c>
    </row>
    <row r="2099" spans="1:14">
      <c r="A2099" s="1" t="s">
        <v>2111</v>
      </c>
      <c r="B2099">
        <f>HYPERLINK("https://www.suredividend.com/sure-analysis-research-database/","Oil States International, Inc.")</f>
        <v>0</v>
      </c>
      <c r="C2099" t="s">
        <v>3226</v>
      </c>
      <c r="D2099">
        <v>7.51</v>
      </c>
      <c r="E2099">
        <v>0</v>
      </c>
      <c r="H2099">
        <v>0</v>
      </c>
      <c r="I2099">
        <v>464.810595</v>
      </c>
      <c r="J2099" t="s">
        <v>3219</v>
      </c>
      <c r="K2099">
        <v>-0</v>
      </c>
      <c r="L2099">
        <v>0.7212664754343751</v>
      </c>
      <c r="M2099">
        <v>8.699999999999999</v>
      </c>
      <c r="N2099">
        <v>4.42</v>
      </c>
    </row>
    <row r="2100" spans="1:14">
      <c r="A2100" s="1" t="s">
        <v>2112</v>
      </c>
      <c r="B2100">
        <f>HYPERLINK("https://www.suredividend.com/sure-analysis-OKE/","Oneok Inc.")</f>
        <v>0</v>
      </c>
      <c r="C2100" t="s">
        <v>3226</v>
      </c>
      <c r="D2100">
        <v>71.3</v>
      </c>
      <c r="E2100">
        <v>0.05245441795231417</v>
      </c>
      <c r="F2100">
        <v>0</v>
      </c>
      <c r="G2100">
        <v>0.08739491812055955</v>
      </c>
      <c r="H2100">
        <v>3.654365479221243</v>
      </c>
      <c r="I2100">
        <v>31841.98436</v>
      </c>
      <c r="J2100">
        <v>21.24773580233897</v>
      </c>
      <c r="K2100">
        <v>1.090855366931714</v>
      </c>
      <c r="L2100">
        <v>0.967745831144987</v>
      </c>
      <c r="M2100">
        <v>72.37</v>
      </c>
      <c r="N2100">
        <v>46.74</v>
      </c>
    </row>
    <row r="2101" spans="1:14">
      <c r="A2101" s="1" t="s">
        <v>2113</v>
      </c>
      <c r="B2101">
        <f>HYPERLINK("https://www.suredividend.com/sure-analysis-research-database/","Okta Inc")</f>
        <v>0</v>
      </c>
      <c r="C2101" t="s">
        <v>3222</v>
      </c>
      <c r="D2101">
        <v>143.57</v>
      </c>
      <c r="E2101">
        <v>0</v>
      </c>
      <c r="H2101">
        <v>0</v>
      </c>
      <c r="I2101">
        <v>21495.291212</v>
      </c>
      <c r="J2101" t="s">
        <v>3219</v>
      </c>
      <c r="K2101">
        <v>-0</v>
      </c>
      <c r="L2101">
        <v>1.708504385431479</v>
      </c>
      <c r="M2101">
        <v>287.44</v>
      </c>
      <c r="N2101">
        <v>135.46</v>
      </c>
    </row>
    <row r="2102" spans="1:14">
      <c r="A2102" s="1" t="s">
        <v>2114</v>
      </c>
      <c r="B2102">
        <f>HYPERLINK("https://www.suredividend.com/sure-analysis-research-database/","Universal Display Corp.")</f>
        <v>0</v>
      </c>
      <c r="C2102" t="s">
        <v>3222</v>
      </c>
      <c r="D2102">
        <v>145.92</v>
      </c>
      <c r="E2102">
        <v>0.006154863348191</v>
      </c>
      <c r="F2102">
        <v>0.5000000000000002</v>
      </c>
      <c r="G2102">
        <v>0.5848931924611136</v>
      </c>
      <c r="H2102">
        <v>0.8981176597680681</v>
      </c>
      <c r="I2102">
        <v>7076.592207</v>
      </c>
      <c r="J2102">
        <v>38.65384980751163</v>
      </c>
      <c r="K2102">
        <v>0.2320717467100951</v>
      </c>
      <c r="L2102">
        <v>1.701872877115042</v>
      </c>
      <c r="M2102">
        <v>238.71</v>
      </c>
      <c r="N2102">
        <v>127.96</v>
      </c>
    </row>
    <row r="2103" spans="1:14">
      <c r="A2103" s="1" t="s">
        <v>2115</v>
      </c>
      <c r="B2103">
        <f>HYPERLINK("https://www.suredividend.com/sure-analysis-research-database/","Ollies Bargain Outlet Holdings Inc")</f>
        <v>0</v>
      </c>
      <c r="C2103" t="s">
        <v>3225</v>
      </c>
      <c r="D2103">
        <v>54.6</v>
      </c>
      <c r="E2103">
        <v>0</v>
      </c>
      <c r="H2103">
        <v>0</v>
      </c>
      <c r="I2103">
        <v>3423.093164</v>
      </c>
      <c r="J2103">
        <v>21.74013632085358</v>
      </c>
      <c r="K2103">
        <v>0</v>
      </c>
      <c r="L2103">
        <v>1.221378020144032</v>
      </c>
      <c r="M2103">
        <v>98.58</v>
      </c>
      <c r="N2103">
        <v>37.67</v>
      </c>
    </row>
    <row r="2104" spans="1:14">
      <c r="A2104" s="1" t="s">
        <v>2116</v>
      </c>
      <c r="B2104">
        <f>HYPERLINK("https://www.suredividend.com/sure-analysis-OLN/","Olin Corp.")</f>
        <v>0</v>
      </c>
      <c r="C2104" t="s">
        <v>3218</v>
      </c>
      <c r="D2104">
        <v>58.21</v>
      </c>
      <c r="E2104">
        <v>0.01374334306820134</v>
      </c>
      <c r="F2104">
        <v>0</v>
      </c>
      <c r="G2104">
        <v>0</v>
      </c>
      <c r="H2104">
        <v>0.7954547468555001</v>
      </c>
      <c r="I2104">
        <v>8976.485633</v>
      </c>
      <c r="J2104">
        <v>6.922561604781369</v>
      </c>
      <c r="K2104">
        <v>0.09993150086124374</v>
      </c>
      <c r="L2104">
        <v>1.600339408167465</v>
      </c>
      <c r="M2104">
        <v>64.5</v>
      </c>
      <c r="N2104">
        <v>37.75</v>
      </c>
    </row>
    <row r="2105" spans="1:14">
      <c r="A2105" s="1" t="s">
        <v>2117</v>
      </c>
      <c r="B2105">
        <f>HYPERLINK("https://www.suredividend.com/sure-analysis-OLP/","One Liberty Properties, Inc.")</f>
        <v>0</v>
      </c>
      <c r="C2105" t="s">
        <v>3224</v>
      </c>
      <c r="D2105">
        <v>30.63</v>
      </c>
      <c r="E2105">
        <v>0.05876591576885407</v>
      </c>
      <c r="F2105">
        <v>0</v>
      </c>
      <c r="G2105">
        <v>0.00913393693363318</v>
      </c>
      <c r="H2105">
        <v>1.763013369056281</v>
      </c>
      <c r="I2105">
        <v>646.93427</v>
      </c>
      <c r="J2105">
        <v>17.23733099784178</v>
      </c>
      <c r="K2105">
        <v>0.9529801994898816</v>
      </c>
      <c r="L2105">
        <v>0.8346490480582711</v>
      </c>
      <c r="M2105">
        <v>36.07</v>
      </c>
      <c r="N2105">
        <v>22.48</v>
      </c>
    </row>
    <row r="2106" spans="1:14">
      <c r="A2106" s="1" t="s">
        <v>2118</v>
      </c>
      <c r="B2106">
        <f>HYPERLINK("https://www.suredividend.com/sure-analysis-OMC/","Omnicom Group, Inc.")</f>
        <v>0</v>
      </c>
      <c r="C2106" t="s">
        <v>3228</v>
      </c>
      <c r="D2106">
        <v>78.69</v>
      </c>
      <c r="E2106">
        <v>0.03558266615834287</v>
      </c>
      <c r="F2106">
        <v>0</v>
      </c>
      <c r="G2106">
        <v>0.04941452284458392</v>
      </c>
      <c r="H2106">
        <v>2.760498894265833</v>
      </c>
      <c r="I2106">
        <v>16284.699326</v>
      </c>
      <c r="J2106">
        <v>11.56748069742151</v>
      </c>
      <c r="K2106">
        <v>0.422741025155564</v>
      </c>
      <c r="L2106">
        <v>0.9116849599819201</v>
      </c>
      <c r="M2106">
        <v>90.75</v>
      </c>
      <c r="N2106">
        <v>64.52</v>
      </c>
    </row>
    <row r="2107" spans="1:14">
      <c r="A2107" s="1" t="s">
        <v>2119</v>
      </c>
      <c r="B2107">
        <f>HYPERLINK("https://www.suredividend.com/sure-analysis-research-database/","Omnicell, Inc.")</f>
        <v>0</v>
      </c>
      <c r="C2107" t="s">
        <v>3217</v>
      </c>
      <c r="D2107">
        <v>119.92</v>
      </c>
      <c r="E2107">
        <v>0</v>
      </c>
      <c r="H2107">
        <v>0</v>
      </c>
      <c r="I2107">
        <v>5297.222922</v>
      </c>
      <c r="J2107">
        <v>68.04484222225076</v>
      </c>
      <c r="K2107">
        <v>0</v>
      </c>
      <c r="L2107">
        <v>0.758104712098273</v>
      </c>
      <c r="M2107">
        <v>187.29</v>
      </c>
      <c r="N2107">
        <v>118.74</v>
      </c>
    </row>
    <row r="2108" spans="1:14">
      <c r="A2108" s="1" t="s">
        <v>2120</v>
      </c>
      <c r="B2108">
        <f>HYPERLINK("https://www.suredividend.com/sure-analysis-research-database/","Omeros Corporation")</f>
        <v>0</v>
      </c>
      <c r="C2108" t="s">
        <v>3217</v>
      </c>
      <c r="D2108">
        <v>5.14</v>
      </c>
      <c r="E2108">
        <v>0</v>
      </c>
      <c r="H2108">
        <v>0</v>
      </c>
      <c r="I2108">
        <v>322.414287</v>
      </c>
      <c r="J2108" t="s">
        <v>3219</v>
      </c>
      <c r="K2108">
        <v>-0</v>
      </c>
      <c r="L2108">
        <v>1.420145429619848</v>
      </c>
      <c r="M2108">
        <v>19.39</v>
      </c>
      <c r="N2108">
        <v>4.65</v>
      </c>
    </row>
    <row r="2109" spans="1:14">
      <c r="A2109" s="1" t="s">
        <v>2121</v>
      </c>
      <c r="B2109">
        <f>HYPERLINK("https://www.suredividend.com/sure-analysis-research-database/","Odyssey Marine Exploration, Inc.")</f>
        <v>0</v>
      </c>
      <c r="C2109" t="s">
        <v>3220</v>
      </c>
      <c r="D2109">
        <v>6.5</v>
      </c>
      <c r="E2109">
        <v>0</v>
      </c>
      <c r="H2109">
        <v>0</v>
      </c>
      <c r="I2109">
        <v>93.27086</v>
      </c>
      <c r="J2109" t="s">
        <v>3219</v>
      </c>
      <c r="K2109">
        <v>-0</v>
      </c>
      <c r="L2109">
        <v>0.174403393608185</v>
      </c>
      <c r="M2109">
        <v>7.94</v>
      </c>
      <c r="N2109">
        <v>4.93</v>
      </c>
    </row>
    <row r="2110" spans="1:14">
      <c r="A2110" s="1" t="s">
        <v>2122</v>
      </c>
      <c r="B2110">
        <f>HYPERLINK("https://www.suredividend.com/sure-analysis-research-database/","OneMain Holdings Inc")</f>
        <v>0</v>
      </c>
      <c r="C2110" t="s">
        <v>3221</v>
      </c>
      <c r="D2110">
        <v>46.1</v>
      </c>
      <c r="E2110">
        <v>0.064788728579354</v>
      </c>
      <c r="H2110">
        <v>2.98676038750823</v>
      </c>
      <c r="I2110">
        <v>5875.876496</v>
      </c>
      <c r="J2110">
        <v>4.471747713850838</v>
      </c>
      <c r="K2110">
        <v>0.3023036829461772</v>
      </c>
      <c r="L2110">
        <v>1.011630469692695</v>
      </c>
      <c r="M2110">
        <v>60.55</v>
      </c>
      <c r="N2110">
        <v>42.13</v>
      </c>
    </row>
    <row r="2111" spans="1:14">
      <c r="A2111" s="1" t="s">
        <v>2123</v>
      </c>
      <c r="B2111">
        <f>HYPERLINK("https://www.suredividend.com/sure-analysis-research-database/","Owens &amp; Minor, Inc.")</f>
        <v>0</v>
      </c>
      <c r="C2111" t="s">
        <v>3217</v>
      </c>
      <c r="D2111">
        <v>43.65</v>
      </c>
      <c r="E2111">
        <v>0.000171810235281</v>
      </c>
      <c r="H2111">
        <v>0.007499516770056</v>
      </c>
      <c r="I2111">
        <v>3347.207668</v>
      </c>
      <c r="J2111">
        <v>15.10547756589903</v>
      </c>
      <c r="K2111">
        <v>0.002550856044236735</v>
      </c>
      <c r="L2111">
        <v>0.977479948805376</v>
      </c>
      <c r="M2111">
        <v>49.15</v>
      </c>
      <c r="N2111">
        <v>29.84</v>
      </c>
    </row>
    <row r="2112" spans="1:14">
      <c r="A2112" s="1" t="s">
        <v>2124</v>
      </c>
      <c r="B2112">
        <f>HYPERLINK("https://www.suredividend.com/sure-analysis-research-database/","ON Semiconductor Corp.")</f>
        <v>0</v>
      </c>
      <c r="C2112" t="s">
        <v>3222</v>
      </c>
      <c r="D2112">
        <v>53.26</v>
      </c>
      <c r="E2112">
        <v>0</v>
      </c>
      <c r="H2112">
        <v>0</v>
      </c>
      <c r="I2112">
        <v>23133.832356</v>
      </c>
      <c r="J2112">
        <v>22.91385930687401</v>
      </c>
      <c r="K2112">
        <v>0</v>
      </c>
      <c r="L2112">
        <v>2.146621976136707</v>
      </c>
      <c r="M2112">
        <v>71.26000000000001</v>
      </c>
      <c r="N2112">
        <v>34.01</v>
      </c>
    </row>
    <row r="2113" spans="1:14">
      <c r="A2113" s="1" t="s">
        <v>2125</v>
      </c>
      <c r="B2113">
        <f>HYPERLINK("https://www.suredividend.com/sure-analysis-research-database/","Old National Bancorp")</f>
        <v>0</v>
      </c>
      <c r="C2113" t="s">
        <v>3221</v>
      </c>
      <c r="D2113">
        <v>15.31</v>
      </c>
      <c r="E2113">
        <v>0.036143640888744</v>
      </c>
      <c r="F2113">
        <v>0</v>
      </c>
      <c r="G2113">
        <v>0.01493197894539389</v>
      </c>
      <c r="H2113">
        <v>0.553359142006681</v>
      </c>
      <c r="I2113">
        <v>4473.861989</v>
      </c>
      <c r="J2113">
        <v>16.11981778812271</v>
      </c>
      <c r="K2113">
        <v>0.3313527796447192</v>
      </c>
      <c r="L2113">
        <v>0.7804992613176841</v>
      </c>
      <c r="M2113">
        <v>20.65</v>
      </c>
      <c r="N2113">
        <v>15.03</v>
      </c>
    </row>
    <row r="2114" spans="1:14">
      <c r="A2114" s="1" t="s">
        <v>2126</v>
      </c>
      <c r="B2114">
        <f>HYPERLINK("https://www.suredividend.com/sure-analysis-research-database/","OncoSec Medical Inc")</f>
        <v>0</v>
      </c>
      <c r="C2114" t="s">
        <v>3217</v>
      </c>
      <c r="D2114">
        <v>1.04</v>
      </c>
      <c r="E2114">
        <v>0</v>
      </c>
      <c r="H2114">
        <v>0</v>
      </c>
      <c r="I2114">
        <v>40.924378</v>
      </c>
      <c r="J2114">
        <v>0</v>
      </c>
      <c r="K2114" t="s">
        <v>3219</v>
      </c>
      <c r="L2114">
        <v>1.094020129977861</v>
      </c>
      <c r="M2114">
        <v>5.34</v>
      </c>
      <c r="N2114">
        <v>0.75</v>
      </c>
    </row>
    <row r="2115" spans="1:14">
      <c r="A2115" s="1" t="s">
        <v>2127</v>
      </c>
      <c r="B2115">
        <f>HYPERLINK("https://www.suredividend.com/sure-analysis-research-database/","Oncternal Therapeutics Inc")</f>
        <v>0</v>
      </c>
      <c r="C2115" t="s">
        <v>3217</v>
      </c>
      <c r="D2115">
        <v>1.15</v>
      </c>
      <c r="E2115">
        <v>0</v>
      </c>
      <c r="H2115">
        <v>0</v>
      </c>
      <c r="I2115">
        <v>56.843412</v>
      </c>
      <c r="J2115" t="s">
        <v>3219</v>
      </c>
      <c r="K2115">
        <v>-0</v>
      </c>
      <c r="L2115">
        <v>1.620260092239015</v>
      </c>
      <c r="M2115">
        <v>6.89</v>
      </c>
      <c r="N2115">
        <v>1.11</v>
      </c>
    </row>
    <row r="2116" spans="1:14">
      <c r="A2116" s="1" t="s">
        <v>2128</v>
      </c>
      <c r="B2116">
        <f>HYPERLINK("https://www.suredividend.com/sure-analysis-research-database/","Onconova Therapeutics Inc")</f>
        <v>0</v>
      </c>
      <c r="C2116" t="s">
        <v>3217</v>
      </c>
      <c r="D2116">
        <v>1.61</v>
      </c>
      <c r="E2116">
        <v>0</v>
      </c>
      <c r="H2116">
        <v>0</v>
      </c>
      <c r="I2116">
        <v>33.641856</v>
      </c>
      <c r="J2116">
        <v>0</v>
      </c>
      <c r="K2116" t="s">
        <v>3219</v>
      </c>
      <c r="L2116">
        <v>0.8954981658711251</v>
      </c>
      <c r="M2116">
        <v>16.5</v>
      </c>
      <c r="N2116">
        <v>1.38</v>
      </c>
    </row>
    <row r="2117" spans="1:14">
      <c r="A2117" s="1" t="s">
        <v>2129</v>
      </c>
      <c r="B2117">
        <f>HYPERLINK("https://www.suredividend.com/sure-analysis-research-database/","Organovo Holdings Inc")</f>
        <v>0</v>
      </c>
      <c r="C2117" t="s">
        <v>3217</v>
      </c>
      <c r="D2117">
        <v>3.3</v>
      </c>
      <c r="E2117">
        <v>0</v>
      </c>
      <c r="H2117">
        <v>0</v>
      </c>
      <c r="I2117">
        <v>28.728318</v>
      </c>
      <c r="J2117">
        <v>0</v>
      </c>
      <c r="K2117" t="s">
        <v>3219</v>
      </c>
      <c r="L2117">
        <v>1.95217474192675</v>
      </c>
      <c r="M2117">
        <v>11.25</v>
      </c>
      <c r="N2117">
        <v>2.56</v>
      </c>
    </row>
    <row r="2118" spans="1:14">
      <c r="A2118" s="1" t="s">
        <v>2130</v>
      </c>
      <c r="B2118">
        <f>HYPERLINK("https://www.suredividend.com/sure-analysis-research-database/","Ooma Inc")</f>
        <v>0</v>
      </c>
      <c r="C2118" t="s">
        <v>3228</v>
      </c>
      <c r="D2118">
        <v>14.23</v>
      </c>
      <c r="E2118">
        <v>0</v>
      </c>
      <c r="H2118">
        <v>0</v>
      </c>
      <c r="I2118">
        <v>345.317176</v>
      </c>
      <c r="J2118" t="s">
        <v>3219</v>
      </c>
      <c r="K2118">
        <v>-0</v>
      </c>
      <c r="L2118">
        <v>0.902626790290295</v>
      </c>
      <c r="M2118">
        <v>24.89</v>
      </c>
      <c r="N2118">
        <v>14.1</v>
      </c>
    </row>
    <row r="2119" spans="1:14">
      <c r="A2119" s="1" t="s">
        <v>2131</v>
      </c>
      <c r="B2119">
        <f>HYPERLINK("https://www.suredividend.com/sure-analysis-research-database/","Opgen Inc")</f>
        <v>0</v>
      </c>
      <c r="C2119" t="s">
        <v>3217</v>
      </c>
      <c r="D2119">
        <v>0.7599</v>
      </c>
      <c r="E2119">
        <v>0</v>
      </c>
      <c r="H2119">
        <v>0</v>
      </c>
      <c r="I2119">
        <v>35.379234</v>
      </c>
      <c r="J2119">
        <v>0</v>
      </c>
      <c r="K2119" t="s">
        <v>3219</v>
      </c>
      <c r="L2119">
        <v>0.7965305003495871</v>
      </c>
      <c r="M2119">
        <v>3.72</v>
      </c>
      <c r="N2119">
        <v>0.6743</v>
      </c>
    </row>
    <row r="2120" spans="1:14">
      <c r="A2120" s="1" t="s">
        <v>2132</v>
      </c>
      <c r="B2120">
        <f>HYPERLINK("https://www.suredividend.com/sure-analysis-OPI/","Office Properties Income Trust")</f>
        <v>0</v>
      </c>
      <c r="C2120" t="s">
        <v>3224</v>
      </c>
      <c r="D2120">
        <v>24.6</v>
      </c>
      <c r="E2120">
        <v>0.08943089430894309</v>
      </c>
      <c r="F2120">
        <v>0</v>
      </c>
      <c r="G2120">
        <v>0.05045837224621441</v>
      </c>
      <c r="H2120">
        <v>2.134277466067646</v>
      </c>
      <c r="I2120">
        <v>1191.261519</v>
      </c>
      <c r="J2120" t="s">
        <v>3219</v>
      </c>
      <c r="K2120" t="s">
        <v>3219</v>
      </c>
      <c r="L2120">
        <v>0.752044858922555</v>
      </c>
      <c r="M2120">
        <v>29.84</v>
      </c>
      <c r="N2120">
        <v>22.35</v>
      </c>
    </row>
    <row r="2121" spans="1:14">
      <c r="A2121" s="1" t="s">
        <v>2133</v>
      </c>
      <c r="B2121">
        <f>HYPERLINK("https://www.suredividend.com/sure-analysis-research-database/","Opko Health Inc")</f>
        <v>0</v>
      </c>
      <c r="C2121" t="s">
        <v>3217</v>
      </c>
      <c r="D2121">
        <v>3.34</v>
      </c>
      <c r="E2121">
        <v>0</v>
      </c>
      <c r="H2121">
        <v>0</v>
      </c>
      <c r="I2121">
        <v>2276.060722</v>
      </c>
      <c r="J2121" t="s">
        <v>3219</v>
      </c>
      <c r="K2121">
        <v>-0</v>
      </c>
      <c r="L2121">
        <v>1.481908225415983</v>
      </c>
      <c r="M2121">
        <v>5.25</v>
      </c>
      <c r="N2121">
        <v>2.79</v>
      </c>
    </row>
    <row r="2122" spans="1:14">
      <c r="A2122" s="1" t="s">
        <v>2134</v>
      </c>
      <c r="B2122">
        <f>HYPERLINK("https://www.suredividend.com/sure-analysis-research-database/","Old Point Financial Corp.")</f>
        <v>0</v>
      </c>
      <c r="C2122" t="s">
        <v>3221</v>
      </c>
      <c r="D2122">
        <v>25.6</v>
      </c>
      <c r="E2122">
        <v>0.015181033563796</v>
      </c>
      <c r="F2122">
        <v>0.08333333333333348</v>
      </c>
      <c r="G2122">
        <v>0.03397522653195018</v>
      </c>
      <c r="H2122">
        <v>0.388634459233178</v>
      </c>
      <c r="I2122">
        <v>130.457318</v>
      </c>
      <c r="J2122">
        <v>15.4570282464455</v>
      </c>
      <c r="K2122">
        <v>0.2413878628777504</v>
      </c>
      <c r="M2122">
        <v>27.99</v>
      </c>
      <c r="N2122">
        <v>20.39</v>
      </c>
    </row>
    <row r="2123" spans="1:14">
      <c r="A2123" s="1" t="s">
        <v>2135</v>
      </c>
      <c r="B2123">
        <f>HYPERLINK("https://www.suredividend.com/sure-analysis-research-database/","OptimizeRx Corp")</f>
        <v>0</v>
      </c>
      <c r="C2123" t="s">
        <v>3217</v>
      </c>
      <c r="D2123">
        <v>38.94</v>
      </c>
      <c r="E2123">
        <v>0</v>
      </c>
      <c r="H2123">
        <v>0</v>
      </c>
      <c r="I2123">
        <v>696.069439</v>
      </c>
      <c r="J2123">
        <v>0</v>
      </c>
      <c r="K2123" t="s">
        <v>3219</v>
      </c>
      <c r="L2123">
        <v>1.933008906121946</v>
      </c>
      <c r="M2123">
        <v>99.18000000000001</v>
      </c>
      <c r="N2123">
        <v>34.31</v>
      </c>
    </row>
    <row r="2124" spans="1:14">
      <c r="A2124" s="1" t="s">
        <v>2136</v>
      </c>
      <c r="B2124">
        <f>HYPERLINK("https://www.suredividend.com/sure-analysis-research-database/","OptiNose Inc")</f>
        <v>0</v>
      </c>
      <c r="C2124" t="s">
        <v>3217</v>
      </c>
      <c r="D2124">
        <v>2.54</v>
      </c>
      <c r="E2124">
        <v>0</v>
      </c>
      <c r="H2124">
        <v>0</v>
      </c>
      <c r="I2124">
        <v>209.341989</v>
      </c>
      <c r="J2124" t="s">
        <v>3219</v>
      </c>
      <c r="K2124">
        <v>-0</v>
      </c>
      <c r="L2124">
        <v>0.481538504975112</v>
      </c>
      <c r="M2124">
        <v>3.92</v>
      </c>
      <c r="N2124">
        <v>1.46</v>
      </c>
    </row>
    <row r="2125" spans="1:14">
      <c r="A2125" s="1" t="s">
        <v>2137</v>
      </c>
      <c r="B2125">
        <f>HYPERLINK("https://www.suredividend.com/sure-analysis-research-database/","Ocean Power Technologies")</f>
        <v>0</v>
      </c>
      <c r="C2125" t="s">
        <v>3220</v>
      </c>
      <c r="D2125">
        <v>1.24</v>
      </c>
      <c r="E2125">
        <v>0</v>
      </c>
      <c r="H2125">
        <v>0</v>
      </c>
      <c r="I2125">
        <v>69.308824</v>
      </c>
      <c r="J2125">
        <v>0</v>
      </c>
      <c r="K2125" t="s">
        <v>3219</v>
      </c>
      <c r="L2125">
        <v>1.092553688139888</v>
      </c>
      <c r="M2125">
        <v>3.28</v>
      </c>
      <c r="N2125">
        <v>0.926</v>
      </c>
    </row>
    <row r="2126" spans="1:14">
      <c r="A2126" s="1" t="s">
        <v>2138</v>
      </c>
      <c r="B2126">
        <f>HYPERLINK("https://www.suredividend.com/sure-analysis-research-database/","Oppenheimer Holdings Inc")</f>
        <v>0</v>
      </c>
      <c r="C2126" t="s">
        <v>3221</v>
      </c>
      <c r="D2126">
        <v>34.57</v>
      </c>
      <c r="E2126">
        <v>0.016144601123107</v>
      </c>
      <c r="F2126">
        <v>0</v>
      </c>
      <c r="G2126">
        <v>0.06399531281508364</v>
      </c>
      <c r="H2126">
        <v>0.55811886082582</v>
      </c>
      <c r="I2126">
        <v>425.974064</v>
      </c>
      <c r="J2126">
        <v>2.679688883080446</v>
      </c>
      <c r="K2126">
        <v>0.04770246673724957</v>
      </c>
      <c r="L2126">
        <v>1.096188915714731</v>
      </c>
      <c r="M2126">
        <v>53.99</v>
      </c>
      <c r="N2126">
        <v>33.84</v>
      </c>
    </row>
    <row r="2127" spans="1:14">
      <c r="A2127" s="1" t="s">
        <v>2139</v>
      </c>
      <c r="B2127">
        <f>HYPERLINK("https://www.suredividend.com/sure-analysis-research-database/","Ormat Technologies Inc")</f>
        <v>0</v>
      </c>
      <c r="C2127" t="s">
        <v>3227</v>
      </c>
      <c r="D2127">
        <v>84.91</v>
      </c>
      <c r="E2127">
        <v>0.005639280641952</v>
      </c>
      <c r="F2127">
        <v>0</v>
      </c>
      <c r="G2127">
        <v>0.08447177119769855</v>
      </c>
      <c r="H2127">
        <v>0.4788313193081931</v>
      </c>
      <c r="I2127">
        <v>4759.75317</v>
      </c>
      <c r="J2127">
        <v>76.65646410970817</v>
      </c>
      <c r="K2127">
        <v>0.4353011993710846</v>
      </c>
      <c r="L2127">
        <v>0.8858199245232251</v>
      </c>
      <c r="M2127">
        <v>86.14</v>
      </c>
      <c r="N2127">
        <v>60.22</v>
      </c>
    </row>
    <row r="2128" spans="1:14">
      <c r="A2128" s="1" t="s">
        <v>2140</v>
      </c>
      <c r="B2128">
        <f>HYPERLINK("https://www.suredividend.com/sure-analysis-research-database/","Orbcomm Inc")</f>
        <v>0</v>
      </c>
      <c r="C2128" t="s">
        <v>3228</v>
      </c>
      <c r="D2128">
        <v>11.49</v>
      </c>
      <c r="E2128">
        <v>0</v>
      </c>
      <c r="H2128">
        <v>0</v>
      </c>
      <c r="I2128">
        <v>0</v>
      </c>
      <c r="J2128">
        <v>0</v>
      </c>
      <c r="K2128">
        <v>-0</v>
      </c>
    </row>
    <row r="2129" spans="1:14">
      <c r="A2129" s="1" t="s">
        <v>2141</v>
      </c>
      <c r="B2129">
        <f>HYPERLINK("https://www.suredividend.com/sure-analysis-ORC/","Orchid Island Capital Inc")</f>
        <v>0</v>
      </c>
      <c r="C2129" t="s">
        <v>3224</v>
      </c>
      <c r="D2129">
        <v>3.07</v>
      </c>
      <c r="E2129">
        <v>0.1758957654723127</v>
      </c>
      <c r="F2129">
        <v>-0.3076923076923077</v>
      </c>
      <c r="G2129">
        <v>-0.07090562353743979</v>
      </c>
      <c r="H2129">
        <v>0.6847823751622091</v>
      </c>
      <c r="I2129">
        <v>543.749761</v>
      </c>
      <c r="J2129" t="s">
        <v>3219</v>
      </c>
      <c r="K2129" t="s">
        <v>3219</v>
      </c>
      <c r="L2129">
        <v>0.7074217221762431</v>
      </c>
      <c r="M2129">
        <v>5.13</v>
      </c>
      <c r="N2129">
        <v>2.98</v>
      </c>
    </row>
    <row r="2130" spans="1:14">
      <c r="A2130" s="1" t="s">
        <v>2142</v>
      </c>
      <c r="B2130">
        <f>HYPERLINK("https://www.suredividend.com/sure-analysis-ORCL/","Oracle Corp.")</f>
        <v>0</v>
      </c>
      <c r="C2130" t="s">
        <v>3222</v>
      </c>
      <c r="D2130">
        <v>79.45</v>
      </c>
      <c r="E2130">
        <v>0.01611076148521082</v>
      </c>
      <c r="F2130">
        <v>0</v>
      </c>
      <c r="G2130">
        <v>0.1098883056567086</v>
      </c>
      <c r="H2130">
        <v>1.272798797414009</v>
      </c>
      <c r="I2130">
        <v>211985.07365</v>
      </c>
      <c r="J2130">
        <v>28.0366451064674</v>
      </c>
      <c r="K2130">
        <v>0.473159404243126</v>
      </c>
      <c r="L2130">
        <v>0.9763779142001691</v>
      </c>
      <c r="M2130">
        <v>105.53</v>
      </c>
      <c r="N2130">
        <v>69.95999999999999</v>
      </c>
    </row>
    <row r="2131" spans="1:14">
      <c r="A2131" s="1" t="s">
        <v>2143</v>
      </c>
      <c r="B2131">
        <f>HYPERLINK("https://www.suredividend.com/sure-analysis-research-database/","Organogenesis Holdings Inc")</f>
        <v>0</v>
      </c>
      <c r="C2131" t="s">
        <v>3217</v>
      </c>
      <c r="D2131">
        <v>7.35</v>
      </c>
      <c r="E2131">
        <v>0</v>
      </c>
      <c r="H2131">
        <v>0</v>
      </c>
      <c r="I2131">
        <v>946.424492</v>
      </c>
      <c r="J2131">
        <v>0</v>
      </c>
      <c r="K2131" t="s">
        <v>3219</v>
      </c>
      <c r="L2131">
        <v>1.782715222517188</v>
      </c>
      <c r="M2131">
        <v>23.99</v>
      </c>
      <c r="N2131">
        <v>6.37</v>
      </c>
    </row>
    <row r="2132" spans="1:14">
      <c r="A2132" s="1" t="s">
        <v>2144</v>
      </c>
      <c r="B2132">
        <f>HYPERLINK("https://www.suredividend.com/sure-analysis-ORI/","Old Republic International Corp.")</f>
        <v>0</v>
      </c>
      <c r="C2132" t="s">
        <v>3221</v>
      </c>
      <c r="D2132">
        <v>24.01</v>
      </c>
      <c r="E2132">
        <v>0.03831736776343191</v>
      </c>
      <c r="F2132">
        <v>0.04545454545454541</v>
      </c>
      <c r="G2132">
        <v>0.03356702457817873</v>
      </c>
      <c r="H2132">
        <v>0.852861947368293</v>
      </c>
      <c r="I2132">
        <v>7399.593976</v>
      </c>
      <c r="J2132">
        <v>4.822153128732486</v>
      </c>
      <c r="K2132">
        <v>0.1688835539343155</v>
      </c>
      <c r="L2132">
        <v>0.8629507054364881</v>
      </c>
      <c r="M2132">
        <v>26.96</v>
      </c>
      <c r="N2132">
        <v>21.33</v>
      </c>
    </row>
    <row r="2133" spans="1:14">
      <c r="A2133" s="1" t="s">
        <v>2145</v>
      </c>
      <c r="B2133">
        <f>HYPERLINK("https://www.suredividend.com/sure-analysis-research-database/","O`Reilly Automotive, Inc.")</f>
        <v>0</v>
      </c>
      <c r="C2133" t="s">
        <v>3223</v>
      </c>
      <c r="D2133">
        <v>713.88</v>
      </c>
      <c r="E2133">
        <v>0</v>
      </c>
      <c r="H2133">
        <v>0</v>
      </c>
      <c r="I2133">
        <v>47327.667607</v>
      </c>
      <c r="J2133">
        <v>21.863535621617</v>
      </c>
      <c r="K2133">
        <v>0</v>
      </c>
      <c r="L2133">
        <v>0.686794170314141</v>
      </c>
      <c r="M2133">
        <v>747</v>
      </c>
      <c r="N2133">
        <v>519.3200000000001</v>
      </c>
    </row>
    <row r="2134" spans="1:14">
      <c r="A2134" s="1" t="s">
        <v>2146</v>
      </c>
      <c r="B2134">
        <f>HYPERLINK("https://www.suredividend.com/sure-analysis-research-database/","Orion Group Holdings Inc")</f>
        <v>0</v>
      </c>
      <c r="C2134" t="s">
        <v>3220</v>
      </c>
      <c r="D2134">
        <v>2.56</v>
      </c>
      <c r="E2134">
        <v>0</v>
      </c>
      <c r="H2134">
        <v>0</v>
      </c>
      <c r="I2134">
        <v>77.322947</v>
      </c>
      <c r="J2134" t="s">
        <v>3219</v>
      </c>
      <c r="K2134">
        <v>-0</v>
      </c>
      <c r="L2134">
        <v>0.9273792834771061</v>
      </c>
      <c r="M2134">
        <v>6.5</v>
      </c>
      <c r="N2134">
        <v>2.1</v>
      </c>
    </row>
    <row r="2135" spans="1:14">
      <c r="A2135" s="1" t="s">
        <v>2147</v>
      </c>
      <c r="B2135">
        <f>HYPERLINK("https://www.suredividend.com/sure-analysis-research-database/","Orrstown Financial Services, Inc.")</f>
        <v>0</v>
      </c>
      <c r="C2135" t="s">
        <v>3221</v>
      </c>
      <c r="D2135">
        <v>22.09</v>
      </c>
      <c r="E2135">
        <v>0.03355716534765901</v>
      </c>
      <c r="H2135">
        <v>0.741277782529794</v>
      </c>
      <c r="I2135">
        <v>246.102901</v>
      </c>
      <c r="J2135">
        <v>7.484653772999603</v>
      </c>
      <c r="K2135">
        <v>0.2504316832870926</v>
      </c>
      <c r="L2135">
        <v>0.5626268214484991</v>
      </c>
      <c r="M2135">
        <v>25.64</v>
      </c>
      <c r="N2135">
        <v>20.69</v>
      </c>
    </row>
    <row r="2136" spans="1:14">
      <c r="A2136" s="1" t="s">
        <v>2148</v>
      </c>
      <c r="B2136">
        <f>HYPERLINK("https://www.suredividend.com/sure-analysis-research-database/","Old Second Bancorporation Inc.")</f>
        <v>0</v>
      </c>
      <c r="C2136" t="s">
        <v>3221</v>
      </c>
      <c r="D2136">
        <v>14.08</v>
      </c>
      <c r="E2136">
        <v>0.014123590522201</v>
      </c>
      <c r="F2136">
        <v>4</v>
      </c>
      <c r="G2136">
        <v>0.3797296614612149</v>
      </c>
      <c r="H2136">
        <v>0.198860154552602</v>
      </c>
      <c r="I2136">
        <v>626.011514</v>
      </c>
      <c r="J2136">
        <v>31.23186557573339</v>
      </c>
      <c r="K2136">
        <v>0.3049534650400276</v>
      </c>
      <c r="L2136">
        <v>0.5668125484395891</v>
      </c>
      <c r="M2136">
        <v>15.48</v>
      </c>
      <c r="N2136">
        <v>11.08</v>
      </c>
    </row>
    <row r="2137" spans="1:14">
      <c r="A2137" s="1" t="s">
        <v>2149</v>
      </c>
      <c r="B2137">
        <f>HYPERLINK("https://www.suredividend.com/sure-analysis-research-database/","Overseas Shipholding Group, Inc.")</f>
        <v>0</v>
      </c>
      <c r="C2137" t="s">
        <v>3226</v>
      </c>
      <c r="D2137">
        <v>2.31</v>
      </c>
      <c r="E2137">
        <v>0</v>
      </c>
      <c r="H2137">
        <v>0</v>
      </c>
      <c r="I2137">
        <v>201.544033</v>
      </c>
      <c r="J2137">
        <v>0</v>
      </c>
      <c r="K2137" t="s">
        <v>3219</v>
      </c>
      <c r="L2137">
        <v>0.704962697209723</v>
      </c>
      <c r="M2137">
        <v>3.04</v>
      </c>
      <c r="N2137">
        <v>1.64</v>
      </c>
    </row>
    <row r="2138" spans="1:14">
      <c r="A2138" s="1" t="s">
        <v>2150</v>
      </c>
      <c r="B2138">
        <f>HYPERLINK("https://www.suredividend.com/sure-analysis-research-database/","OSI Systems, Inc.")</f>
        <v>0</v>
      </c>
      <c r="C2138" t="s">
        <v>3222</v>
      </c>
      <c r="D2138">
        <v>80.78</v>
      </c>
      <c r="E2138">
        <v>0</v>
      </c>
      <c r="H2138">
        <v>0</v>
      </c>
      <c r="I2138">
        <v>1428.112367</v>
      </c>
      <c r="J2138">
        <v>17.09986549307917</v>
      </c>
      <c r="K2138">
        <v>0</v>
      </c>
      <c r="L2138">
        <v>0.6276928134441581</v>
      </c>
      <c r="M2138">
        <v>102.24</v>
      </c>
      <c r="N2138">
        <v>76.34999999999999</v>
      </c>
    </row>
    <row r="2139" spans="1:14">
      <c r="A2139" s="1" t="s">
        <v>2151</v>
      </c>
      <c r="B2139">
        <f>HYPERLINK("https://www.suredividend.com/sure-analysis-OSK/","Oshkosh Corp")</f>
        <v>0</v>
      </c>
      <c r="C2139" t="s">
        <v>3220</v>
      </c>
      <c r="D2139">
        <v>97.47</v>
      </c>
      <c r="E2139">
        <v>0.01518415922848056</v>
      </c>
      <c r="F2139">
        <v>0.1212121212121211</v>
      </c>
      <c r="G2139">
        <v>0.1199444602155453</v>
      </c>
      <c r="H2139">
        <v>1.393688772148429</v>
      </c>
      <c r="I2139">
        <v>6512.177141</v>
      </c>
      <c r="J2139">
        <v>13.77655413890417</v>
      </c>
      <c r="K2139">
        <v>0.2040539929939135</v>
      </c>
      <c r="L2139">
        <v>1.049200257624136</v>
      </c>
      <c r="M2139">
        <v>136.21</v>
      </c>
      <c r="N2139">
        <v>93.06</v>
      </c>
    </row>
    <row r="2140" spans="1:14">
      <c r="A2140" s="1" t="s">
        <v>2152</v>
      </c>
      <c r="B2140">
        <f>HYPERLINK("https://www.suredividend.com/sure-analysis-research-database/","OneSpan Inc")</f>
        <v>0</v>
      </c>
      <c r="C2140" t="s">
        <v>3222</v>
      </c>
      <c r="D2140">
        <v>14.91</v>
      </c>
      <c r="E2140">
        <v>0</v>
      </c>
      <c r="H2140">
        <v>0</v>
      </c>
      <c r="I2140">
        <v>596.421247</v>
      </c>
      <c r="J2140" t="s">
        <v>3219</v>
      </c>
      <c r="K2140">
        <v>-0</v>
      </c>
      <c r="L2140">
        <v>1.222373836921864</v>
      </c>
      <c r="M2140">
        <v>29.17</v>
      </c>
      <c r="N2140">
        <v>11.93</v>
      </c>
    </row>
    <row r="2141" spans="1:14">
      <c r="A2141" s="1" t="s">
        <v>2153</v>
      </c>
      <c r="B2141">
        <f>HYPERLINK("https://www.suredividend.com/sure-analysis-research-database/","Overstock.com Inc")</f>
        <v>0</v>
      </c>
      <c r="C2141" t="s">
        <v>3223</v>
      </c>
      <c r="D2141">
        <v>38.41</v>
      </c>
      <c r="E2141">
        <v>0</v>
      </c>
      <c r="H2141">
        <v>0</v>
      </c>
      <c r="I2141">
        <v>1831.633011</v>
      </c>
      <c r="J2141">
        <v>5.212921673193611</v>
      </c>
      <c r="K2141">
        <v>0</v>
      </c>
      <c r="L2141">
        <v>2.121046440975207</v>
      </c>
      <c r="M2141">
        <v>111.28</v>
      </c>
      <c r="N2141">
        <v>35.67</v>
      </c>
    </row>
    <row r="2142" spans="1:14">
      <c r="A2142" s="1" t="s">
        <v>2154</v>
      </c>
      <c r="B2142">
        <f>HYPERLINK("https://www.suredividend.com/sure-analysis-research-database/","Orasure Technologies Inc.")</f>
        <v>0</v>
      </c>
      <c r="C2142" t="s">
        <v>3217</v>
      </c>
      <c r="D2142">
        <v>6.74</v>
      </c>
      <c r="E2142">
        <v>0</v>
      </c>
      <c r="H2142">
        <v>0</v>
      </c>
      <c r="I2142">
        <v>498.197176</v>
      </c>
      <c r="J2142" t="s">
        <v>3219</v>
      </c>
      <c r="K2142">
        <v>-0</v>
      </c>
      <c r="L2142">
        <v>0.689589850881814</v>
      </c>
      <c r="M2142">
        <v>13.57</v>
      </c>
      <c r="N2142">
        <v>6.51</v>
      </c>
    </row>
    <row r="2143" spans="1:14">
      <c r="A2143" s="1" t="s">
        <v>2155</v>
      </c>
      <c r="B2143">
        <f>HYPERLINK("https://www.suredividend.com/sure-analysis-research-database/","OneSpaWorld Holdings Limited")</f>
        <v>0</v>
      </c>
      <c r="C2143" t="s">
        <v>3223</v>
      </c>
      <c r="D2143">
        <v>10.5</v>
      </c>
      <c r="E2143">
        <v>0</v>
      </c>
      <c r="H2143">
        <v>0</v>
      </c>
      <c r="I2143">
        <v>825.787778</v>
      </c>
      <c r="J2143">
        <v>0</v>
      </c>
      <c r="K2143" t="s">
        <v>3219</v>
      </c>
      <c r="L2143">
        <v>1.663199899104811</v>
      </c>
      <c r="M2143">
        <v>12.52</v>
      </c>
      <c r="N2143">
        <v>8.4</v>
      </c>
    </row>
    <row r="2144" spans="1:14">
      <c r="A2144" s="1" t="s">
        <v>2156</v>
      </c>
      <c r="B2144">
        <f>HYPERLINK("https://www.suredividend.com/sure-analysis-research-database/","Otelco Inc")</f>
        <v>0</v>
      </c>
      <c r="C2144" t="s">
        <v>3228</v>
      </c>
      <c r="D2144">
        <v>11.739</v>
      </c>
      <c r="E2144">
        <v>0</v>
      </c>
      <c r="H2144">
        <v>0</v>
      </c>
      <c r="I2144">
        <v>0</v>
      </c>
      <c r="J2144">
        <v>0</v>
      </c>
      <c r="K2144" t="s">
        <v>3219</v>
      </c>
    </row>
    <row r="2145" spans="1:14">
      <c r="A2145" s="1" t="s">
        <v>2157</v>
      </c>
      <c r="B2145">
        <f>HYPERLINK("https://www.suredividend.com/sure-analysis-research-database/","Otonomy Inc")</f>
        <v>0</v>
      </c>
      <c r="C2145" t="s">
        <v>3217</v>
      </c>
      <c r="D2145">
        <v>2.23</v>
      </c>
      <c r="E2145">
        <v>0</v>
      </c>
      <c r="H2145">
        <v>0</v>
      </c>
      <c r="I2145">
        <v>126.513417</v>
      </c>
      <c r="J2145">
        <v>0</v>
      </c>
      <c r="K2145" t="s">
        <v>3219</v>
      </c>
      <c r="L2145">
        <v>0.730709531747282</v>
      </c>
      <c r="M2145">
        <v>2.59</v>
      </c>
      <c r="N2145">
        <v>1.14</v>
      </c>
    </row>
    <row r="2146" spans="1:14">
      <c r="A2146" s="1" t="s">
        <v>2158</v>
      </c>
      <c r="B2146">
        <f>HYPERLINK("https://www.suredividend.com/sure-analysis-OTTR/","Otter Tail Corporation")</f>
        <v>0</v>
      </c>
      <c r="C2146" t="s">
        <v>3227</v>
      </c>
      <c r="D2146">
        <v>62.53</v>
      </c>
      <c r="E2146">
        <v>0.02638733407964177</v>
      </c>
      <c r="F2146">
        <v>0.05769230769230771</v>
      </c>
      <c r="G2146">
        <v>0.05209460817395262</v>
      </c>
      <c r="H2146">
        <v>1.567164844771512</v>
      </c>
      <c r="I2146">
        <v>2601.607047</v>
      </c>
      <c r="J2146">
        <v>14.71755255310603</v>
      </c>
      <c r="K2146">
        <v>0.3704881429719886</v>
      </c>
      <c r="L2146">
        <v>0.58662326430258</v>
      </c>
      <c r="M2146">
        <v>71.40000000000001</v>
      </c>
      <c r="N2146">
        <v>44.5</v>
      </c>
    </row>
    <row r="2147" spans="1:14">
      <c r="A2147" s="1" t="s">
        <v>2159</v>
      </c>
      <c r="B2147">
        <f>HYPERLINK("https://www.suredividend.com/sure-analysis-research-database/","Outfront Media Inc")</f>
        <v>0</v>
      </c>
      <c r="C2147" t="s">
        <v>3224</v>
      </c>
      <c r="D2147">
        <v>27.18</v>
      </c>
      <c r="E2147">
        <v>0.018298420234399</v>
      </c>
      <c r="H2147">
        <v>0.4973510619709871</v>
      </c>
      <c r="I2147">
        <v>3974.884794</v>
      </c>
      <c r="J2147">
        <v>529.984639248</v>
      </c>
      <c r="K2147">
        <v>9.694952475067973</v>
      </c>
      <c r="L2147">
        <v>1.194524555831095</v>
      </c>
      <c r="M2147">
        <v>29.36</v>
      </c>
      <c r="N2147">
        <v>20.36</v>
      </c>
    </row>
    <row r="2148" spans="1:14">
      <c r="A2148" s="1" t="s">
        <v>2160</v>
      </c>
      <c r="B2148">
        <f>HYPERLINK("https://www.suredividend.com/sure-analysis-research-database/","Ohio Valley Banc Corp.")</f>
        <v>0</v>
      </c>
      <c r="C2148" t="s">
        <v>3221</v>
      </c>
      <c r="D2148">
        <v>30.01</v>
      </c>
      <c r="E2148">
        <v>0.027519573893696</v>
      </c>
      <c r="H2148">
        <v>0.830678337981233</v>
      </c>
      <c r="I2148">
        <v>144.035998</v>
      </c>
      <c r="J2148">
        <v>0</v>
      </c>
      <c r="K2148" t="s">
        <v>3219</v>
      </c>
      <c r="M2148">
        <v>32.06</v>
      </c>
      <c r="N2148">
        <v>21.82</v>
      </c>
    </row>
    <row r="2149" spans="1:14">
      <c r="A2149" s="1" t="s">
        <v>2161</v>
      </c>
      <c r="B2149">
        <f>HYPERLINK("https://www.suredividend.com/sure-analysis-research-database/","Oak Valley Bancorp")</f>
        <v>0</v>
      </c>
      <c r="C2149" t="s">
        <v>3221</v>
      </c>
      <c r="D2149">
        <v>18</v>
      </c>
      <c r="E2149">
        <v>0.016321237070522</v>
      </c>
      <c r="H2149">
        <v>0.293782267269403</v>
      </c>
      <c r="I2149">
        <v>148.303782</v>
      </c>
      <c r="J2149">
        <v>0</v>
      </c>
      <c r="K2149" t="s">
        <v>3219</v>
      </c>
      <c r="M2149">
        <v>19.75</v>
      </c>
      <c r="N2149">
        <v>16.49</v>
      </c>
    </row>
    <row r="2150" spans="1:14">
      <c r="A2150" s="1" t="s">
        <v>2162</v>
      </c>
      <c r="B2150">
        <f>HYPERLINK("https://www.suredividend.com/sure-analysis-research-database/","Oxford Industries, Inc.")</f>
        <v>0</v>
      </c>
      <c r="C2150" t="s">
        <v>3223</v>
      </c>
      <c r="D2150">
        <v>92.5</v>
      </c>
      <c r="E2150">
        <v>0.023918236675741</v>
      </c>
      <c r="F2150">
        <v>0.4864864864864866</v>
      </c>
      <c r="G2150">
        <v>0.1529216246740956</v>
      </c>
      <c r="H2150">
        <v>2.212436892506078</v>
      </c>
      <c r="I2150">
        <v>1523.121928</v>
      </c>
      <c r="J2150">
        <v>11.59846427837132</v>
      </c>
      <c r="K2150">
        <v>0.2843749219159484</v>
      </c>
      <c r="L2150">
        <v>1.136455573817806</v>
      </c>
      <c r="M2150">
        <v>112.29</v>
      </c>
      <c r="N2150">
        <v>75.75</v>
      </c>
    </row>
    <row r="2151" spans="1:14">
      <c r="A2151" s="1" t="s">
        <v>2163</v>
      </c>
      <c r="B2151">
        <f>HYPERLINK("https://www.suredividend.com/sure-analysis-OXY/","Occidental Petroleum Corp.")</f>
        <v>0</v>
      </c>
      <c r="C2151" t="s">
        <v>3226</v>
      </c>
      <c r="D2151">
        <v>59.34</v>
      </c>
      <c r="E2151">
        <v>0.008763060330299966</v>
      </c>
      <c r="F2151">
        <v>12</v>
      </c>
      <c r="G2151">
        <v>-0.2993671023162161</v>
      </c>
      <c r="H2151">
        <v>0.159918100198696</v>
      </c>
      <c r="I2151">
        <v>55596.19175</v>
      </c>
      <c r="J2151">
        <v>36.76996808861111</v>
      </c>
      <c r="K2151">
        <v>0.1012139874675291</v>
      </c>
      <c r="L2151">
        <v>0.9097456428742131</v>
      </c>
      <c r="M2151">
        <v>63.24</v>
      </c>
      <c r="N2151">
        <v>21.55</v>
      </c>
    </row>
    <row r="2152" spans="1:14">
      <c r="A2152" s="1" t="s">
        <v>2164</v>
      </c>
      <c r="B2152">
        <f>HYPERLINK("https://www.suredividend.com/sure-analysis-OZK/","Bank OZK")</f>
        <v>0</v>
      </c>
      <c r="C2152" t="s">
        <v>3221</v>
      </c>
      <c r="D2152">
        <v>40.07</v>
      </c>
      <c r="E2152">
        <v>0.02994759171449963</v>
      </c>
      <c r="H2152">
        <v>1.172964347883378</v>
      </c>
      <c r="I2152">
        <v>4871.597482</v>
      </c>
      <c r="J2152">
        <v>8.413798045927383</v>
      </c>
      <c r="K2152">
        <v>0.2624081315175342</v>
      </c>
      <c r="L2152">
        <v>1.060289656923598</v>
      </c>
      <c r="M2152">
        <v>50.69</v>
      </c>
      <c r="N2152">
        <v>36.98</v>
      </c>
    </row>
    <row r="2153" spans="1:14">
      <c r="A2153" s="1" t="s">
        <v>2165</v>
      </c>
      <c r="B2153">
        <f>HYPERLINK("https://www.suredividend.com/sure-analysis-research-database/","Pacific Biosciences of California Inc")</f>
        <v>0</v>
      </c>
      <c r="C2153" t="s">
        <v>3217</v>
      </c>
      <c r="D2153">
        <v>7.54</v>
      </c>
      <c r="E2153">
        <v>0</v>
      </c>
      <c r="H2153">
        <v>0</v>
      </c>
      <c r="I2153">
        <v>1667.715726</v>
      </c>
      <c r="J2153" t="s">
        <v>3219</v>
      </c>
      <c r="K2153">
        <v>-0</v>
      </c>
      <c r="L2153">
        <v>2.460588676130774</v>
      </c>
      <c r="M2153">
        <v>36.36</v>
      </c>
      <c r="N2153">
        <v>7.5</v>
      </c>
    </row>
    <row r="2154" spans="1:14">
      <c r="A2154" s="1" t="s">
        <v>2166</v>
      </c>
      <c r="B2154">
        <f>HYPERLINK("https://www.suredividend.com/sure-analysis-PACW/","Pacwest Bancorp")</f>
        <v>0</v>
      </c>
      <c r="C2154" t="s">
        <v>3221</v>
      </c>
      <c r="D2154">
        <v>37.33</v>
      </c>
      <c r="E2154">
        <v>0.02678810608090008</v>
      </c>
      <c r="F2154">
        <v>0</v>
      </c>
      <c r="G2154">
        <v>-0.1294494367038759</v>
      </c>
      <c r="H2154">
        <v>0.9922400286566141</v>
      </c>
      <c r="I2154">
        <v>4384.30099</v>
      </c>
      <c r="J2154">
        <v>7.347444557918322</v>
      </c>
      <c r="K2154">
        <v>0.194556868364042</v>
      </c>
      <c r="L2154">
        <v>1.384803575333403</v>
      </c>
      <c r="M2154">
        <v>51.55</v>
      </c>
      <c r="N2154">
        <v>35.14</v>
      </c>
    </row>
    <row r="2155" spans="1:14">
      <c r="A2155" s="1" t="s">
        <v>2167</v>
      </c>
      <c r="B2155">
        <f>HYPERLINK("https://www.suredividend.com/sure-analysis-research-database/","Penske Automotive Group Inc")</f>
        <v>0</v>
      </c>
      <c r="C2155" t="s">
        <v>3223</v>
      </c>
      <c r="D2155">
        <v>96.55</v>
      </c>
      <c r="E2155">
        <v>0.018725208668557</v>
      </c>
      <c r="H2155">
        <v>1.807918896949242</v>
      </c>
      <c r="I2155">
        <v>7414.061852</v>
      </c>
      <c r="J2155">
        <v>6.241843620095975</v>
      </c>
      <c r="K2155">
        <v>0.1214183275318497</v>
      </c>
      <c r="L2155">
        <v>1.178830702732609</v>
      </c>
      <c r="M2155">
        <v>113.35</v>
      </c>
      <c r="N2155">
        <v>71.34999999999999</v>
      </c>
    </row>
    <row r="2156" spans="1:14">
      <c r="A2156" s="1" t="s">
        <v>2168</v>
      </c>
      <c r="B2156">
        <f>HYPERLINK("https://www.suredividend.com/sure-analysis-research-database/","Phibro Animal Health Corp.")</f>
        <v>0</v>
      </c>
      <c r="C2156" t="s">
        <v>3217</v>
      </c>
      <c r="D2156">
        <v>19.56</v>
      </c>
      <c r="E2156">
        <v>0.024339592273192</v>
      </c>
      <c r="F2156">
        <v>0</v>
      </c>
      <c r="G2156">
        <v>0.03713728933664817</v>
      </c>
      <c r="H2156">
        <v>0.4760824248636381</v>
      </c>
      <c r="I2156">
        <v>397.802947</v>
      </c>
      <c r="J2156">
        <v>7.46613140594208</v>
      </c>
      <c r="K2156">
        <v>0.3606685036845743</v>
      </c>
      <c r="L2156">
        <v>0.5538151111163561</v>
      </c>
      <c r="M2156">
        <v>30.5</v>
      </c>
      <c r="N2156">
        <v>18.14</v>
      </c>
    </row>
    <row r="2157" spans="1:14">
      <c r="A2157" s="1" t="s">
        <v>2169</v>
      </c>
      <c r="B2157">
        <f>HYPERLINK("https://www.suredividend.com/sure-analysis-research-database/","Pangaea Logistics Solutions Ltd")</f>
        <v>0</v>
      </c>
      <c r="C2157" t="s">
        <v>3220</v>
      </c>
      <c r="D2157">
        <v>5.24</v>
      </c>
      <c r="E2157">
        <v>0.029212496852224</v>
      </c>
      <c r="H2157">
        <v>0.153073483505654</v>
      </c>
      <c r="I2157">
        <v>239.607803</v>
      </c>
      <c r="J2157">
        <v>0</v>
      </c>
      <c r="K2157" t="s">
        <v>3219</v>
      </c>
      <c r="L2157">
        <v>1.078877906299615</v>
      </c>
      <c r="M2157">
        <v>6.08</v>
      </c>
      <c r="N2157">
        <v>2.82</v>
      </c>
    </row>
    <row r="2158" spans="1:14">
      <c r="A2158" s="1" t="s">
        <v>2170</v>
      </c>
      <c r="B2158">
        <f>HYPERLINK("https://www.suredividend.com/sure-analysis-research-database/","Palo Alto Networks Inc")</f>
        <v>0</v>
      </c>
      <c r="C2158" t="s">
        <v>3222</v>
      </c>
      <c r="D2158">
        <v>626.78</v>
      </c>
      <c r="E2158">
        <v>0</v>
      </c>
      <c r="H2158">
        <v>0</v>
      </c>
      <c r="I2158">
        <v>61728.047845</v>
      </c>
      <c r="J2158" t="s">
        <v>3219</v>
      </c>
      <c r="K2158">
        <v>-0</v>
      </c>
      <c r="L2158">
        <v>1.207979427383368</v>
      </c>
      <c r="M2158">
        <v>635.89</v>
      </c>
      <c r="N2158">
        <v>322.23</v>
      </c>
    </row>
    <row r="2159" spans="1:14">
      <c r="A2159" s="1" t="s">
        <v>2171</v>
      </c>
      <c r="B2159">
        <f>HYPERLINK("https://www.suredividend.com/sure-analysis-research-database/","Par Technology Corp.")</f>
        <v>0</v>
      </c>
      <c r="C2159" t="s">
        <v>3222</v>
      </c>
      <c r="D2159">
        <v>36.8</v>
      </c>
      <c r="E2159">
        <v>0</v>
      </c>
      <c r="H2159">
        <v>0</v>
      </c>
      <c r="I2159">
        <v>991.812403</v>
      </c>
      <c r="J2159" t="s">
        <v>3219</v>
      </c>
      <c r="K2159">
        <v>-0</v>
      </c>
      <c r="L2159">
        <v>2.134680493333719</v>
      </c>
      <c r="M2159">
        <v>84.73</v>
      </c>
      <c r="N2159">
        <v>33.21</v>
      </c>
    </row>
    <row r="2160" spans="1:14">
      <c r="A2160" s="1" t="s">
        <v>2172</v>
      </c>
      <c r="B2160">
        <f>HYPERLINK("https://www.suredividend.com/sure-analysis-research-database/","Par Pacific Holdings Inc")</f>
        <v>0</v>
      </c>
      <c r="C2160" t="s">
        <v>3226</v>
      </c>
      <c r="D2160">
        <v>14.54</v>
      </c>
      <c r="E2160">
        <v>0</v>
      </c>
      <c r="H2160">
        <v>0</v>
      </c>
      <c r="I2160">
        <v>874.700359</v>
      </c>
      <c r="J2160">
        <v>0</v>
      </c>
      <c r="K2160" t="s">
        <v>3219</v>
      </c>
      <c r="L2160">
        <v>1.181955060848796</v>
      </c>
      <c r="M2160">
        <v>18.05</v>
      </c>
      <c r="N2160">
        <v>11.66</v>
      </c>
    </row>
    <row r="2161" spans="1:14">
      <c r="A2161" s="1" t="s">
        <v>2173</v>
      </c>
      <c r="B2161">
        <f>HYPERLINK("https://www.suredividend.com/sure-analysis-research-database/","Patriot Transportation Holding Inc")</f>
        <v>0</v>
      </c>
      <c r="C2161" t="s">
        <v>3220</v>
      </c>
      <c r="D2161">
        <v>8.1</v>
      </c>
      <c r="E2161">
        <v>0</v>
      </c>
      <c r="H2161">
        <v>0</v>
      </c>
      <c r="I2161">
        <v>27.951448</v>
      </c>
      <c r="J2161">
        <v>0</v>
      </c>
      <c r="K2161" t="s">
        <v>3219</v>
      </c>
      <c r="M2161">
        <v>12.13</v>
      </c>
      <c r="N2161">
        <v>7.62</v>
      </c>
    </row>
    <row r="2162" spans="1:14">
      <c r="A2162" s="1" t="s">
        <v>2174</v>
      </c>
      <c r="B2162">
        <f>HYPERLINK("https://www.suredividend.com/sure-analysis-research-database/","Patrick Industries, Inc.")</f>
        <v>0</v>
      </c>
      <c r="C2162" t="s">
        <v>3220</v>
      </c>
      <c r="D2162">
        <v>58.61</v>
      </c>
      <c r="E2162">
        <v>0.020729259096014</v>
      </c>
      <c r="H2162">
        <v>1.214941875617408</v>
      </c>
      <c r="I2162">
        <v>1368.727301</v>
      </c>
      <c r="J2162">
        <v>6.085531427250294</v>
      </c>
      <c r="K2162">
        <v>0.1261621885376332</v>
      </c>
      <c r="L2162">
        <v>1.180973554070268</v>
      </c>
      <c r="M2162">
        <v>97.73</v>
      </c>
      <c r="N2162">
        <v>54.8</v>
      </c>
    </row>
    <row r="2163" spans="1:14">
      <c r="A2163" s="1" t="s">
        <v>2175</v>
      </c>
      <c r="B2163">
        <f>HYPERLINK("https://www.suredividend.com/sure-analysis-research-database/","Paycom Software Inc")</f>
        <v>0</v>
      </c>
      <c r="C2163" t="s">
        <v>3222</v>
      </c>
      <c r="D2163">
        <v>319.36</v>
      </c>
      <c r="E2163">
        <v>0</v>
      </c>
      <c r="H2163">
        <v>0</v>
      </c>
      <c r="I2163">
        <v>19227.891471</v>
      </c>
      <c r="J2163">
        <v>98.12151189712186</v>
      </c>
      <c r="K2163">
        <v>0</v>
      </c>
      <c r="L2163">
        <v>1.672235667215151</v>
      </c>
      <c r="M2163">
        <v>558.97</v>
      </c>
      <c r="N2163">
        <v>283.91</v>
      </c>
    </row>
    <row r="2164" spans="1:14">
      <c r="A2164" s="1" t="s">
        <v>2176</v>
      </c>
      <c r="B2164">
        <f>HYPERLINK("https://www.suredividend.com/sure-analysis-research-database/","PaySign Inc")</f>
        <v>0</v>
      </c>
      <c r="C2164" t="s">
        <v>3220</v>
      </c>
      <c r="D2164">
        <v>1.84</v>
      </c>
      <c r="E2164">
        <v>0</v>
      </c>
      <c r="H2164">
        <v>0</v>
      </c>
      <c r="I2164">
        <v>95.43147500000001</v>
      </c>
      <c r="J2164">
        <v>0</v>
      </c>
      <c r="K2164" t="s">
        <v>3219</v>
      </c>
      <c r="L2164">
        <v>1.303211187886006</v>
      </c>
      <c r="M2164">
        <v>4.15</v>
      </c>
      <c r="N2164">
        <v>1.37</v>
      </c>
    </row>
    <row r="2165" spans="1:14">
      <c r="A2165" s="1" t="s">
        <v>2177</v>
      </c>
      <c r="B2165">
        <f>HYPERLINK("https://www.suredividend.com/sure-analysis-PAYX/","Paychex Inc.")</f>
        <v>0</v>
      </c>
      <c r="C2165" t="s">
        <v>3220</v>
      </c>
      <c r="D2165">
        <v>136.69</v>
      </c>
      <c r="E2165">
        <v>0.01931377569683225</v>
      </c>
      <c r="F2165">
        <v>0.06451612903225823</v>
      </c>
      <c r="G2165">
        <v>0.07487316557532875</v>
      </c>
      <c r="H2165">
        <v>2.61747925989287</v>
      </c>
      <c r="I2165">
        <v>49347.466902</v>
      </c>
      <c r="J2165">
        <v>36.30091724467412</v>
      </c>
      <c r="K2165">
        <v>0.6979944693047654</v>
      </c>
      <c r="L2165">
        <v>0.9391025206130661</v>
      </c>
      <c r="M2165">
        <v>141.92</v>
      </c>
      <c r="N2165">
        <v>93.66</v>
      </c>
    </row>
    <row r="2166" spans="1:14">
      <c r="A2166" s="1" t="s">
        <v>2178</v>
      </c>
      <c r="B2166">
        <f>HYPERLINK("https://www.suredividend.com/sure-analysis-PB/","Prosperity Bancshares Inc.")</f>
        <v>0</v>
      </c>
      <c r="C2166" t="s">
        <v>3221</v>
      </c>
      <c r="D2166">
        <v>66.73999999999999</v>
      </c>
      <c r="E2166">
        <v>0.03116571771051843</v>
      </c>
      <c r="F2166">
        <v>0.06122448979591844</v>
      </c>
      <c r="G2166">
        <v>0.08869163325077611</v>
      </c>
      <c r="H2166">
        <v>1.998434346224693</v>
      </c>
      <c r="I2166">
        <v>6150.757065</v>
      </c>
      <c r="J2166">
        <v>11.84439167798004</v>
      </c>
      <c r="K2166">
        <v>0.3568632761115523</v>
      </c>
      <c r="L2166">
        <v>0.7909644564812011</v>
      </c>
      <c r="M2166">
        <v>79.87</v>
      </c>
      <c r="N2166">
        <v>63.47</v>
      </c>
    </row>
    <row r="2167" spans="1:14">
      <c r="A2167" s="1" t="s">
        <v>2179</v>
      </c>
      <c r="B2167">
        <f>HYPERLINK("https://www.suredividend.com/sure-analysis-PBCT/","People`s United Financial Inc")</f>
        <v>0</v>
      </c>
      <c r="C2167" t="s">
        <v>3221</v>
      </c>
      <c r="D2167">
        <v>19.41</v>
      </c>
      <c r="E2167">
        <v>0.03760947964966512</v>
      </c>
      <c r="H2167">
        <v>0.7300000190734861</v>
      </c>
      <c r="I2167">
        <v>0</v>
      </c>
      <c r="J2167">
        <v>0</v>
      </c>
      <c r="K2167">
        <v>0.5251798698370403</v>
      </c>
    </row>
    <row r="2168" spans="1:14">
      <c r="A2168" s="1" t="s">
        <v>2180</v>
      </c>
      <c r="B2168">
        <f>HYPERLINK("https://www.suredividend.com/sure-analysis-research-database/","PBF Energy Inc")</f>
        <v>0</v>
      </c>
      <c r="C2168" t="s">
        <v>3226</v>
      </c>
      <c r="D2168">
        <v>27.32</v>
      </c>
      <c r="E2168">
        <v>0</v>
      </c>
      <c r="H2168">
        <v>0</v>
      </c>
      <c r="I2168">
        <v>3295.292612</v>
      </c>
      <c r="J2168">
        <v>14.2653359812987</v>
      </c>
      <c r="K2168">
        <v>0</v>
      </c>
      <c r="L2168">
        <v>1.040382643186229</v>
      </c>
      <c r="M2168">
        <v>27.69</v>
      </c>
      <c r="N2168">
        <v>7.24</v>
      </c>
    </row>
    <row r="2169" spans="1:14">
      <c r="A2169" s="1" t="s">
        <v>2181</v>
      </c>
      <c r="B2169">
        <f>HYPERLINK("https://www.suredividend.com/sure-analysis-research-database/","Prestige Consumer Healthcare Inc")</f>
        <v>0</v>
      </c>
      <c r="C2169" t="s">
        <v>3217</v>
      </c>
      <c r="D2169">
        <v>54.04</v>
      </c>
      <c r="E2169">
        <v>0</v>
      </c>
      <c r="H2169">
        <v>0</v>
      </c>
      <c r="I2169">
        <v>2712.767632</v>
      </c>
      <c r="J2169">
        <v>14.36778772261916</v>
      </c>
      <c r="K2169">
        <v>0</v>
      </c>
      <c r="L2169">
        <v>0.384600386837635</v>
      </c>
      <c r="M2169">
        <v>63.83</v>
      </c>
      <c r="N2169">
        <v>43.21</v>
      </c>
    </row>
    <row r="2170" spans="1:14">
      <c r="A2170" s="1" t="s">
        <v>2182</v>
      </c>
      <c r="B2170">
        <f>HYPERLINK("https://www.suredividend.com/sure-analysis-research-database/","Pathfinder Bancorp, Inc.")</f>
        <v>0</v>
      </c>
      <c r="C2170" t="s">
        <v>3221</v>
      </c>
      <c r="D2170">
        <v>20.18</v>
      </c>
      <c r="E2170">
        <v>0.006923440629835</v>
      </c>
      <c r="H2170">
        <v>0.139715031910073</v>
      </c>
      <c r="I2170">
        <v>92.892253</v>
      </c>
      <c r="J2170">
        <v>0</v>
      </c>
      <c r="K2170" t="s">
        <v>3219</v>
      </c>
      <c r="M2170">
        <v>21.99</v>
      </c>
      <c r="N2170">
        <v>13.79</v>
      </c>
    </row>
    <row r="2171" spans="1:14">
      <c r="A2171" s="1" t="s">
        <v>2183</v>
      </c>
      <c r="B2171">
        <f>HYPERLINK("https://www.suredividend.com/sure-analysis-research-database/","Pitney Bowes, Inc.")</f>
        <v>0</v>
      </c>
      <c r="C2171" t="s">
        <v>3220</v>
      </c>
      <c r="D2171">
        <v>4.8</v>
      </c>
      <c r="E2171">
        <v>0.041149941192747</v>
      </c>
      <c r="F2171">
        <v>0</v>
      </c>
      <c r="G2171">
        <v>-0.2322961007252451</v>
      </c>
      <c r="H2171">
        <v>0.197519717725188</v>
      </c>
      <c r="I2171">
        <v>830.896598</v>
      </c>
      <c r="J2171" t="s">
        <v>3219</v>
      </c>
      <c r="K2171" t="s">
        <v>3219</v>
      </c>
      <c r="L2171">
        <v>1.558764826722715</v>
      </c>
      <c r="M2171">
        <v>9.77</v>
      </c>
      <c r="N2171">
        <v>4.37</v>
      </c>
    </row>
    <row r="2172" spans="1:14">
      <c r="A2172" s="1" t="s">
        <v>2184</v>
      </c>
      <c r="B2172">
        <f>HYPERLINK("https://www.suredividend.com/sure-analysis-research-database/","Prudential Bancorp Inc")</f>
        <v>0</v>
      </c>
      <c r="C2172" t="s">
        <v>3221</v>
      </c>
      <c r="D2172">
        <v>16.02</v>
      </c>
      <c r="E2172">
        <v>0.017361139693599</v>
      </c>
      <c r="F2172">
        <v>0</v>
      </c>
      <c r="G2172">
        <v>0.06961037572506878</v>
      </c>
      <c r="H2172">
        <v>0.278125457891467</v>
      </c>
      <c r="I2172">
        <v>124.46558</v>
      </c>
      <c r="J2172">
        <v>0</v>
      </c>
      <c r="K2172" t="s">
        <v>3219</v>
      </c>
      <c r="L2172">
        <v>0.320769036985703</v>
      </c>
      <c r="M2172">
        <v>17.36</v>
      </c>
      <c r="N2172">
        <v>13.2</v>
      </c>
    </row>
    <row r="2173" spans="1:14">
      <c r="A2173" s="1" t="s">
        <v>2185</v>
      </c>
      <c r="B2173">
        <f>HYPERLINK("https://www.suredividend.com/sure-analysis-research-database/","Potbelly Corp")</f>
        <v>0</v>
      </c>
      <c r="C2173" t="s">
        <v>3223</v>
      </c>
      <c r="D2173">
        <v>6.45</v>
      </c>
      <c r="E2173">
        <v>0</v>
      </c>
      <c r="H2173">
        <v>0</v>
      </c>
      <c r="I2173">
        <v>186.015278</v>
      </c>
      <c r="J2173">
        <v>0</v>
      </c>
      <c r="K2173" t="s">
        <v>3219</v>
      </c>
      <c r="L2173">
        <v>0.9082708060195031</v>
      </c>
      <c r="M2173">
        <v>9.07</v>
      </c>
      <c r="N2173">
        <v>4.83</v>
      </c>
    </row>
    <row r="2174" spans="1:14">
      <c r="A2174" s="1" t="s">
        <v>2186</v>
      </c>
      <c r="B2174">
        <f>HYPERLINK("https://www.suredividend.com/sure-analysis-research-database/","Puma Biotechnology Inc")</f>
        <v>0</v>
      </c>
      <c r="C2174" t="s">
        <v>3217</v>
      </c>
      <c r="D2174">
        <v>2.83</v>
      </c>
      <c r="E2174">
        <v>0</v>
      </c>
      <c r="H2174">
        <v>0</v>
      </c>
      <c r="I2174">
        <v>116.972164</v>
      </c>
      <c r="J2174" t="s">
        <v>3219</v>
      </c>
      <c r="K2174">
        <v>-0</v>
      </c>
      <c r="L2174">
        <v>1.130884454794096</v>
      </c>
      <c r="M2174">
        <v>11.95</v>
      </c>
      <c r="N2174">
        <v>2.06</v>
      </c>
    </row>
    <row r="2175" spans="1:14">
      <c r="A2175" s="1" t="s">
        <v>2187</v>
      </c>
      <c r="B2175">
        <f>HYPERLINK("https://www.suredividend.com/sure-analysis-PCAR/","Paccar Inc.")</f>
        <v>0</v>
      </c>
      <c r="C2175" t="s">
        <v>3220</v>
      </c>
      <c r="D2175">
        <v>83.70999999999999</v>
      </c>
      <c r="E2175">
        <v>0.03416557161629435</v>
      </c>
      <c r="F2175">
        <v>0</v>
      </c>
      <c r="G2175">
        <v>0.03959498820755258</v>
      </c>
      <c r="H2175">
        <v>1.335114880301164</v>
      </c>
      <c r="I2175">
        <v>29103.848551</v>
      </c>
      <c r="J2175">
        <v>15.71397254523514</v>
      </c>
      <c r="K2175">
        <v>0.2509614436656323</v>
      </c>
      <c r="L2175">
        <v>0.7779006670721991</v>
      </c>
      <c r="M2175">
        <v>97.20999999999999</v>
      </c>
      <c r="N2175">
        <v>76.06999999999999</v>
      </c>
    </row>
    <row r="2176" spans="1:14">
      <c r="A2176" s="1" t="s">
        <v>2188</v>
      </c>
      <c r="B2176">
        <f>HYPERLINK("https://www.suredividend.com/sure-analysis-research-database/","PotlatchDeltic Corp")</f>
        <v>0</v>
      </c>
      <c r="C2176" t="s">
        <v>3224</v>
      </c>
      <c r="D2176">
        <v>52.56</v>
      </c>
      <c r="E2176">
        <v>0.030380196878909</v>
      </c>
      <c r="F2176">
        <v>0.07317073170731692</v>
      </c>
      <c r="G2176">
        <v>0.01924487649145656</v>
      </c>
      <c r="H2176">
        <v>1.596783147955467</v>
      </c>
      <c r="I2176">
        <v>3631.050467</v>
      </c>
      <c r="J2176">
        <v>8.566626875100269</v>
      </c>
      <c r="K2176">
        <v>0.2550771801845794</v>
      </c>
      <c r="L2176">
        <v>0.9586712623512271</v>
      </c>
      <c r="M2176">
        <v>60.22</v>
      </c>
      <c r="N2176">
        <v>44.46</v>
      </c>
    </row>
    <row r="2177" spans="1:14">
      <c r="A2177" s="1" t="s">
        <v>2189</v>
      </c>
      <c r="B2177">
        <f>HYPERLINK("https://www.suredividend.com/sure-analysis-research-database/","Pacira BioSciences Inc")</f>
        <v>0</v>
      </c>
      <c r="C2177" t="s">
        <v>3217</v>
      </c>
      <c r="D2177">
        <v>74.68000000000001</v>
      </c>
      <c r="E2177">
        <v>0</v>
      </c>
      <c r="H2177">
        <v>0</v>
      </c>
      <c r="I2177">
        <v>3349.228327</v>
      </c>
      <c r="J2177">
        <v>79.78152279752264</v>
      </c>
      <c r="K2177">
        <v>0</v>
      </c>
      <c r="L2177">
        <v>0.840436861930507</v>
      </c>
      <c r="M2177">
        <v>82.16</v>
      </c>
      <c r="N2177">
        <v>45.05</v>
      </c>
    </row>
    <row r="2178" spans="1:14">
      <c r="A2178" s="1" t="s">
        <v>2190</v>
      </c>
      <c r="B2178">
        <f>HYPERLINK("https://www.suredividend.com/sure-analysis-research-database/","PCSB Financial Corp")</f>
        <v>0</v>
      </c>
      <c r="C2178" t="s">
        <v>3221</v>
      </c>
      <c r="D2178">
        <v>18.75</v>
      </c>
      <c r="E2178">
        <v>0.012738715196811</v>
      </c>
      <c r="H2178">
        <v>0.238850909940222</v>
      </c>
      <c r="I2178">
        <v>287.528569</v>
      </c>
      <c r="J2178">
        <v>0</v>
      </c>
      <c r="K2178" t="s">
        <v>3219</v>
      </c>
      <c r="L2178">
        <v>0.426941334241253</v>
      </c>
      <c r="M2178">
        <v>20.48</v>
      </c>
      <c r="N2178">
        <v>16.47</v>
      </c>
    </row>
    <row r="2179" spans="1:14">
      <c r="A2179" s="1" t="s">
        <v>2191</v>
      </c>
      <c r="B2179">
        <f>HYPERLINK("https://www.suredividend.com/sure-analysis-research-database/","PCTEL Inc")</f>
        <v>0</v>
      </c>
      <c r="C2179" t="s">
        <v>3222</v>
      </c>
      <c r="D2179">
        <v>4.36</v>
      </c>
      <c r="E2179">
        <v>0</v>
      </c>
      <c r="H2179">
        <v>0</v>
      </c>
      <c r="I2179">
        <v>79.870186</v>
      </c>
      <c r="J2179">
        <v>522.0273594771242</v>
      </c>
      <c r="K2179">
        <v>0</v>
      </c>
      <c r="L2179">
        <v>0.6148560154379941</v>
      </c>
      <c r="M2179">
        <v>6.99</v>
      </c>
      <c r="N2179">
        <v>4.22</v>
      </c>
    </row>
    <row r="2180" spans="1:14">
      <c r="A2180" s="1" t="s">
        <v>2192</v>
      </c>
      <c r="B2180">
        <f>HYPERLINK("https://www.suredividend.com/sure-analysis-research-database/","Paylocity Holding Corp")</f>
        <v>0</v>
      </c>
      <c r="C2180" t="s">
        <v>3222</v>
      </c>
      <c r="D2180">
        <v>200.35</v>
      </c>
      <c r="E2180">
        <v>0</v>
      </c>
      <c r="H2180">
        <v>0</v>
      </c>
      <c r="I2180">
        <v>11041.35722</v>
      </c>
      <c r="J2180">
        <v>123.3643630315524</v>
      </c>
      <c r="K2180">
        <v>0</v>
      </c>
      <c r="L2180">
        <v>1.623046186490505</v>
      </c>
      <c r="M2180">
        <v>314.5</v>
      </c>
      <c r="N2180">
        <v>154.26</v>
      </c>
    </row>
    <row r="2181" spans="1:14">
      <c r="A2181" s="1" t="s">
        <v>2193</v>
      </c>
      <c r="B2181">
        <f>HYPERLINK("https://www.suredividend.com/sure-analysis-research-database/","Park City Group, Inc.")</f>
        <v>0</v>
      </c>
      <c r="C2181" t="s">
        <v>3222</v>
      </c>
      <c r="D2181">
        <v>5.02</v>
      </c>
      <c r="E2181">
        <v>0</v>
      </c>
      <c r="H2181">
        <v>0</v>
      </c>
      <c r="I2181">
        <v>95.911186</v>
      </c>
      <c r="J2181">
        <v>0</v>
      </c>
      <c r="K2181" t="s">
        <v>3219</v>
      </c>
      <c r="L2181">
        <v>0.6759603912501111</v>
      </c>
      <c r="M2181">
        <v>10.68</v>
      </c>
      <c r="N2181">
        <v>4.8</v>
      </c>
    </row>
    <row r="2182" spans="1:14">
      <c r="A2182" s="1" t="s">
        <v>2194</v>
      </c>
      <c r="B2182">
        <f>HYPERLINK("https://www.suredividend.com/sure-analysis-research-database/","Pure Cycle Corp.")</f>
        <v>0</v>
      </c>
      <c r="C2182" t="s">
        <v>3227</v>
      </c>
      <c r="D2182">
        <v>11.61</v>
      </c>
      <c r="E2182">
        <v>0</v>
      </c>
      <c r="H2182">
        <v>0</v>
      </c>
      <c r="I2182">
        <v>278.15844</v>
      </c>
      <c r="J2182">
        <v>0</v>
      </c>
      <c r="K2182" t="s">
        <v>3219</v>
      </c>
      <c r="L2182">
        <v>0.745775332649072</v>
      </c>
      <c r="M2182">
        <v>16.58</v>
      </c>
      <c r="N2182">
        <v>11.08</v>
      </c>
    </row>
    <row r="2183" spans="1:14">
      <c r="A2183" s="1" t="s">
        <v>2195</v>
      </c>
      <c r="B2183">
        <f>HYPERLINK("https://www.suredividend.com/sure-analysis-research-database/","Pagerduty Inc")</f>
        <v>0</v>
      </c>
      <c r="C2183" t="s">
        <v>3222</v>
      </c>
      <c r="D2183">
        <v>32.62</v>
      </c>
      <c r="E2183">
        <v>0</v>
      </c>
      <c r="H2183">
        <v>0</v>
      </c>
      <c r="I2183">
        <v>2839.839136</v>
      </c>
      <c r="J2183" t="s">
        <v>3219</v>
      </c>
      <c r="K2183">
        <v>-0</v>
      </c>
      <c r="L2183">
        <v>1.803222893514759</v>
      </c>
      <c r="M2183">
        <v>50.33</v>
      </c>
      <c r="N2183">
        <v>24.02</v>
      </c>
    </row>
    <row r="2184" spans="1:14">
      <c r="A2184" s="1" t="s">
        <v>2196</v>
      </c>
      <c r="B2184">
        <f>HYPERLINK("https://www.suredividend.com/sure-analysis-research-database/","PDC Energy Inc")</f>
        <v>0</v>
      </c>
      <c r="C2184" t="s">
        <v>3226</v>
      </c>
      <c r="D2184">
        <v>77.87</v>
      </c>
      <c r="E2184">
        <v>0.007809178149867001</v>
      </c>
      <c r="H2184">
        <v>0.608100702530179</v>
      </c>
      <c r="I2184">
        <v>7501.203784</v>
      </c>
      <c r="J2184">
        <v>14.36156578021524</v>
      </c>
      <c r="K2184">
        <v>0.1164943874578887</v>
      </c>
      <c r="L2184">
        <v>1.204161892476692</v>
      </c>
      <c r="M2184">
        <v>79.16</v>
      </c>
      <c r="N2184">
        <v>31.89</v>
      </c>
    </row>
    <row r="2185" spans="1:14">
      <c r="A2185" s="1" t="s">
        <v>2197</v>
      </c>
      <c r="B2185">
        <f>HYPERLINK("https://www.suredividend.com/sure-analysis-PDCO/","Patterson Companies Inc.")</f>
        <v>0</v>
      </c>
      <c r="C2185" t="s">
        <v>3217</v>
      </c>
      <c r="D2185">
        <v>35.01</v>
      </c>
      <c r="E2185">
        <v>0.02970579834333048</v>
      </c>
      <c r="H2185">
        <v>0.773067053917399</v>
      </c>
      <c r="I2185">
        <v>3417.74622</v>
      </c>
      <c r="J2185">
        <v>20.33319780827786</v>
      </c>
      <c r="K2185">
        <v>0.4520859964429234</v>
      </c>
      <c r="L2185">
        <v>0.744127044461088</v>
      </c>
      <c r="M2185">
        <v>36.41</v>
      </c>
      <c r="N2185">
        <v>26.26</v>
      </c>
    </row>
    <row r="2186" spans="1:14">
      <c r="A2186" s="1" t="s">
        <v>2198</v>
      </c>
      <c r="B2186">
        <f>HYPERLINK("https://www.suredividend.com/sure-analysis-research-database/","Pro-Dex Inc. (co)")</f>
        <v>0</v>
      </c>
      <c r="C2186" t="s">
        <v>3217</v>
      </c>
      <c r="D2186">
        <v>15.28</v>
      </c>
      <c r="E2186">
        <v>0</v>
      </c>
      <c r="H2186">
        <v>0</v>
      </c>
      <c r="I2186">
        <v>55.457324</v>
      </c>
      <c r="J2186">
        <v>11.46523127558404</v>
      </c>
      <c r="K2186">
        <v>0</v>
      </c>
      <c r="M2186">
        <v>38.45</v>
      </c>
      <c r="N2186">
        <v>13.49</v>
      </c>
    </row>
    <row r="2187" spans="1:14">
      <c r="A2187" s="1" t="s">
        <v>2199</v>
      </c>
      <c r="B2187">
        <f>HYPERLINK("https://www.suredividend.com/sure-analysis-research-database/","PDF Solutions Inc.")</f>
        <v>0</v>
      </c>
      <c r="C2187" t="s">
        <v>3222</v>
      </c>
      <c r="D2187">
        <v>23.4</v>
      </c>
      <c r="E2187">
        <v>0</v>
      </c>
      <c r="H2187">
        <v>0</v>
      </c>
      <c r="I2187">
        <v>882.346397</v>
      </c>
      <c r="J2187" t="s">
        <v>3219</v>
      </c>
      <c r="K2187">
        <v>-0</v>
      </c>
      <c r="L2187">
        <v>1.344731506435184</v>
      </c>
      <c r="M2187">
        <v>33.78</v>
      </c>
      <c r="N2187">
        <v>16.7</v>
      </c>
    </row>
    <row r="2188" spans="1:14">
      <c r="A2188" s="1" t="s">
        <v>2200</v>
      </c>
      <c r="B2188">
        <f>HYPERLINK("https://www.suredividend.com/sure-analysis-research-database/","Ponce Financial Group Inc")</f>
        <v>0</v>
      </c>
      <c r="C2188" t="s">
        <v>3221</v>
      </c>
      <c r="D2188">
        <v>10.36</v>
      </c>
      <c r="E2188">
        <v>0</v>
      </c>
      <c r="H2188">
        <v>0</v>
      </c>
      <c r="I2188">
        <v>256.143479</v>
      </c>
      <c r="J2188">
        <v>0</v>
      </c>
      <c r="K2188" t="s">
        <v>3219</v>
      </c>
      <c r="M2188">
        <v>10.93</v>
      </c>
      <c r="N2188">
        <v>10.21</v>
      </c>
    </row>
    <row r="2189" spans="1:14">
      <c r="A2189" s="1" t="s">
        <v>2201</v>
      </c>
      <c r="B2189">
        <f>HYPERLINK("https://www.suredividend.com/sure-analysis-research-database/","PDL Biopharma Inc")</f>
        <v>0</v>
      </c>
      <c r="C2189" t="s">
        <v>3217</v>
      </c>
      <c r="D2189">
        <v>2.47</v>
      </c>
      <c r="E2189">
        <v>0</v>
      </c>
      <c r="H2189">
        <v>0.07587900012731501</v>
      </c>
      <c r="I2189">
        <v>0</v>
      </c>
      <c r="J2189">
        <v>0</v>
      </c>
      <c r="K2189" t="s">
        <v>3219</v>
      </c>
    </row>
    <row r="2190" spans="1:14">
      <c r="A2190" s="1" t="s">
        <v>2202</v>
      </c>
      <c r="B2190">
        <f>HYPERLINK("https://www.suredividend.com/sure-analysis-PDM/","Piedmont Office Realty Trust Inc")</f>
        <v>0</v>
      </c>
      <c r="C2190" t="s">
        <v>3224</v>
      </c>
      <c r="D2190">
        <v>16.48</v>
      </c>
      <c r="E2190">
        <v>0.05097087378640777</v>
      </c>
      <c r="F2190">
        <v>0</v>
      </c>
      <c r="G2190">
        <v>0</v>
      </c>
      <c r="H2190">
        <v>0.8249762927609091</v>
      </c>
      <c r="I2190">
        <v>2032.492589</v>
      </c>
      <c r="J2190" t="s">
        <v>3219</v>
      </c>
      <c r="K2190" t="s">
        <v>3219</v>
      </c>
      <c r="L2190">
        <v>0.792398387524303</v>
      </c>
      <c r="M2190">
        <v>19.64</v>
      </c>
      <c r="N2190">
        <v>15.67</v>
      </c>
    </row>
    <row r="2191" spans="1:14">
      <c r="A2191" s="1" t="s">
        <v>2203</v>
      </c>
      <c r="B2191">
        <f>HYPERLINK("https://www.suredividend.com/sure-analysis-research-database/","PDS Biotechnology Corporation")</f>
        <v>0</v>
      </c>
      <c r="C2191" t="s">
        <v>3217</v>
      </c>
      <c r="D2191">
        <v>5.6</v>
      </c>
      <c r="E2191">
        <v>0</v>
      </c>
      <c r="H2191">
        <v>0</v>
      </c>
      <c r="I2191">
        <v>159.312227</v>
      </c>
      <c r="J2191">
        <v>0</v>
      </c>
      <c r="K2191" t="s">
        <v>3219</v>
      </c>
      <c r="L2191">
        <v>2.015234028501667</v>
      </c>
      <c r="M2191">
        <v>17.85</v>
      </c>
      <c r="N2191">
        <v>4.1</v>
      </c>
    </row>
    <row r="2192" spans="1:14">
      <c r="A2192" s="1" t="s">
        <v>2204</v>
      </c>
      <c r="B2192">
        <f>HYPERLINK("https://www.suredividend.com/sure-analysis-research-database/","Parsley Energy Inc")</f>
        <v>0</v>
      </c>
      <c r="C2192" t="s">
        <v>3226</v>
      </c>
      <c r="D2192">
        <v>16.93</v>
      </c>
      <c r="E2192">
        <v>0.011742258798249</v>
      </c>
      <c r="H2192">
        <v>0.198796441454361</v>
      </c>
      <c r="I2192">
        <v>6410.768162</v>
      </c>
      <c r="J2192" t="s">
        <v>3219</v>
      </c>
      <c r="K2192" t="s">
        <v>3219</v>
      </c>
      <c r="L2192">
        <v>1.571006103993863</v>
      </c>
      <c r="M2192">
        <v>17.59</v>
      </c>
      <c r="N2192">
        <v>4.07</v>
      </c>
    </row>
    <row r="2193" spans="1:14">
      <c r="A2193" s="1" t="s">
        <v>2205</v>
      </c>
      <c r="B2193">
        <f>HYPERLINK("https://www.suredividend.com/sure-analysis-research-database/","Pebblebrook Hotel Trust")</f>
        <v>0</v>
      </c>
      <c r="C2193" t="s">
        <v>3224</v>
      </c>
      <c r="D2193">
        <v>24.16</v>
      </c>
      <c r="E2193">
        <v>0.00165458235404</v>
      </c>
      <c r="F2193">
        <v>0</v>
      </c>
      <c r="G2193">
        <v>-0.5168930551573858</v>
      </c>
      <c r="H2193">
        <v>0.039974709673622</v>
      </c>
      <c r="I2193">
        <v>3173.784682</v>
      </c>
      <c r="J2193" t="s">
        <v>3219</v>
      </c>
      <c r="K2193" t="s">
        <v>3219</v>
      </c>
      <c r="L2193">
        <v>1.314095743121582</v>
      </c>
      <c r="M2193">
        <v>26.43</v>
      </c>
      <c r="N2193">
        <v>19.33</v>
      </c>
    </row>
    <row r="2194" spans="1:14">
      <c r="A2194" s="1" t="s">
        <v>2206</v>
      </c>
      <c r="B2194">
        <f>HYPERLINK("https://www.suredividend.com/sure-analysis-research-database/","Peoples Bancorp Of North Carolina Inc")</f>
        <v>0</v>
      </c>
      <c r="C2194" t="s">
        <v>3221</v>
      </c>
      <c r="D2194">
        <v>28.33</v>
      </c>
      <c r="E2194">
        <v>0.023694374116327</v>
      </c>
      <c r="F2194">
        <v>0.125</v>
      </c>
      <c r="G2194">
        <v>0.06724918187953888</v>
      </c>
      <c r="H2194">
        <v>0.671261618715545</v>
      </c>
      <c r="I2194">
        <v>160.23533</v>
      </c>
      <c r="J2194">
        <v>0</v>
      </c>
      <c r="K2194" t="s">
        <v>3219</v>
      </c>
      <c r="M2194">
        <v>29.95</v>
      </c>
      <c r="N2194">
        <v>22.07</v>
      </c>
    </row>
    <row r="2195" spans="1:14">
      <c r="A2195" s="1" t="s">
        <v>2207</v>
      </c>
      <c r="B2195">
        <f>HYPERLINK("https://www.suredividend.com/sure-analysis-research-database/","Peoples Bancorp, Inc. (Marietta, OH)")</f>
        <v>0</v>
      </c>
      <c r="C2195" t="s">
        <v>3221</v>
      </c>
      <c r="D2195">
        <v>29.89</v>
      </c>
      <c r="E2195">
        <v>0.04737378995107101</v>
      </c>
      <c r="H2195">
        <v>1.416002581637538</v>
      </c>
      <c r="I2195">
        <v>850.152363</v>
      </c>
      <c r="J2195">
        <v>17.99873740906974</v>
      </c>
      <c r="K2195">
        <v>0.6586058519244362</v>
      </c>
      <c r="L2195">
        <v>0.6676468146161401</v>
      </c>
      <c r="M2195">
        <v>34.25</v>
      </c>
      <c r="N2195">
        <v>26.78</v>
      </c>
    </row>
    <row r="2196" spans="1:14">
      <c r="A2196" s="1" t="s">
        <v>2208</v>
      </c>
      <c r="B2196">
        <f>HYPERLINK("https://www.suredividend.com/sure-analysis-research-database/","PEDEVCO Corp")</f>
        <v>0</v>
      </c>
      <c r="C2196" t="s">
        <v>3226</v>
      </c>
      <c r="D2196">
        <v>1.32</v>
      </c>
      <c r="E2196">
        <v>0</v>
      </c>
      <c r="H2196">
        <v>0</v>
      </c>
      <c r="I2196">
        <v>112.811353</v>
      </c>
      <c r="J2196">
        <v>0</v>
      </c>
      <c r="K2196" t="s">
        <v>3219</v>
      </c>
      <c r="L2196">
        <v>0.622143772719953</v>
      </c>
      <c r="M2196">
        <v>2.44</v>
      </c>
      <c r="N2196">
        <v>0.9298000000000001</v>
      </c>
    </row>
    <row r="2197" spans="1:14">
      <c r="A2197" s="1" t="s">
        <v>2209</v>
      </c>
      <c r="B2197">
        <f>HYPERLINK("https://www.suredividend.com/sure-analysis-PEG/","Public Service Enterprise Group Inc.")</f>
        <v>0</v>
      </c>
      <c r="C2197" t="s">
        <v>3227</v>
      </c>
      <c r="D2197">
        <v>72.8</v>
      </c>
      <c r="E2197">
        <v>0.02967032967032967</v>
      </c>
      <c r="F2197">
        <v>0.05882352941176472</v>
      </c>
      <c r="G2197">
        <v>0.0466104359289683</v>
      </c>
      <c r="H2197">
        <v>2.049623680792096</v>
      </c>
      <c r="I2197">
        <v>36551.273668</v>
      </c>
      <c r="J2197" t="s">
        <v>3219</v>
      </c>
      <c r="K2197" t="s">
        <v>3219</v>
      </c>
      <c r="L2197">
        <v>0.334370566394654</v>
      </c>
      <c r="M2197">
        <v>73.29000000000001</v>
      </c>
      <c r="N2197">
        <v>58.02</v>
      </c>
    </row>
    <row r="2198" spans="1:14">
      <c r="A2198" s="1" t="s">
        <v>2210</v>
      </c>
      <c r="B2198">
        <f>HYPERLINK("https://www.suredividend.com/sure-analysis-research-database/","Pegasystems Inc.")</f>
        <v>0</v>
      </c>
      <c r="C2198" t="s">
        <v>3222</v>
      </c>
      <c r="D2198">
        <v>74.51000000000001</v>
      </c>
      <c r="E2198">
        <v>0.00160976666685</v>
      </c>
      <c r="F2198">
        <v>0</v>
      </c>
      <c r="G2198">
        <v>0</v>
      </c>
      <c r="H2198">
        <v>0.119943714347038</v>
      </c>
      <c r="I2198">
        <v>6082.388771</v>
      </c>
      <c r="J2198" t="s">
        <v>3219</v>
      </c>
      <c r="K2198" t="s">
        <v>3219</v>
      </c>
      <c r="L2198">
        <v>1.539112908004171</v>
      </c>
      <c r="M2198">
        <v>143.5</v>
      </c>
      <c r="N2198">
        <v>71.58</v>
      </c>
    </row>
    <row r="2199" spans="1:14">
      <c r="A2199" s="1" t="s">
        <v>2211</v>
      </c>
      <c r="B2199">
        <f>HYPERLINK("https://www.suredividend.com/sure-analysis-research-database/","Pennsylvania Real Estate Investment Trust")</f>
        <v>0</v>
      </c>
      <c r="C2199" t="s">
        <v>3224</v>
      </c>
      <c r="D2199">
        <v>0.5356000000000001</v>
      </c>
      <c r="E2199">
        <v>0</v>
      </c>
      <c r="H2199">
        <v>0</v>
      </c>
      <c r="I2199">
        <v>43.178359</v>
      </c>
      <c r="J2199" t="s">
        <v>3219</v>
      </c>
      <c r="K2199">
        <v>-0</v>
      </c>
      <c r="L2199">
        <v>0.7537291234438781</v>
      </c>
      <c r="M2199">
        <v>3.47</v>
      </c>
      <c r="N2199">
        <v>0.5073</v>
      </c>
    </row>
    <row r="2200" spans="1:14">
      <c r="A2200" s="1" t="s">
        <v>2212</v>
      </c>
      <c r="B2200">
        <f>HYPERLINK("https://www.suredividend.com/sure-analysis-research-database/","Penumbra Inc")</f>
        <v>0</v>
      </c>
      <c r="C2200" t="s">
        <v>3217</v>
      </c>
      <c r="D2200">
        <v>197.74</v>
      </c>
      <c r="E2200">
        <v>0</v>
      </c>
      <c r="H2200">
        <v>0</v>
      </c>
      <c r="I2200">
        <v>7445.163119</v>
      </c>
      <c r="J2200">
        <v>1409.001347180167</v>
      </c>
      <c r="K2200">
        <v>0</v>
      </c>
      <c r="L2200">
        <v>1.453727814851703</v>
      </c>
      <c r="M2200">
        <v>312.16</v>
      </c>
      <c r="N2200">
        <v>186.19</v>
      </c>
    </row>
    <row r="2201" spans="1:14">
      <c r="A2201" s="1" t="s">
        <v>2213</v>
      </c>
      <c r="B2201">
        <f>HYPERLINK("https://www.suredividend.com/sure-analysis-research-database/","Penn National Gaming, Inc.")</f>
        <v>0</v>
      </c>
      <c r="C2201" t="s">
        <v>3223</v>
      </c>
      <c r="D2201">
        <v>37.27</v>
      </c>
      <c r="E2201">
        <v>0</v>
      </c>
      <c r="H2201">
        <v>0</v>
      </c>
      <c r="I2201">
        <v>6273.383936</v>
      </c>
      <c r="J2201">
        <v>14.90823178609791</v>
      </c>
      <c r="K2201">
        <v>0</v>
      </c>
      <c r="L2201">
        <v>1.69480331848486</v>
      </c>
      <c r="M2201">
        <v>99.70999999999999</v>
      </c>
      <c r="N2201">
        <v>35.9</v>
      </c>
    </row>
    <row r="2202" spans="1:14">
      <c r="A2202" s="1" t="s">
        <v>2214</v>
      </c>
      <c r="B2202">
        <f>HYPERLINK("https://www.suredividend.com/sure-analysis-PEP/","PepsiCo Inc")</f>
        <v>0</v>
      </c>
      <c r="C2202" t="s">
        <v>3225</v>
      </c>
      <c r="D2202">
        <v>171.9</v>
      </c>
      <c r="E2202">
        <v>0.02675974403723095</v>
      </c>
      <c r="F2202">
        <v>0.05134474327628369</v>
      </c>
      <c r="G2202">
        <v>0.05955258842469102</v>
      </c>
      <c r="H2202">
        <v>4.257369514386022</v>
      </c>
      <c r="I2202">
        <v>237678.040902</v>
      </c>
      <c r="J2202">
        <v>31.19953280410869</v>
      </c>
      <c r="K2202">
        <v>0.7768922471507339</v>
      </c>
      <c r="L2202">
        <v>0.386886865985794</v>
      </c>
      <c r="M2202">
        <v>176.08</v>
      </c>
      <c r="N2202">
        <v>137.89</v>
      </c>
    </row>
    <row r="2203" spans="1:14">
      <c r="A2203" s="1" t="s">
        <v>2215</v>
      </c>
      <c r="B2203">
        <f>HYPERLINK("https://www.suredividend.com/sure-analysis-research-database/","Perma-Fix Environmental Services, Inc.")</f>
        <v>0</v>
      </c>
      <c r="C2203" t="s">
        <v>3220</v>
      </c>
      <c r="D2203">
        <v>5.5</v>
      </c>
      <c r="E2203">
        <v>0</v>
      </c>
      <c r="H2203">
        <v>0</v>
      </c>
      <c r="I2203">
        <v>72.789365</v>
      </c>
      <c r="J2203">
        <v>87.17289221556887</v>
      </c>
      <c r="K2203">
        <v>0</v>
      </c>
      <c r="L2203">
        <v>0.554755221991039</v>
      </c>
      <c r="M2203">
        <v>7.95</v>
      </c>
      <c r="N2203">
        <v>4.89</v>
      </c>
    </row>
    <row r="2204" spans="1:14">
      <c r="A2204" s="1" t="s">
        <v>2216</v>
      </c>
      <c r="B2204">
        <f>HYPERLINK("https://www.suredividend.com/sure-analysis-research-database/","PetIQ Inc")</f>
        <v>0</v>
      </c>
      <c r="C2204" t="s">
        <v>3217</v>
      </c>
      <c r="D2204">
        <v>22.94</v>
      </c>
      <c r="E2204">
        <v>0</v>
      </c>
      <c r="H2204">
        <v>0</v>
      </c>
      <c r="I2204">
        <v>668.359653</v>
      </c>
      <c r="J2204" t="s">
        <v>3219</v>
      </c>
      <c r="K2204">
        <v>-0</v>
      </c>
      <c r="L2204">
        <v>1.273029884845882</v>
      </c>
      <c r="M2204">
        <v>46</v>
      </c>
      <c r="N2204">
        <v>17.1</v>
      </c>
    </row>
    <row r="2205" spans="1:14">
      <c r="A2205" s="1" t="s">
        <v>2217</v>
      </c>
      <c r="B2205">
        <f>HYPERLINK("https://www.suredividend.com/sure-analysis-PETS/","Petmed Express, Inc.")</f>
        <v>0</v>
      </c>
      <c r="C2205" t="s">
        <v>3217</v>
      </c>
      <c r="D2205">
        <v>24.4</v>
      </c>
      <c r="E2205">
        <v>0.04918032786885246</v>
      </c>
      <c r="F2205">
        <v>0.0714285714285714</v>
      </c>
      <c r="G2205">
        <v>0.08447177119769855</v>
      </c>
      <c r="H2205">
        <v>1.180235542799933</v>
      </c>
      <c r="I2205">
        <v>511.876108</v>
      </c>
      <c r="J2205">
        <v>23.43111359516616</v>
      </c>
      <c r="K2205">
        <v>1.092810687777716</v>
      </c>
      <c r="L2205">
        <v>0.456089381344623</v>
      </c>
      <c r="M2205">
        <v>45.19</v>
      </c>
      <c r="N2205">
        <v>21.37</v>
      </c>
    </row>
    <row r="2206" spans="1:14">
      <c r="A2206" s="1" t="s">
        <v>2218</v>
      </c>
      <c r="B2206">
        <f>HYPERLINK("https://www.suredividend.com/sure-analysis-research-database/","Preferred Bank (Los Angeles, CA)")</f>
        <v>0</v>
      </c>
      <c r="C2206" t="s">
        <v>3221</v>
      </c>
      <c r="D2206">
        <v>70.86</v>
      </c>
      <c r="E2206">
        <v>0.022672706668817</v>
      </c>
      <c r="F2206">
        <v>0.131578947368421</v>
      </c>
      <c r="G2206">
        <v>0.1654340216704255</v>
      </c>
      <c r="H2206">
        <v>1.606587994552418</v>
      </c>
      <c r="I2206">
        <v>934.57254</v>
      </c>
      <c r="J2206">
        <v>0</v>
      </c>
      <c r="K2206" t="s">
        <v>3219</v>
      </c>
      <c r="L2206">
        <v>0.756636832108693</v>
      </c>
      <c r="M2206">
        <v>81.48999999999999</v>
      </c>
      <c r="N2206">
        <v>56.29</v>
      </c>
    </row>
    <row r="2207" spans="1:14">
      <c r="A2207" s="1" t="s">
        <v>2219</v>
      </c>
      <c r="B2207">
        <f>HYPERLINK("https://www.suredividend.com/sure-analysis-research-database/","Premier Financial Bancorp, Inc.")</f>
        <v>0</v>
      </c>
      <c r="C2207" t="s">
        <v>3221</v>
      </c>
      <c r="D2207">
        <v>17.79</v>
      </c>
      <c r="E2207">
        <v>0</v>
      </c>
      <c r="H2207">
        <v>0.583953670990024</v>
      </c>
      <c r="I2207">
        <v>0</v>
      </c>
      <c r="J2207">
        <v>0</v>
      </c>
      <c r="K2207" t="s">
        <v>3219</v>
      </c>
    </row>
    <row r="2208" spans="1:14">
      <c r="A2208" s="1" t="s">
        <v>2220</v>
      </c>
      <c r="B2208">
        <f>HYPERLINK("https://www.suredividend.com/sure-analysis-PFE/","Pfizer Inc.")</f>
        <v>0</v>
      </c>
      <c r="C2208" t="s">
        <v>3217</v>
      </c>
      <c r="D2208">
        <v>53.12</v>
      </c>
      <c r="E2208">
        <v>0.03012048192771085</v>
      </c>
      <c r="F2208">
        <v>0.02564102564102577</v>
      </c>
      <c r="G2208">
        <v>0.04563955259127317</v>
      </c>
      <c r="H2208">
        <v>1.550991748491541</v>
      </c>
      <c r="I2208">
        <v>300009.779315</v>
      </c>
      <c r="J2208">
        <v>13.64921652935396</v>
      </c>
      <c r="K2208">
        <v>0.4028549996081924</v>
      </c>
      <c r="L2208">
        <v>0.16022996952304</v>
      </c>
      <c r="M2208">
        <v>61.24</v>
      </c>
      <c r="N2208">
        <v>36.98</v>
      </c>
    </row>
    <row r="2209" spans="1:14">
      <c r="A2209" s="1" t="s">
        <v>2221</v>
      </c>
      <c r="B2209">
        <f>HYPERLINK("https://www.suredividend.com/sure-analysis-PFG/","Principal Financial Group Inc")</f>
        <v>0</v>
      </c>
      <c r="C2209" t="s">
        <v>3221</v>
      </c>
      <c r="D2209">
        <v>73.95</v>
      </c>
      <c r="E2209">
        <v>0.03461798512508452</v>
      </c>
      <c r="F2209">
        <v>0.1428571428571428</v>
      </c>
      <c r="G2209">
        <v>0.06369329876901708</v>
      </c>
      <c r="H2209">
        <v>2.484763791889501</v>
      </c>
      <c r="I2209">
        <v>18652.868395</v>
      </c>
      <c r="J2209">
        <v>10.90428410794458</v>
      </c>
      <c r="K2209">
        <v>0.3962940656921055</v>
      </c>
      <c r="L2209">
        <v>1.188292244339147</v>
      </c>
      <c r="M2209">
        <v>79.56999999999999</v>
      </c>
      <c r="N2209">
        <v>57.02</v>
      </c>
    </row>
    <row r="2210" spans="1:14">
      <c r="A2210" s="1" t="s">
        <v>2222</v>
      </c>
      <c r="B2210">
        <f>HYPERLINK("https://www.suredividend.com/sure-analysis-research-database/","Performance Food Group Company")</f>
        <v>0</v>
      </c>
      <c r="C2210" t="s">
        <v>3225</v>
      </c>
      <c r="D2210">
        <v>50.17</v>
      </c>
      <c r="E2210">
        <v>0</v>
      </c>
      <c r="H2210">
        <v>0</v>
      </c>
      <c r="I2210">
        <v>7766.386338</v>
      </c>
      <c r="J2210">
        <v>210.4711744807588</v>
      </c>
      <c r="K2210">
        <v>0</v>
      </c>
      <c r="L2210">
        <v>1.561000650127746</v>
      </c>
      <c r="M2210">
        <v>59.34</v>
      </c>
      <c r="N2210">
        <v>38.82</v>
      </c>
    </row>
    <row r="2211" spans="1:14">
      <c r="A2211" s="1" t="s">
        <v>2223</v>
      </c>
      <c r="B2211">
        <f>HYPERLINK("https://www.suredividend.com/sure-analysis-research-database/","Profire Energy Inc")</f>
        <v>0</v>
      </c>
      <c r="C2211" t="s">
        <v>3226</v>
      </c>
      <c r="D2211">
        <v>1.35</v>
      </c>
      <c r="E2211">
        <v>0</v>
      </c>
      <c r="H2211">
        <v>0</v>
      </c>
      <c r="I2211">
        <v>64.145066</v>
      </c>
      <c r="J2211">
        <v>0</v>
      </c>
      <c r="K2211" t="s">
        <v>3219</v>
      </c>
      <c r="L2211">
        <v>0.250726483293938</v>
      </c>
      <c r="M2211">
        <v>1.59</v>
      </c>
      <c r="N2211">
        <v>0.8801</v>
      </c>
    </row>
    <row r="2212" spans="1:14">
      <c r="A2212" s="1" t="s">
        <v>2224</v>
      </c>
      <c r="B2212">
        <f>HYPERLINK("https://www.suredividend.com/sure-analysis-research-database/","P &amp; F Industries, Inc.")</f>
        <v>0</v>
      </c>
      <c r="C2212" t="s">
        <v>3220</v>
      </c>
      <c r="D2212">
        <v>5.957</v>
      </c>
      <c r="E2212">
        <v>0</v>
      </c>
      <c r="H2212">
        <v>0</v>
      </c>
      <c r="I2212">
        <v>18.950921</v>
      </c>
      <c r="J2212">
        <v>0</v>
      </c>
      <c r="K2212" t="s">
        <v>3219</v>
      </c>
      <c r="M2212">
        <v>7.45</v>
      </c>
      <c r="N2212">
        <v>5.22</v>
      </c>
    </row>
    <row r="2213" spans="1:14">
      <c r="A2213" s="1" t="s">
        <v>2225</v>
      </c>
      <c r="B2213">
        <f>HYPERLINK("https://www.suredividend.com/sure-analysis-research-database/","Peoples Financial Services Corp")</f>
        <v>0</v>
      </c>
      <c r="C2213" t="s">
        <v>3221</v>
      </c>
      <c r="D2213">
        <v>47.67</v>
      </c>
      <c r="E2213">
        <v>0.031508600046361</v>
      </c>
      <c r="F2213">
        <v>0.05405405405405417</v>
      </c>
      <c r="G2213">
        <v>0.04698529649644878</v>
      </c>
      <c r="H2213">
        <v>1.502014964210064</v>
      </c>
      <c r="I2213">
        <v>341.713433</v>
      </c>
      <c r="J2213">
        <v>0</v>
      </c>
      <c r="K2213" t="s">
        <v>3219</v>
      </c>
      <c r="L2213">
        <v>0.5337995635553271</v>
      </c>
      <c r="M2213">
        <v>54.55</v>
      </c>
      <c r="N2213">
        <v>39.68</v>
      </c>
    </row>
    <row r="2214" spans="1:14">
      <c r="A2214" s="1" t="s">
        <v>2226</v>
      </c>
      <c r="B2214">
        <f>HYPERLINK("https://www.suredividend.com/sure-analysis-research-database/","Performant Financial Corp")</f>
        <v>0</v>
      </c>
      <c r="C2214" t="s">
        <v>3220</v>
      </c>
      <c r="D2214">
        <v>2.76</v>
      </c>
      <c r="E2214">
        <v>0</v>
      </c>
      <c r="H2214">
        <v>0</v>
      </c>
      <c r="I2214">
        <v>193.974199</v>
      </c>
      <c r="J2214">
        <v>0</v>
      </c>
      <c r="K2214" t="s">
        <v>3219</v>
      </c>
      <c r="L2214">
        <v>2.242123094556694</v>
      </c>
      <c r="M2214">
        <v>5.29</v>
      </c>
      <c r="N2214">
        <v>1.82</v>
      </c>
    </row>
    <row r="2215" spans="1:14">
      <c r="A2215" s="1" t="s">
        <v>2227</v>
      </c>
      <c r="B2215">
        <f>HYPERLINK("https://www.suredividend.com/sure-analysis-research-database/","Proofpoint Inc")</f>
        <v>0</v>
      </c>
      <c r="C2215" t="s">
        <v>3222</v>
      </c>
      <c r="D2215">
        <v>175.9</v>
      </c>
      <c r="E2215">
        <v>0</v>
      </c>
      <c r="H2215">
        <v>0</v>
      </c>
      <c r="I2215">
        <v>0</v>
      </c>
      <c r="J2215">
        <v>0</v>
      </c>
      <c r="K2215">
        <v>-0</v>
      </c>
    </row>
    <row r="2216" spans="1:14">
      <c r="A2216" s="1" t="s">
        <v>2228</v>
      </c>
      <c r="B2216">
        <f>HYPERLINK("https://www.suredividend.com/sure-analysis-research-database/","Provident Financial Services Inc")</f>
        <v>0</v>
      </c>
      <c r="C2216" t="s">
        <v>3221</v>
      </c>
      <c r="D2216">
        <v>22.19</v>
      </c>
      <c r="E2216">
        <v>0.041751104948006</v>
      </c>
      <c r="F2216">
        <v>0.04347826086956519</v>
      </c>
      <c r="G2216">
        <v>0.03713728933664817</v>
      </c>
      <c r="H2216">
        <v>0.9264570187962691</v>
      </c>
      <c r="I2216">
        <v>1706.551485</v>
      </c>
      <c r="J2216">
        <v>10.1628234996814</v>
      </c>
      <c r="K2216">
        <v>0.4230397346101685</v>
      </c>
      <c r="L2216">
        <v>0.71171405010259</v>
      </c>
      <c r="M2216">
        <v>25.94</v>
      </c>
      <c r="N2216">
        <v>20.25</v>
      </c>
    </row>
    <row r="2217" spans="1:14">
      <c r="A2217" s="1" t="s">
        <v>2229</v>
      </c>
      <c r="B2217">
        <f>HYPERLINK("https://www.suredividend.com/sure-analysis-research-database/","PFSWEB Inc")</f>
        <v>0</v>
      </c>
      <c r="C2217" t="s">
        <v>3220</v>
      </c>
      <c r="D2217">
        <v>11.37</v>
      </c>
      <c r="E2217">
        <v>0</v>
      </c>
      <c r="H2217">
        <v>0</v>
      </c>
      <c r="I2217">
        <v>251.963475</v>
      </c>
      <c r="J2217">
        <v>1.727149482602615</v>
      </c>
      <c r="K2217">
        <v>0</v>
      </c>
      <c r="L2217">
        <v>0.4160197747834971</v>
      </c>
      <c r="M2217">
        <v>14.47</v>
      </c>
      <c r="N2217">
        <v>6.16</v>
      </c>
    </row>
    <row r="2218" spans="1:14">
      <c r="A2218" s="1" t="s">
        <v>2230</v>
      </c>
      <c r="B2218">
        <f>HYPERLINK("https://www.suredividend.com/sure-analysis-PG/","Procter &amp; Gamble Co.")</f>
        <v>0</v>
      </c>
      <c r="C2218" t="s">
        <v>3225</v>
      </c>
      <c r="D2218">
        <v>158.57</v>
      </c>
      <c r="E2218">
        <v>0.02301822538941792</v>
      </c>
      <c r="F2218">
        <v>0.1000379410648791</v>
      </c>
      <c r="G2218">
        <v>0.04752508095797614</v>
      </c>
      <c r="H2218">
        <v>3.449159559887572</v>
      </c>
      <c r="I2218">
        <v>383731.125659</v>
      </c>
      <c r="J2218">
        <v>26.9644526497667</v>
      </c>
      <c r="K2218">
        <v>0.6225919783190563</v>
      </c>
      <c r="L2218">
        <v>0.318955736975622</v>
      </c>
      <c r="M2218">
        <v>165.35</v>
      </c>
      <c r="N2218">
        <v>127.99</v>
      </c>
    </row>
    <row r="2219" spans="1:14">
      <c r="A2219" s="1" t="s">
        <v>2231</v>
      </c>
      <c r="B2219">
        <f>HYPERLINK("https://www.suredividend.com/sure-analysis-research-database/","Peapack-Gladstone Financial Corp.")</f>
        <v>0</v>
      </c>
      <c r="C2219" t="s">
        <v>3221</v>
      </c>
      <c r="D2219">
        <v>33</v>
      </c>
      <c r="E2219">
        <v>0.006048152778003001</v>
      </c>
      <c r="F2219">
        <v>0</v>
      </c>
      <c r="G2219">
        <v>0</v>
      </c>
      <c r="H2219">
        <v>0.19958904167411</v>
      </c>
      <c r="I2219">
        <v>600.89502</v>
      </c>
      <c r="J2219">
        <v>10.61239482886511</v>
      </c>
      <c r="K2219">
        <v>0.06811912685123209</v>
      </c>
      <c r="L2219">
        <v>0.749932814355964</v>
      </c>
      <c r="M2219">
        <v>38.6</v>
      </c>
      <c r="N2219">
        <v>28.77</v>
      </c>
    </row>
    <row r="2220" spans="1:14">
      <c r="A2220" s="1" t="s">
        <v>2232</v>
      </c>
      <c r="B2220">
        <f>HYPERLINK("https://www.suredividend.com/sure-analysis-PGR/","Progressive Corp.")</f>
        <v>0</v>
      </c>
      <c r="C2220" t="s">
        <v>3221</v>
      </c>
      <c r="D2220">
        <v>112.11</v>
      </c>
      <c r="E2220">
        <v>0.01694764071001695</v>
      </c>
      <c r="H2220">
        <v>1.893759582516569</v>
      </c>
      <c r="I2220">
        <v>65570.736819</v>
      </c>
      <c r="J2220">
        <v>19.72645512004513</v>
      </c>
      <c r="K2220">
        <v>0.334586498677839</v>
      </c>
      <c r="L2220">
        <v>0.422299590557944</v>
      </c>
      <c r="M2220">
        <v>120.17</v>
      </c>
      <c r="N2220">
        <v>87.89</v>
      </c>
    </row>
    <row r="2221" spans="1:14">
      <c r="A2221" s="1" t="s">
        <v>2233</v>
      </c>
      <c r="B2221">
        <f>HYPERLINK("https://www.suredividend.com/sure-analysis-PGRE/","Paramount Group Inc")</f>
        <v>0</v>
      </c>
      <c r="C2221" t="s">
        <v>3224</v>
      </c>
      <c r="D2221">
        <v>10.32</v>
      </c>
      <c r="E2221">
        <v>0.03003875968992248</v>
      </c>
      <c r="F2221">
        <v>0.107142857142857</v>
      </c>
      <c r="G2221">
        <v>-0.03990187965283842</v>
      </c>
      <c r="H2221">
        <v>0.284336956503128</v>
      </c>
      <c r="I2221">
        <v>2260.921307</v>
      </c>
      <c r="J2221" t="s">
        <v>3219</v>
      </c>
      <c r="K2221" t="s">
        <v>3219</v>
      </c>
      <c r="L2221">
        <v>1.102111823578422</v>
      </c>
      <c r="M2221">
        <v>11.45</v>
      </c>
      <c r="N2221">
        <v>7.67</v>
      </c>
    </row>
    <row r="2222" spans="1:14">
      <c r="A2222" s="1" t="s">
        <v>2234</v>
      </c>
      <c r="B2222">
        <f>HYPERLINK("https://www.suredividend.com/sure-analysis-research-database/","PGT Innovations Inc")</f>
        <v>0</v>
      </c>
      <c r="C2222" t="s">
        <v>3220</v>
      </c>
      <c r="D2222">
        <v>17.22</v>
      </c>
      <c r="E2222">
        <v>0</v>
      </c>
      <c r="H2222">
        <v>0</v>
      </c>
      <c r="I2222">
        <v>1031.476743</v>
      </c>
      <c r="J2222">
        <v>38.49224700302273</v>
      </c>
      <c r="K2222">
        <v>0</v>
      </c>
      <c r="L2222">
        <v>1.263058775957152</v>
      </c>
      <c r="M2222">
        <v>28.11</v>
      </c>
      <c r="N2222">
        <v>16.26</v>
      </c>
    </row>
    <row r="2223" spans="1:14">
      <c r="A2223" s="1" t="s">
        <v>2235</v>
      </c>
      <c r="B2223">
        <f>HYPERLINK("https://www.suredividend.com/sure-analysis-PH/","Parker-Hannifin Corp.")</f>
        <v>0</v>
      </c>
      <c r="C2223" t="s">
        <v>3220</v>
      </c>
      <c r="D2223">
        <v>273.87</v>
      </c>
      <c r="E2223">
        <v>0.01504363384087341</v>
      </c>
      <c r="F2223">
        <v>0.1704545454545454</v>
      </c>
      <c r="G2223">
        <v>0.09309688786454995</v>
      </c>
      <c r="H2223">
        <v>4.099982039996618</v>
      </c>
      <c r="I2223">
        <v>35186.169624</v>
      </c>
      <c r="J2223">
        <v>19.3741291284382</v>
      </c>
      <c r="K2223">
        <v>0.295387755042984</v>
      </c>
      <c r="L2223">
        <v>1.146206872977865</v>
      </c>
      <c r="M2223">
        <v>338.89</v>
      </c>
      <c r="N2223">
        <v>266.94</v>
      </c>
    </row>
    <row r="2224" spans="1:14">
      <c r="A2224" s="1" t="s">
        <v>2236</v>
      </c>
      <c r="B2224">
        <f>HYPERLINK("https://www.suredividend.com/sure-analysis-research-database/","PhaseBio Pharmaceuticals Inc")</f>
        <v>0</v>
      </c>
      <c r="C2224" t="s">
        <v>3217</v>
      </c>
      <c r="D2224">
        <v>1.27</v>
      </c>
      <c r="E2224">
        <v>0</v>
      </c>
      <c r="H2224">
        <v>0</v>
      </c>
      <c r="I2224">
        <v>61.837049</v>
      </c>
      <c r="J2224">
        <v>0</v>
      </c>
      <c r="K2224" t="s">
        <v>3219</v>
      </c>
      <c r="L2224">
        <v>1.268015415537403</v>
      </c>
      <c r="M2224">
        <v>4.24</v>
      </c>
      <c r="N2224">
        <v>0.9632000000000001</v>
      </c>
    </row>
    <row r="2225" spans="1:14">
      <c r="A2225" s="1" t="s">
        <v>2237</v>
      </c>
      <c r="B2225">
        <f>HYPERLINK("https://www.suredividend.com/sure-analysis-research-database/","Phio Pharmaceuticals Corp")</f>
        <v>0</v>
      </c>
      <c r="C2225" t="s">
        <v>3217</v>
      </c>
      <c r="D2225">
        <v>1.19</v>
      </c>
      <c r="E2225">
        <v>0</v>
      </c>
      <c r="H2225">
        <v>0</v>
      </c>
      <c r="I2225">
        <v>16.106645</v>
      </c>
      <c r="J2225">
        <v>0</v>
      </c>
      <c r="K2225" t="s">
        <v>3219</v>
      </c>
      <c r="L2225">
        <v>1.544405271753752</v>
      </c>
      <c r="M2225">
        <v>2.85</v>
      </c>
      <c r="N2225">
        <v>0.7000000000000001</v>
      </c>
    </row>
    <row r="2226" spans="1:14">
      <c r="A2226" s="1" t="s">
        <v>2238</v>
      </c>
      <c r="B2226">
        <f>HYPERLINK("https://www.suredividend.com/sure-analysis-PHM/","PulteGroup Inc")</f>
        <v>0</v>
      </c>
      <c r="C2226" t="s">
        <v>3223</v>
      </c>
      <c r="D2226">
        <v>42.21</v>
      </c>
      <c r="E2226">
        <v>0.01421464108031272</v>
      </c>
      <c r="F2226">
        <v>0.0714285714285714</v>
      </c>
      <c r="G2226">
        <v>0.1075663432482901</v>
      </c>
      <c r="H2226">
        <v>0.577444187269739</v>
      </c>
      <c r="I2226">
        <v>10190.552964</v>
      </c>
      <c r="J2226">
        <v>5.280120293411607</v>
      </c>
      <c r="K2226">
        <v>0.07771792560830942</v>
      </c>
      <c r="L2226">
        <v>1.411448750615337</v>
      </c>
      <c r="M2226">
        <v>63.18</v>
      </c>
      <c r="N2226">
        <v>39.61</v>
      </c>
    </row>
    <row r="2227" spans="1:14">
      <c r="A2227" s="1" t="s">
        <v>2239</v>
      </c>
      <c r="B2227">
        <f>HYPERLINK("https://www.suredividend.com/sure-analysis-research-database/","PHX Minerals Inc")</f>
        <v>0</v>
      </c>
      <c r="C2227" t="s">
        <v>3226</v>
      </c>
      <c r="D2227">
        <v>3.56</v>
      </c>
      <c r="E2227">
        <v>0.012555850465763</v>
      </c>
      <c r="F2227">
        <v>0.5</v>
      </c>
      <c r="G2227">
        <v>-0.1781240852413871</v>
      </c>
      <c r="H2227">
        <v>0.044698827658116</v>
      </c>
      <c r="I2227">
        <v>122.815109</v>
      </c>
      <c r="J2227">
        <v>115.6743025170194</v>
      </c>
      <c r="K2227">
        <v>1.204820152509865</v>
      </c>
      <c r="L2227">
        <v>0.8541219407401781</v>
      </c>
      <c r="M2227">
        <v>4.31</v>
      </c>
      <c r="N2227">
        <v>1.96</v>
      </c>
    </row>
    <row r="2228" spans="1:14">
      <c r="A2228" s="1" t="s">
        <v>2240</v>
      </c>
      <c r="B2228">
        <f>HYPERLINK("https://www.suredividend.com/sure-analysis-research-database/","Impinj Inc")</f>
        <v>0</v>
      </c>
      <c r="C2228" t="s">
        <v>3222</v>
      </c>
      <c r="D2228">
        <v>50.87</v>
      </c>
      <c r="E2228">
        <v>0</v>
      </c>
      <c r="H2228">
        <v>0</v>
      </c>
      <c r="I2228">
        <v>1242.801206</v>
      </c>
      <c r="J2228" t="s">
        <v>3219</v>
      </c>
      <c r="K2228">
        <v>-0</v>
      </c>
      <c r="L2228">
        <v>2.690369070241282</v>
      </c>
      <c r="M2228">
        <v>94.39</v>
      </c>
      <c r="N2228">
        <v>39.69</v>
      </c>
    </row>
    <row r="2229" spans="1:14">
      <c r="A2229" s="1" t="s">
        <v>2241</v>
      </c>
      <c r="B2229">
        <f>HYPERLINK("https://www.suredividend.com/sure-analysis-PII/","Polaris Inc")</f>
        <v>0</v>
      </c>
      <c r="C2229" t="s">
        <v>3223</v>
      </c>
      <c r="D2229">
        <v>107.24</v>
      </c>
      <c r="E2229">
        <v>0.02387168966803432</v>
      </c>
      <c r="F2229">
        <v>0.01587301587301582</v>
      </c>
      <c r="G2229">
        <v>0.01988310171094443</v>
      </c>
      <c r="H2229">
        <v>2.509916530884209</v>
      </c>
      <c r="I2229">
        <v>6378.29482</v>
      </c>
      <c r="J2229">
        <v>12.91414217501518</v>
      </c>
      <c r="K2229">
        <v>0.3185173262543413</v>
      </c>
      <c r="L2229">
        <v>1.126104480149928</v>
      </c>
      <c r="M2229">
        <v>144.7</v>
      </c>
      <c r="N2229">
        <v>99.68000000000001</v>
      </c>
    </row>
    <row r="2230" spans="1:14">
      <c r="A2230" s="1" t="s">
        <v>2242</v>
      </c>
      <c r="B2230">
        <f>HYPERLINK("https://www.suredividend.com/sure-analysis-research-database/","Premier Inc")</f>
        <v>0</v>
      </c>
      <c r="C2230" t="s">
        <v>3217</v>
      </c>
      <c r="D2230">
        <v>36.39</v>
      </c>
      <c r="E2230">
        <v>0.021536170384242</v>
      </c>
      <c r="H2230">
        <v>0.783701240282598</v>
      </c>
      <c r="I2230">
        <v>4333.426476</v>
      </c>
      <c r="J2230">
        <v>15.91638376369086</v>
      </c>
      <c r="K2230">
        <v>0.35622783649209</v>
      </c>
      <c r="L2230">
        <v>0.343257148467802</v>
      </c>
      <c r="M2230">
        <v>41.7</v>
      </c>
      <c r="N2230">
        <v>32.05</v>
      </c>
    </row>
    <row r="2231" spans="1:14">
      <c r="A2231" s="1" t="s">
        <v>2243</v>
      </c>
      <c r="B2231">
        <f>HYPERLINK("https://www.suredividend.com/sure-analysis-research-database/","Pinterest Inc")</f>
        <v>0</v>
      </c>
      <c r="C2231" t="s">
        <v>3228</v>
      </c>
      <c r="D2231">
        <v>22.16</v>
      </c>
      <c r="E2231">
        <v>0</v>
      </c>
      <c r="H2231">
        <v>0</v>
      </c>
      <c r="I2231">
        <v>13696.431555</v>
      </c>
      <c r="J2231">
        <v>43.283144105828</v>
      </c>
      <c r="K2231">
        <v>0</v>
      </c>
      <c r="L2231">
        <v>1.762432372950821</v>
      </c>
      <c r="M2231">
        <v>81.77</v>
      </c>
      <c r="N2231">
        <v>21.92</v>
      </c>
    </row>
    <row r="2232" spans="1:14">
      <c r="A2232" s="1" t="s">
        <v>2244</v>
      </c>
      <c r="B2232">
        <f>HYPERLINK("https://www.suredividend.com/sure-analysis-research-database/","PJT Partners Inc")</f>
        <v>0</v>
      </c>
      <c r="C2232" t="s">
        <v>3221</v>
      </c>
      <c r="D2232">
        <v>62.44</v>
      </c>
      <c r="E2232">
        <v>0.006333901663083</v>
      </c>
      <c r="F2232">
        <v>4</v>
      </c>
      <c r="G2232">
        <v>0.3797296614612149</v>
      </c>
      <c r="H2232">
        <v>0.3954888198429261</v>
      </c>
      <c r="I2232">
        <v>1480.74593</v>
      </c>
      <c r="J2232">
        <v>13.94719624029839</v>
      </c>
      <c r="K2232">
        <v>0.1575652668696917</v>
      </c>
      <c r="L2232">
        <v>1.095700016186798</v>
      </c>
      <c r="M2232">
        <v>89.04000000000001</v>
      </c>
      <c r="N2232">
        <v>54.48</v>
      </c>
    </row>
    <row r="2233" spans="1:14">
      <c r="A2233" s="1" t="s">
        <v>2245</v>
      </c>
      <c r="B2233">
        <f>HYPERLINK("https://www.suredividend.com/sure-analysis-research-database/","Park Hotels &amp; Resorts Inc")</f>
        <v>0</v>
      </c>
      <c r="C2233" t="s">
        <v>3224</v>
      </c>
      <c r="D2233">
        <v>19.16</v>
      </c>
      <c r="E2233">
        <v>0.000521920656392</v>
      </c>
      <c r="H2233">
        <v>0.009999999776482001</v>
      </c>
      <c r="I2233">
        <v>4525.914865</v>
      </c>
      <c r="J2233" t="s">
        <v>3219</v>
      </c>
      <c r="K2233" t="s">
        <v>3219</v>
      </c>
      <c r="L2233">
        <v>1.657134291947871</v>
      </c>
      <c r="M2233">
        <v>23.09</v>
      </c>
      <c r="N2233">
        <v>15.76</v>
      </c>
    </row>
    <row r="2234" spans="1:14">
      <c r="A2234" s="1" t="s">
        <v>2246</v>
      </c>
      <c r="B2234">
        <f>HYPERLINK("https://www.suredividend.com/sure-analysis-research-database/","Parke Bancorp Inc")</f>
        <v>0</v>
      </c>
      <c r="C2234" t="s">
        <v>3221</v>
      </c>
      <c r="D2234">
        <v>23.09</v>
      </c>
      <c r="E2234">
        <v>0.034155881951326</v>
      </c>
      <c r="F2234">
        <v>0</v>
      </c>
      <c r="G2234">
        <v>0.05922384104881218</v>
      </c>
      <c r="H2234">
        <v>0.788659314256121</v>
      </c>
      <c r="I2234">
        <v>274.947431</v>
      </c>
      <c r="J2234">
        <v>0</v>
      </c>
      <c r="K2234" t="s">
        <v>3219</v>
      </c>
      <c r="L2234">
        <v>0.318307027583058</v>
      </c>
      <c r="M2234">
        <v>24.4</v>
      </c>
      <c r="N2234">
        <v>18</v>
      </c>
    </row>
    <row r="2235" spans="1:14">
      <c r="A2235" s="1" t="s">
        <v>2247</v>
      </c>
      <c r="B2235">
        <f>HYPERLINK("https://www.suredividend.com/sure-analysis-research-database/","Park Aerospace Corp")</f>
        <v>0</v>
      </c>
      <c r="C2235" t="s">
        <v>3220</v>
      </c>
      <c r="D2235">
        <v>12.05</v>
      </c>
      <c r="E2235">
        <v>0.032824303519262</v>
      </c>
      <c r="F2235">
        <v>0</v>
      </c>
      <c r="G2235">
        <v>-0.4935043158878818</v>
      </c>
      <c r="H2235">
        <v>0.395532857407115</v>
      </c>
      <c r="I2235">
        <v>246.521431</v>
      </c>
      <c r="J2235">
        <v>32.69514993368701</v>
      </c>
      <c r="K2235">
        <v>1.07921652771382</v>
      </c>
      <c r="L2235">
        <v>0.6322215218242681</v>
      </c>
      <c r="M2235">
        <v>15.84</v>
      </c>
      <c r="N2235">
        <v>11.97</v>
      </c>
    </row>
    <row r="2236" spans="1:14">
      <c r="A2236" s="1" t="s">
        <v>2248</v>
      </c>
      <c r="B2236">
        <f>HYPERLINK("https://www.suredividend.com/sure-analysis-research-database/","Packaging Corp Of America")</f>
        <v>0</v>
      </c>
      <c r="C2236" t="s">
        <v>3223</v>
      </c>
      <c r="D2236">
        <v>163.02</v>
      </c>
      <c r="E2236">
        <v>0.024283498309407</v>
      </c>
      <c r="F2236">
        <v>0</v>
      </c>
      <c r="G2236">
        <v>0.09681123419972182</v>
      </c>
      <c r="H2236">
        <v>3.958695894399658</v>
      </c>
      <c r="I2236">
        <v>15275.595921</v>
      </c>
      <c r="J2236">
        <v>18.30070195435486</v>
      </c>
      <c r="K2236">
        <v>0.4483234308493384</v>
      </c>
      <c r="L2236">
        <v>0.512590068536395</v>
      </c>
      <c r="M2236">
        <v>164.27</v>
      </c>
      <c r="N2236">
        <v>123.95</v>
      </c>
    </row>
    <row r="2237" spans="1:14">
      <c r="A2237" s="1" t="s">
        <v>2249</v>
      </c>
      <c r="B2237">
        <f>HYPERLINK("https://www.suredividend.com/sure-analysis-research-database/","Perkinelmer, Inc.")</f>
        <v>0</v>
      </c>
      <c r="C2237" t="s">
        <v>3217</v>
      </c>
      <c r="D2237">
        <v>161.42</v>
      </c>
      <c r="E2237">
        <v>0.001300438876079</v>
      </c>
      <c r="H2237">
        <v>0.209916843376683</v>
      </c>
      <c r="I2237">
        <v>20361.476508</v>
      </c>
      <c r="J2237">
        <v>21.58863954565359</v>
      </c>
      <c r="K2237">
        <v>0.02597980734859938</v>
      </c>
      <c r="L2237">
        <v>0.878638920597632</v>
      </c>
      <c r="M2237">
        <v>203.08</v>
      </c>
      <c r="N2237">
        <v>126.59</v>
      </c>
    </row>
    <row r="2238" spans="1:14">
      <c r="A2238" s="1" t="s">
        <v>2250</v>
      </c>
      <c r="B2238">
        <f>HYPERLINK("https://www.suredividend.com/sure-analysis-research-database/","Park-Ohio Holdings Corp.")</f>
        <v>0</v>
      </c>
      <c r="C2238" t="s">
        <v>3220</v>
      </c>
      <c r="D2238">
        <v>12.57</v>
      </c>
      <c r="E2238">
        <v>0.039430358844299</v>
      </c>
      <c r="H2238">
        <v>0.4956396106728451</v>
      </c>
      <c r="I2238">
        <v>158.156356</v>
      </c>
      <c r="J2238" t="s">
        <v>3219</v>
      </c>
      <c r="K2238" t="s">
        <v>3219</v>
      </c>
      <c r="L2238">
        <v>1.099285690331107</v>
      </c>
      <c r="M2238">
        <v>37.86</v>
      </c>
      <c r="N2238">
        <v>12.19</v>
      </c>
    </row>
    <row r="2239" spans="1:14">
      <c r="A2239" s="1" t="s">
        <v>2251</v>
      </c>
      <c r="B2239">
        <f>HYPERLINK("https://www.suredividend.com/sure-analysis-research-database/","Photronics, Inc.")</f>
        <v>0</v>
      </c>
      <c r="C2239" t="s">
        <v>3222</v>
      </c>
      <c r="D2239">
        <v>15.64</v>
      </c>
      <c r="E2239">
        <v>0</v>
      </c>
      <c r="H2239">
        <v>0</v>
      </c>
      <c r="I2239">
        <v>965.448442</v>
      </c>
      <c r="J2239">
        <v>13.69877323949658</v>
      </c>
      <c r="K2239">
        <v>0</v>
      </c>
      <c r="L2239">
        <v>1.540358450959081</v>
      </c>
      <c r="M2239">
        <v>20.3</v>
      </c>
      <c r="N2239">
        <v>11.65</v>
      </c>
    </row>
    <row r="2240" spans="1:14">
      <c r="A2240" s="1" t="s">
        <v>2252</v>
      </c>
      <c r="B2240">
        <f>HYPERLINK("https://www.suredividend.com/sure-analysis-research-database/","Anaplan Inc")</f>
        <v>0</v>
      </c>
      <c r="C2240" t="s">
        <v>3222</v>
      </c>
      <c r="D2240">
        <v>65.23</v>
      </c>
      <c r="E2240">
        <v>0</v>
      </c>
      <c r="H2240">
        <v>0</v>
      </c>
      <c r="I2240">
        <v>9798.1756</v>
      </c>
      <c r="J2240" t="s">
        <v>3219</v>
      </c>
      <c r="K2240">
        <v>-0</v>
      </c>
      <c r="L2240">
        <v>1.438378570534921</v>
      </c>
      <c r="M2240">
        <v>70.25</v>
      </c>
      <c r="N2240">
        <v>39.92</v>
      </c>
    </row>
    <row r="2241" spans="1:14">
      <c r="A2241" s="1" t="s">
        <v>2253</v>
      </c>
      <c r="B2241">
        <f>HYPERLINK("https://www.suredividend.com/sure-analysis-research-database/","Dave &amp; Buster`s Entertainment Inc")</f>
        <v>0</v>
      </c>
      <c r="C2241" t="s">
        <v>3223</v>
      </c>
      <c r="D2241">
        <v>45.98</v>
      </c>
      <c r="E2241">
        <v>0</v>
      </c>
      <c r="H2241">
        <v>0</v>
      </c>
      <c r="I2241">
        <v>2233.064542</v>
      </c>
      <c r="J2241">
        <v>20.55471780246686</v>
      </c>
      <c r="K2241">
        <v>0</v>
      </c>
      <c r="L2241">
        <v>1.745178863965959</v>
      </c>
      <c r="M2241">
        <v>52.54</v>
      </c>
      <c r="N2241">
        <v>29.83</v>
      </c>
    </row>
    <row r="2242" spans="1:14">
      <c r="A2242" s="1" t="s">
        <v>2254</v>
      </c>
      <c r="B2242">
        <f>HYPERLINK("https://www.suredividend.com/sure-analysis-research-database/","Plumas Bancorp.")</f>
        <v>0</v>
      </c>
      <c r="C2242" t="s">
        <v>3221</v>
      </c>
      <c r="D2242">
        <v>35.5</v>
      </c>
      <c r="E2242">
        <v>0.016240864600307</v>
      </c>
      <c r="H2242">
        <v>0.576550693310914</v>
      </c>
      <c r="I2242">
        <v>207.059643</v>
      </c>
      <c r="J2242">
        <v>0</v>
      </c>
      <c r="K2242" t="s">
        <v>3219</v>
      </c>
      <c r="M2242">
        <v>41.3</v>
      </c>
      <c r="N2242">
        <v>26.01</v>
      </c>
    </row>
    <row r="2243" spans="1:14">
      <c r="A2243" s="1" t="s">
        <v>2255</v>
      </c>
      <c r="B2243">
        <f>HYPERLINK("https://www.suredividend.com/sure-analysis-research-database/","Childrens Place Inc")</f>
        <v>0</v>
      </c>
      <c r="C2243" t="s">
        <v>3223</v>
      </c>
      <c r="D2243">
        <v>51.7</v>
      </c>
      <c r="E2243">
        <v>0</v>
      </c>
      <c r="H2243">
        <v>0</v>
      </c>
      <c r="I2243">
        <v>698.934988</v>
      </c>
      <c r="J2243">
        <v>3.734205557484867</v>
      </c>
      <c r="K2243">
        <v>0</v>
      </c>
      <c r="L2243">
        <v>1.939087373732617</v>
      </c>
      <c r="M2243">
        <v>113.5</v>
      </c>
      <c r="N2243">
        <v>47.38</v>
      </c>
    </row>
    <row r="2244" spans="1:14">
      <c r="A2244" s="1" t="s">
        <v>2256</v>
      </c>
      <c r="B2244">
        <f>HYPERLINK("https://www.suredividend.com/sure-analysis-PLD/","Prologis Inc")</f>
        <v>0</v>
      </c>
      <c r="C2244" t="s">
        <v>3224</v>
      </c>
      <c r="D2244">
        <v>162.7</v>
      </c>
      <c r="E2244">
        <v>0.01942224953902889</v>
      </c>
      <c r="F2244">
        <v>0.253968253968254</v>
      </c>
      <c r="G2244">
        <v>0.1241774848871704</v>
      </c>
      <c r="H2244">
        <v>2.662424873805179</v>
      </c>
      <c r="I2244">
        <v>120427.571213</v>
      </c>
      <c r="J2244">
        <v>41.05152771591347</v>
      </c>
      <c r="K2244">
        <v>0.6933398108867654</v>
      </c>
      <c r="L2244">
        <v>0.6853574423630641</v>
      </c>
      <c r="M2244">
        <v>170.66</v>
      </c>
      <c r="N2244">
        <v>108.62</v>
      </c>
    </row>
    <row r="2245" spans="1:14">
      <c r="A2245" s="1" t="s">
        <v>2257</v>
      </c>
      <c r="B2245">
        <f>HYPERLINK("https://www.suredividend.com/sure-analysis-research-database/","Planet Fitness Inc")</f>
        <v>0</v>
      </c>
      <c r="C2245" t="s">
        <v>3223</v>
      </c>
      <c r="D2245">
        <v>86.29000000000001</v>
      </c>
      <c r="E2245">
        <v>0</v>
      </c>
      <c r="H2245">
        <v>0</v>
      </c>
      <c r="I2245">
        <v>7278.826928</v>
      </c>
      <c r="J2245">
        <v>170.1694236695189</v>
      </c>
      <c r="K2245">
        <v>0</v>
      </c>
      <c r="L2245">
        <v>1.30105164036691</v>
      </c>
      <c r="M2245">
        <v>99.59999999999999</v>
      </c>
      <c r="N2245">
        <v>67.89</v>
      </c>
    </row>
    <row r="2246" spans="1:14">
      <c r="A2246" s="1" t="s">
        <v>2258</v>
      </c>
      <c r="B2246">
        <f>HYPERLINK("https://www.suredividend.com/sure-analysis-research-database/","Douglas Dynamics Inc")</f>
        <v>0</v>
      </c>
      <c r="C2246" t="s">
        <v>3223</v>
      </c>
      <c r="D2246">
        <v>33.9</v>
      </c>
      <c r="E2246">
        <v>0.033374985357703</v>
      </c>
      <c r="F2246">
        <v>0.01754385964912264</v>
      </c>
      <c r="G2246">
        <v>0.03857377308425858</v>
      </c>
      <c r="H2246">
        <v>1.131412003626137</v>
      </c>
      <c r="I2246">
        <v>779.0542390000001</v>
      </c>
      <c r="J2246">
        <v>25.8067523154896</v>
      </c>
      <c r="K2246">
        <v>0.8636732852107916</v>
      </c>
      <c r="L2246">
        <v>0.996904254633687</v>
      </c>
      <c r="M2246">
        <v>45.97</v>
      </c>
      <c r="N2246">
        <v>32.15</v>
      </c>
    </row>
    <row r="2247" spans="1:14">
      <c r="A2247" s="1" t="s">
        <v>2259</v>
      </c>
      <c r="B2247">
        <f>HYPERLINK("https://www.suredividend.com/sure-analysis-research-database/","Preformed Line Products Co.")</f>
        <v>0</v>
      </c>
      <c r="C2247" t="s">
        <v>3220</v>
      </c>
      <c r="D2247">
        <v>61.47</v>
      </c>
      <c r="E2247">
        <v>0.012953125176275</v>
      </c>
      <c r="F2247">
        <v>0</v>
      </c>
      <c r="G2247">
        <v>0</v>
      </c>
      <c r="H2247">
        <v>0.796228604585632</v>
      </c>
      <c r="I2247">
        <v>303.616251</v>
      </c>
      <c r="J2247">
        <v>8.497753945814324</v>
      </c>
      <c r="K2247">
        <v>0.1107411132942464</v>
      </c>
      <c r="L2247">
        <v>0.723395304107961</v>
      </c>
      <c r="M2247">
        <v>81.06999999999999</v>
      </c>
      <c r="N2247">
        <v>54.8</v>
      </c>
    </row>
    <row r="2248" spans="1:14">
      <c r="A2248" s="1" t="s">
        <v>2260</v>
      </c>
      <c r="B2248">
        <f>HYPERLINK("https://www.suredividend.com/sure-analysis-research-database/","Pulse Biosciences Inc")</f>
        <v>0</v>
      </c>
      <c r="C2248" t="s">
        <v>3217</v>
      </c>
      <c r="D2248">
        <v>3.47</v>
      </c>
      <c r="E2248">
        <v>0</v>
      </c>
      <c r="H2248">
        <v>0</v>
      </c>
      <c r="I2248">
        <v>103.413912</v>
      </c>
      <c r="J2248">
        <v>0</v>
      </c>
      <c r="K2248" t="s">
        <v>3219</v>
      </c>
      <c r="L2248">
        <v>1.119369146376657</v>
      </c>
      <c r="M2248">
        <v>29.16</v>
      </c>
      <c r="N2248">
        <v>3.34</v>
      </c>
    </row>
    <row r="2249" spans="1:14">
      <c r="A2249" s="1" t="s">
        <v>2261</v>
      </c>
      <c r="B2249">
        <f>HYPERLINK("https://www.suredividend.com/sure-analysis-research-database/","Plug Power Inc")</f>
        <v>0</v>
      </c>
      <c r="C2249" t="s">
        <v>3220</v>
      </c>
      <c r="D2249">
        <v>25.77</v>
      </c>
      <c r="E2249">
        <v>0</v>
      </c>
      <c r="H2249">
        <v>0</v>
      </c>
      <c r="I2249">
        <v>14895.293038</v>
      </c>
      <c r="J2249" t="s">
        <v>3219</v>
      </c>
      <c r="K2249">
        <v>-0</v>
      </c>
      <c r="L2249">
        <v>1.945327864390093</v>
      </c>
      <c r="M2249">
        <v>46.5</v>
      </c>
      <c r="N2249">
        <v>17.51</v>
      </c>
    </row>
    <row r="2250" spans="1:14">
      <c r="A2250" s="1" t="s">
        <v>2262</v>
      </c>
      <c r="B2250">
        <f>HYPERLINK("https://www.suredividend.com/sure-analysis-research-database/","ePlus Inc")</f>
        <v>0</v>
      </c>
      <c r="C2250" t="s">
        <v>3222</v>
      </c>
      <c r="D2250">
        <v>55.42</v>
      </c>
      <c r="E2250">
        <v>0</v>
      </c>
      <c r="H2250">
        <v>0</v>
      </c>
      <c r="I2250">
        <v>1490.089511</v>
      </c>
      <c r="J2250">
        <v>15.37633127007058</v>
      </c>
      <c r="K2250">
        <v>0</v>
      </c>
      <c r="L2250">
        <v>1.210625878432437</v>
      </c>
      <c r="M2250">
        <v>69.73999999999999</v>
      </c>
      <c r="N2250">
        <v>42</v>
      </c>
    </row>
    <row r="2251" spans="1:14">
      <c r="A2251" s="1" t="s">
        <v>2263</v>
      </c>
      <c r="B2251">
        <f>HYPERLINK("https://www.suredividend.com/sure-analysis-research-database/","PLx Pharma Inc.")</f>
        <v>0</v>
      </c>
      <c r="C2251" t="s">
        <v>3217</v>
      </c>
      <c r="D2251">
        <v>3.51</v>
      </c>
      <c r="E2251">
        <v>0</v>
      </c>
      <c r="H2251">
        <v>0</v>
      </c>
      <c r="I2251">
        <v>96.662694</v>
      </c>
      <c r="J2251">
        <v>0</v>
      </c>
      <c r="K2251" t="s">
        <v>3219</v>
      </c>
      <c r="L2251">
        <v>1.666970838486289</v>
      </c>
      <c r="M2251">
        <v>21.5</v>
      </c>
      <c r="N2251">
        <v>3.28</v>
      </c>
    </row>
    <row r="2252" spans="1:14">
      <c r="A2252" s="1" t="s">
        <v>2264</v>
      </c>
      <c r="B2252">
        <f>HYPERLINK("https://www.suredividend.com/sure-analysis-research-database/","Plexus Corp.")</f>
        <v>0</v>
      </c>
      <c r="C2252" t="s">
        <v>3222</v>
      </c>
      <c r="D2252">
        <v>77.69</v>
      </c>
      <c r="E2252">
        <v>0</v>
      </c>
      <c r="H2252">
        <v>0</v>
      </c>
      <c r="I2252">
        <v>2182.839537</v>
      </c>
      <c r="J2252">
        <v>17.30544442038752</v>
      </c>
      <c r="K2252">
        <v>0</v>
      </c>
      <c r="L2252">
        <v>0.9663239003173191</v>
      </c>
      <c r="M2252">
        <v>101.17</v>
      </c>
      <c r="N2252">
        <v>72.88</v>
      </c>
    </row>
    <row r="2253" spans="1:14">
      <c r="A2253" s="1" t="s">
        <v>2265</v>
      </c>
      <c r="B2253">
        <f>HYPERLINK("https://www.suredividend.com/sure-analysis-research-database/","Playa Hotels &amp; Resorts N.V.")</f>
        <v>0</v>
      </c>
      <c r="C2253" t="s">
        <v>3223</v>
      </c>
      <c r="D2253">
        <v>8.34</v>
      </c>
      <c r="E2253">
        <v>0</v>
      </c>
      <c r="H2253">
        <v>0</v>
      </c>
      <c r="I2253">
        <v>1415.335263</v>
      </c>
      <c r="J2253" t="s">
        <v>3219</v>
      </c>
      <c r="K2253">
        <v>-0</v>
      </c>
      <c r="L2253">
        <v>1.278527078616889</v>
      </c>
      <c r="M2253">
        <v>9.81</v>
      </c>
      <c r="N2253">
        <v>6.13</v>
      </c>
    </row>
    <row r="2254" spans="1:14">
      <c r="A2254" s="1" t="s">
        <v>2266</v>
      </c>
      <c r="B2254">
        <f>HYPERLINK("https://www.suredividend.com/sure-analysis-PLYM/","Plymouth Industrial Reit Inc")</f>
        <v>0</v>
      </c>
      <c r="C2254" t="s">
        <v>3224</v>
      </c>
      <c r="D2254">
        <v>25.72</v>
      </c>
      <c r="E2254">
        <v>0.03421461897356144</v>
      </c>
      <c r="F2254">
        <v>0.09999999999999987</v>
      </c>
      <c r="G2254">
        <v>-0.101168503026812</v>
      </c>
      <c r="H2254">
        <v>0.84020024452326</v>
      </c>
      <c r="I2254">
        <v>939.8915929999999</v>
      </c>
      <c r="J2254">
        <v>0</v>
      </c>
      <c r="K2254" t="s">
        <v>3219</v>
      </c>
      <c r="L2254">
        <v>0.6467154166397771</v>
      </c>
      <c r="M2254">
        <v>32.11</v>
      </c>
      <c r="N2254">
        <v>16.89</v>
      </c>
    </row>
    <row r="2255" spans="1:14">
      <c r="A2255" s="1" t="s">
        <v>2267</v>
      </c>
      <c r="B2255">
        <f>HYPERLINK("https://www.suredividend.com/sure-analysis-PM/","Philip Morris International Inc")</f>
        <v>0</v>
      </c>
      <c r="C2255" t="s">
        <v>3225</v>
      </c>
      <c r="D2255">
        <v>101.77</v>
      </c>
      <c r="E2255">
        <v>0.04913039206052865</v>
      </c>
      <c r="F2255">
        <v>0.04166666666666674</v>
      </c>
      <c r="G2255">
        <v>0.03746949225212437</v>
      </c>
      <c r="H2255">
        <v>4.85389389538749</v>
      </c>
      <c r="I2255">
        <v>157751.852569</v>
      </c>
      <c r="J2255">
        <v>17.36781378060222</v>
      </c>
      <c r="K2255">
        <v>0.8325718516959674</v>
      </c>
      <c r="L2255">
        <v>0.340709949523401</v>
      </c>
      <c r="M2255">
        <v>110.98</v>
      </c>
      <c r="N2255">
        <v>83.36</v>
      </c>
    </row>
    <row r="2256" spans="1:14">
      <c r="A2256" s="1" t="s">
        <v>2268</v>
      </c>
      <c r="B2256">
        <f>HYPERLINK("https://www.suredividend.com/sure-analysis-research-database/","Pacific Mercantile Bancorp")</f>
        <v>0</v>
      </c>
      <c r="C2256" t="s">
        <v>3221</v>
      </c>
      <c r="D2256">
        <v>9.4</v>
      </c>
      <c r="E2256">
        <v>0</v>
      </c>
      <c r="H2256">
        <v>0</v>
      </c>
      <c r="I2256">
        <v>0</v>
      </c>
      <c r="J2256">
        <v>0</v>
      </c>
      <c r="K2256" t="s">
        <v>3219</v>
      </c>
    </row>
    <row r="2257" spans="1:14">
      <c r="A2257" s="1" t="s">
        <v>2269</v>
      </c>
      <c r="B2257">
        <f>HYPERLINK("https://www.suredividend.com/sure-analysis-research-database/","Psychemedics Corp.")</f>
        <v>0</v>
      </c>
      <c r="C2257" t="s">
        <v>3217</v>
      </c>
      <c r="D2257">
        <v>6.45</v>
      </c>
      <c r="E2257">
        <v>0.007751938100009001</v>
      </c>
      <c r="H2257">
        <v>0.050000000745058</v>
      </c>
      <c r="I2257">
        <v>36.059731</v>
      </c>
      <c r="J2257">
        <v>0</v>
      </c>
      <c r="K2257" t="s">
        <v>3219</v>
      </c>
      <c r="L2257">
        <v>0.5184173662778461</v>
      </c>
      <c r="M2257">
        <v>8.84</v>
      </c>
      <c r="N2257">
        <v>6.25</v>
      </c>
    </row>
    <row r="2258" spans="1:14">
      <c r="A2258" s="1" t="s">
        <v>2270</v>
      </c>
      <c r="B2258">
        <f>HYPERLINK("https://www.suredividend.com/sure-analysis-PMT/","Pennymac Mortgage Investment Trust")</f>
        <v>0</v>
      </c>
      <c r="C2258" t="s">
        <v>3224</v>
      </c>
      <c r="D2258">
        <v>15.44</v>
      </c>
      <c r="E2258">
        <v>0.1217616580310881</v>
      </c>
      <c r="F2258">
        <v>0</v>
      </c>
      <c r="G2258">
        <v>0</v>
      </c>
      <c r="H2258">
        <v>1.804228916248656</v>
      </c>
      <c r="I2258">
        <v>1503.459887</v>
      </c>
      <c r="J2258">
        <v>58.6258485786703</v>
      </c>
      <c r="K2258">
        <v>6.852369602159727</v>
      </c>
      <c r="L2258">
        <v>0.6134698228360841</v>
      </c>
      <c r="M2258">
        <v>19.42</v>
      </c>
      <c r="N2258">
        <v>14.3</v>
      </c>
    </row>
    <row r="2259" spans="1:14">
      <c r="A2259" s="1" t="s">
        <v>2271</v>
      </c>
      <c r="B2259">
        <f>HYPERLINK("https://www.suredividend.com/sure-analysis-research-database/","CPI Card Group Inc")</f>
        <v>0</v>
      </c>
      <c r="C2259" t="s">
        <v>3220</v>
      </c>
      <c r="D2259">
        <v>14.65</v>
      </c>
      <c r="E2259">
        <v>0</v>
      </c>
      <c r="H2259">
        <v>0</v>
      </c>
      <c r="I2259">
        <v>164.892577</v>
      </c>
      <c r="J2259">
        <v>0</v>
      </c>
      <c r="K2259" t="s">
        <v>3219</v>
      </c>
      <c r="M2259">
        <v>38.92</v>
      </c>
      <c r="N2259">
        <v>10.18</v>
      </c>
    </row>
    <row r="2260" spans="1:14">
      <c r="A2260" s="1" t="s">
        <v>2272</v>
      </c>
      <c r="B2260">
        <f>HYPERLINK("https://www.suredividend.com/sure-analysis-research-database/","Patriot National Bancorp Inc")</f>
        <v>0</v>
      </c>
      <c r="C2260" t="s">
        <v>3221</v>
      </c>
      <c r="D2260">
        <v>16.39</v>
      </c>
      <c r="E2260">
        <v>0</v>
      </c>
      <c r="H2260">
        <v>0</v>
      </c>
      <c r="I2260">
        <v>64.84690399999999</v>
      </c>
      <c r="J2260">
        <v>0</v>
      </c>
      <c r="K2260" t="s">
        <v>3219</v>
      </c>
      <c r="M2260">
        <v>18</v>
      </c>
      <c r="N2260">
        <v>7.89</v>
      </c>
    </row>
    <row r="2261" spans="1:14">
      <c r="A2261" s="1" t="s">
        <v>2273</v>
      </c>
      <c r="B2261">
        <f>HYPERLINK("https://www.suredividend.com/sure-analysis-PNC/","PNC Financial Services Group")</f>
        <v>0</v>
      </c>
      <c r="C2261" t="s">
        <v>3221</v>
      </c>
      <c r="D2261">
        <v>175</v>
      </c>
      <c r="E2261">
        <v>0.03428571428571429</v>
      </c>
      <c r="F2261">
        <v>0.3043478260869565</v>
      </c>
      <c r="G2261">
        <v>0.1486983549970351</v>
      </c>
      <c r="H2261">
        <v>5.198099403207691</v>
      </c>
      <c r="I2261">
        <v>73229.589825</v>
      </c>
      <c r="J2261">
        <v>13.53847103438713</v>
      </c>
      <c r="K2261">
        <v>0.4092991656069048</v>
      </c>
      <c r="L2261">
        <v>1.027779165605099</v>
      </c>
      <c r="M2261">
        <v>225.03</v>
      </c>
      <c r="N2261">
        <v>165.67</v>
      </c>
    </row>
    <row r="2262" spans="1:14">
      <c r="A2262" s="1" t="s">
        <v>2274</v>
      </c>
      <c r="B2262">
        <f>HYPERLINK("https://www.suredividend.com/sure-analysis-research-database/","Pinnacle Financial Partners Inc.")</f>
        <v>0</v>
      </c>
      <c r="C2262" t="s">
        <v>3221</v>
      </c>
      <c r="D2262">
        <v>84.93000000000001</v>
      </c>
      <c r="E2262">
        <v>0.008922458899249001</v>
      </c>
      <c r="H2262">
        <v>0.757784434313254</v>
      </c>
      <c r="I2262">
        <v>6479.407624</v>
      </c>
      <c r="J2262">
        <v>12.65185592024306</v>
      </c>
      <c r="K2262">
        <v>0.1122643606390006</v>
      </c>
      <c r="L2262">
        <v>1.238114989599629</v>
      </c>
      <c r="M2262">
        <v>111.06</v>
      </c>
      <c r="N2262">
        <v>82.56</v>
      </c>
    </row>
    <row r="2263" spans="1:14">
      <c r="A2263" s="1" t="s">
        <v>2275</v>
      </c>
      <c r="B2263">
        <f>HYPERLINK("https://www.suredividend.com/sure-analysis-research-database/","PNM Resources Inc")</f>
        <v>0</v>
      </c>
      <c r="C2263" t="s">
        <v>3227</v>
      </c>
      <c r="D2263">
        <v>48.04</v>
      </c>
      <c r="E2263">
        <v>0.027393671873502</v>
      </c>
      <c r="F2263">
        <v>0.06106870229007644</v>
      </c>
      <c r="G2263">
        <v>0.07460439685619358</v>
      </c>
      <c r="H2263">
        <v>1.315991996803043</v>
      </c>
      <c r="I2263">
        <v>4123.507347</v>
      </c>
      <c r="J2263">
        <v>21.05667366406406</v>
      </c>
      <c r="K2263">
        <v>0.5797321571819574</v>
      </c>
      <c r="L2263">
        <v>0.084420239665734</v>
      </c>
      <c r="M2263">
        <v>49.62</v>
      </c>
      <c r="N2263">
        <v>43.5</v>
      </c>
    </row>
    <row r="2264" spans="1:14">
      <c r="A2264" s="1" t="s">
        <v>2276</v>
      </c>
      <c r="B2264">
        <f>HYPERLINK("https://www.suredividend.com/sure-analysis-PNR/","Pentair plc")</f>
        <v>0</v>
      </c>
      <c r="C2264" t="s">
        <v>3220</v>
      </c>
      <c r="D2264">
        <v>52.43</v>
      </c>
      <c r="E2264">
        <v>0.01602136181575434</v>
      </c>
      <c r="F2264">
        <v>0.04999999999999982</v>
      </c>
      <c r="G2264">
        <v>-0.09451754443955329</v>
      </c>
      <c r="H2264">
        <v>0.8064434314951091</v>
      </c>
      <c r="I2264">
        <v>8671.904908</v>
      </c>
      <c r="J2264">
        <v>15.6815640286076</v>
      </c>
      <c r="K2264">
        <v>0.2443767974227604</v>
      </c>
      <c r="L2264">
        <v>1.123048353734634</v>
      </c>
      <c r="M2264">
        <v>79.93000000000001</v>
      </c>
      <c r="N2264">
        <v>52.13</v>
      </c>
    </row>
    <row r="2265" spans="1:14">
      <c r="A2265" s="1" t="s">
        <v>2277</v>
      </c>
      <c r="B2265">
        <f>HYPERLINK("https://www.suredividend.com/sure-analysis-research-database/","PrimeEnergy Resources Corp")</f>
        <v>0</v>
      </c>
      <c r="C2265" t="s">
        <v>3226</v>
      </c>
      <c r="D2265">
        <v>74</v>
      </c>
      <c r="E2265">
        <v>0</v>
      </c>
      <c r="H2265">
        <v>0</v>
      </c>
      <c r="I2265">
        <v>147.569098</v>
      </c>
      <c r="J2265">
        <v>0</v>
      </c>
      <c r="K2265" t="s">
        <v>3219</v>
      </c>
      <c r="M2265">
        <v>89.51000000000001</v>
      </c>
      <c r="N2265">
        <v>39.89</v>
      </c>
    </row>
    <row r="2266" spans="1:14">
      <c r="A2266" s="1" t="s">
        <v>2278</v>
      </c>
      <c r="B2266">
        <f>HYPERLINK("https://www.suredividend.com/sure-analysis-PNW/","Pinnacle West Capital Corp.")</f>
        <v>0</v>
      </c>
      <c r="C2266" t="s">
        <v>3227</v>
      </c>
      <c r="D2266">
        <v>77.54000000000001</v>
      </c>
      <c r="E2266">
        <v>0.04410626773278307</v>
      </c>
      <c r="F2266">
        <v>0.02409638554216853</v>
      </c>
      <c r="G2266">
        <v>0.05350238987558886</v>
      </c>
      <c r="H2266">
        <v>3.300924422778621</v>
      </c>
      <c r="I2266">
        <v>8761.737444</v>
      </c>
      <c r="J2266">
        <v>14.16107034561676</v>
      </c>
      <c r="K2266">
        <v>0.6034596750966401</v>
      </c>
      <c r="L2266">
        <v>0.237926009804353</v>
      </c>
      <c r="M2266">
        <v>85.51000000000001</v>
      </c>
      <c r="N2266">
        <v>61.23</v>
      </c>
    </row>
    <row r="2267" spans="1:14">
      <c r="A2267" s="1" t="s">
        <v>2279</v>
      </c>
      <c r="B2267">
        <f>HYPERLINK("https://www.suredividend.com/sure-analysis-research-database/","Predictive Oncology Inc")</f>
        <v>0</v>
      </c>
      <c r="C2267" t="s">
        <v>3217</v>
      </c>
      <c r="D2267">
        <v>0.779</v>
      </c>
      <c r="E2267">
        <v>0</v>
      </c>
      <c r="H2267">
        <v>0</v>
      </c>
      <c r="I2267">
        <v>51.083964</v>
      </c>
      <c r="J2267">
        <v>0</v>
      </c>
      <c r="K2267" t="s">
        <v>3219</v>
      </c>
      <c r="L2267">
        <v>0.894815431738721</v>
      </c>
      <c r="M2267">
        <v>1.64</v>
      </c>
      <c r="N2267">
        <v>0.6667000000000001</v>
      </c>
    </row>
    <row r="2268" spans="1:14">
      <c r="A2268" s="1" t="s">
        <v>2280</v>
      </c>
      <c r="B2268">
        <f>HYPERLINK("https://www.suredividend.com/sure-analysis-research-database/","Insulet Corporation")</f>
        <v>0</v>
      </c>
      <c r="C2268" t="s">
        <v>3217</v>
      </c>
      <c r="D2268">
        <v>263.5</v>
      </c>
      <c r="E2268">
        <v>0</v>
      </c>
      <c r="H2268">
        <v>0</v>
      </c>
      <c r="I2268">
        <v>18265.933305</v>
      </c>
      <c r="J2268">
        <v>1087.257934821428</v>
      </c>
      <c r="K2268">
        <v>0</v>
      </c>
      <c r="L2268">
        <v>1.549689755112068</v>
      </c>
      <c r="M2268">
        <v>324.81</v>
      </c>
      <c r="N2268">
        <v>193.7</v>
      </c>
    </row>
    <row r="2269" spans="1:14">
      <c r="A2269" s="1" t="s">
        <v>2281</v>
      </c>
      <c r="B2269">
        <f>HYPERLINK("https://www.suredividend.com/sure-analysis-research-database/","Pool Corporation")</f>
        <v>0</v>
      </c>
      <c r="C2269" t="s">
        <v>3223</v>
      </c>
      <c r="D2269">
        <v>414.06</v>
      </c>
      <c r="E2269">
        <v>0.007708628566541</v>
      </c>
      <c r="F2269">
        <v>0.3793103448275863</v>
      </c>
      <c r="G2269">
        <v>0.1667495782877901</v>
      </c>
      <c r="H2269">
        <v>3.191834744262049</v>
      </c>
      <c r="I2269">
        <v>16614.410905</v>
      </c>
      <c r="J2269">
        <v>25.70684478444321</v>
      </c>
      <c r="K2269">
        <v>0.1998644172988133</v>
      </c>
      <c r="L2269">
        <v>1.153693907112591</v>
      </c>
      <c r="M2269">
        <v>581.2</v>
      </c>
      <c r="N2269">
        <v>378.09</v>
      </c>
    </row>
    <row r="2270" spans="1:14">
      <c r="A2270" s="1" t="s">
        <v>2282</v>
      </c>
      <c r="B2270">
        <f>HYPERLINK("https://www.suredividend.com/sure-analysis-POR/","Portland General Electric Co")</f>
        <v>0</v>
      </c>
      <c r="C2270" t="s">
        <v>3227</v>
      </c>
      <c r="D2270">
        <v>54.37</v>
      </c>
      <c r="E2270">
        <v>0.0316350928821041</v>
      </c>
      <c r="F2270">
        <v>0.05521472392638027</v>
      </c>
      <c r="G2270">
        <v>0.04808838399458915</v>
      </c>
      <c r="H2270">
        <v>1.698983547254826</v>
      </c>
      <c r="I2270">
        <v>4870.104181</v>
      </c>
      <c r="J2270">
        <v>19.95944336586065</v>
      </c>
      <c r="K2270">
        <v>0.6246263041378037</v>
      </c>
      <c r="L2270">
        <v>0.310997965966976</v>
      </c>
      <c r="M2270">
        <v>57.03</v>
      </c>
      <c r="N2270">
        <v>44.28</v>
      </c>
    </row>
    <row r="2271" spans="1:14">
      <c r="A2271" s="1" t="s">
        <v>2283</v>
      </c>
      <c r="B2271">
        <f>HYPERLINK("https://www.suredividend.com/sure-analysis-research-database/","Post Holdings Inc")</f>
        <v>0</v>
      </c>
      <c r="C2271" t="s">
        <v>3225</v>
      </c>
      <c r="D2271">
        <v>74.70999999999999</v>
      </c>
      <c r="E2271">
        <v>0</v>
      </c>
      <c r="H2271">
        <v>0</v>
      </c>
      <c r="I2271">
        <v>4621.529595</v>
      </c>
      <c r="J2271">
        <v>66.40128728951149</v>
      </c>
      <c r="K2271">
        <v>0</v>
      </c>
      <c r="L2271">
        <v>0.5803430553119631</v>
      </c>
      <c r="M2271">
        <v>80.20999999999999</v>
      </c>
      <c r="N2271">
        <v>63.53</v>
      </c>
    </row>
    <row r="2272" spans="1:14">
      <c r="A2272" s="1" t="s">
        <v>2284</v>
      </c>
      <c r="B2272">
        <f>HYPERLINK("https://www.suredividend.com/sure-analysis-research-database/","Power Integrations Inc.")</f>
        <v>0</v>
      </c>
      <c r="C2272" t="s">
        <v>3222</v>
      </c>
      <c r="D2272">
        <v>81.59</v>
      </c>
      <c r="E2272">
        <v>0.007214689857296001</v>
      </c>
      <c r="F2272">
        <v>0.3846153846153846</v>
      </c>
      <c r="G2272">
        <v>0.05154749679728043</v>
      </c>
      <c r="H2272">
        <v>0.588646545456848</v>
      </c>
      <c r="I2272">
        <v>4826.762168</v>
      </c>
      <c r="J2272">
        <v>29.35754573987458</v>
      </c>
      <c r="K2272">
        <v>0.220466870957621</v>
      </c>
      <c r="L2272">
        <v>1.529277161444954</v>
      </c>
      <c r="M2272">
        <v>110.28</v>
      </c>
      <c r="N2272">
        <v>72.36</v>
      </c>
    </row>
    <row r="2273" spans="1:14">
      <c r="A2273" s="1" t="s">
        <v>2285</v>
      </c>
      <c r="B2273">
        <f>HYPERLINK("https://www.suredividend.com/sure-analysis-research-database/","Powell Industries, Inc.")</f>
        <v>0</v>
      </c>
      <c r="C2273" t="s">
        <v>3220</v>
      </c>
      <c r="D2273">
        <v>19.5</v>
      </c>
      <c r="E2273">
        <v>0.052502653115689</v>
      </c>
      <c r="F2273">
        <v>0</v>
      </c>
      <c r="G2273">
        <v>0</v>
      </c>
      <c r="H2273">
        <v>1.023801735755939</v>
      </c>
      <c r="I2273">
        <v>229.394939</v>
      </c>
      <c r="J2273" t="s">
        <v>3219</v>
      </c>
      <c r="K2273" t="s">
        <v>3219</v>
      </c>
      <c r="L2273">
        <v>0.6309766542926381</v>
      </c>
      <c r="M2273">
        <v>35.9</v>
      </c>
      <c r="N2273">
        <v>18.81</v>
      </c>
    </row>
    <row r="2274" spans="1:14">
      <c r="A2274" s="1" t="s">
        <v>2286</v>
      </c>
      <c r="B2274">
        <f>HYPERLINK("https://www.suredividend.com/sure-analysis-research-database/","Pacific Premier Bancorp, Inc.")</f>
        <v>0</v>
      </c>
      <c r="C2274" t="s">
        <v>3221</v>
      </c>
      <c r="D2274">
        <v>34.3</v>
      </c>
      <c r="E2274">
        <v>0.038005036176932</v>
      </c>
      <c r="H2274">
        <v>1.303572740868773</v>
      </c>
      <c r="I2274">
        <v>3257.973049</v>
      </c>
      <c r="J2274">
        <v>9.685624989892142</v>
      </c>
      <c r="K2274">
        <v>0.3641264639298248</v>
      </c>
      <c r="L2274">
        <v>1.0869699735501</v>
      </c>
      <c r="M2274">
        <v>46.28</v>
      </c>
      <c r="N2274">
        <v>33.33</v>
      </c>
    </row>
    <row r="2275" spans="1:14">
      <c r="A2275" s="1" t="s">
        <v>2287</v>
      </c>
      <c r="B2275">
        <f>HYPERLINK("https://www.suredividend.com/sure-analysis-research-database/","Pilgrim`s Pride Corp.")</f>
        <v>0</v>
      </c>
      <c r="C2275" t="s">
        <v>3225</v>
      </c>
      <c r="D2275">
        <v>27.38</v>
      </c>
      <c r="E2275">
        <v>0</v>
      </c>
      <c r="H2275">
        <v>0</v>
      </c>
      <c r="I2275">
        <v>6677.877135</v>
      </c>
      <c r="J2275">
        <v>215.4153914387097</v>
      </c>
      <c r="K2275">
        <v>0</v>
      </c>
      <c r="L2275">
        <v>0.6097238528388761</v>
      </c>
      <c r="M2275">
        <v>29.7</v>
      </c>
      <c r="N2275">
        <v>20.23</v>
      </c>
    </row>
    <row r="2276" spans="1:14">
      <c r="A2276" s="1" t="s">
        <v>2288</v>
      </c>
      <c r="B2276">
        <f>HYPERLINK("https://www.suredividend.com/sure-analysis-PPG/","PPG Industries, Inc.")</f>
        <v>0</v>
      </c>
      <c r="C2276" t="s">
        <v>3218</v>
      </c>
      <c r="D2276">
        <v>128.27</v>
      </c>
      <c r="E2276">
        <v>0.01839869026272706</v>
      </c>
      <c r="F2276">
        <v>0.09259259259259256</v>
      </c>
      <c r="G2276">
        <v>0.08083252207959757</v>
      </c>
      <c r="H2276">
        <v>2.297304923421764</v>
      </c>
      <c r="I2276">
        <v>30290.719481</v>
      </c>
      <c r="J2276">
        <v>21.04983980588604</v>
      </c>
      <c r="K2276">
        <v>0.3822470754445531</v>
      </c>
      <c r="L2276">
        <v>0.959752083642027</v>
      </c>
      <c r="M2276">
        <v>180.94</v>
      </c>
      <c r="N2276">
        <v>111.32</v>
      </c>
    </row>
    <row r="2277" spans="1:14">
      <c r="A2277" s="1" t="s">
        <v>2289</v>
      </c>
      <c r="B2277">
        <f>HYPERLINK("https://www.suredividend.com/sure-analysis-research-database/","Perma-Pipe International Holdings Inc")</f>
        <v>0</v>
      </c>
      <c r="C2277" t="s">
        <v>3220</v>
      </c>
      <c r="D2277">
        <v>9.550000000000001</v>
      </c>
      <c r="E2277">
        <v>0</v>
      </c>
      <c r="H2277">
        <v>0</v>
      </c>
      <c r="I2277">
        <v>77.037081</v>
      </c>
      <c r="J2277">
        <v>0</v>
      </c>
      <c r="K2277" t="s">
        <v>3219</v>
      </c>
      <c r="L2277">
        <v>0.258389855215721</v>
      </c>
      <c r="M2277">
        <v>9.94</v>
      </c>
      <c r="N2277">
        <v>5.77</v>
      </c>
    </row>
    <row r="2278" spans="1:14">
      <c r="A2278" s="1" t="s">
        <v>2290</v>
      </c>
      <c r="B2278">
        <f>HYPERLINK("https://www.suredividend.com/sure-analysis-PPL/","PPL Corp")</f>
        <v>0</v>
      </c>
      <c r="C2278" t="s">
        <v>3227</v>
      </c>
      <c r="D2278">
        <v>29.2</v>
      </c>
      <c r="E2278">
        <v>0.0273972602739726</v>
      </c>
      <c r="F2278">
        <v>-0.5180722891566265</v>
      </c>
      <c r="G2278">
        <v>-0.1272565863345541</v>
      </c>
      <c r="H2278">
        <v>1.418279021182287</v>
      </c>
      <c r="I2278">
        <v>21484.330437</v>
      </c>
      <c r="J2278" t="s">
        <v>3219</v>
      </c>
      <c r="K2278" t="s">
        <v>3219</v>
      </c>
      <c r="L2278">
        <v>0.416291581324792</v>
      </c>
      <c r="M2278">
        <v>30.2</v>
      </c>
      <c r="N2278">
        <v>25.07</v>
      </c>
    </row>
    <row r="2279" spans="1:14">
      <c r="A2279" s="1" t="s">
        <v>2291</v>
      </c>
      <c r="B2279">
        <f>HYPERLINK("https://www.suredividend.com/sure-analysis-research-database/","Pioneer Power Solutions Inc")</f>
        <v>0</v>
      </c>
      <c r="C2279" t="s">
        <v>3220</v>
      </c>
      <c r="D2279">
        <v>5.01</v>
      </c>
      <c r="E2279">
        <v>0</v>
      </c>
      <c r="H2279">
        <v>0</v>
      </c>
      <c r="I2279">
        <v>48.31917</v>
      </c>
      <c r="J2279">
        <v>0</v>
      </c>
      <c r="K2279" t="s">
        <v>3219</v>
      </c>
      <c r="L2279">
        <v>1.798150141020356</v>
      </c>
      <c r="M2279">
        <v>14.43</v>
      </c>
      <c r="N2279">
        <v>3.01</v>
      </c>
    </row>
    <row r="2280" spans="1:14">
      <c r="A2280" s="1" t="s">
        <v>2292</v>
      </c>
      <c r="B2280">
        <f>HYPERLINK("https://www.suredividend.com/sure-analysis-research-database/","Proassurance Corporation")</f>
        <v>0</v>
      </c>
      <c r="C2280" t="s">
        <v>3221</v>
      </c>
      <c r="D2280">
        <v>25.76</v>
      </c>
      <c r="E2280">
        <v>0.007740227760558001</v>
      </c>
      <c r="F2280">
        <v>0</v>
      </c>
      <c r="G2280">
        <v>-0.5967638752815099</v>
      </c>
      <c r="H2280">
        <v>0.199388267111998</v>
      </c>
      <c r="I2280">
        <v>1390.699994</v>
      </c>
      <c r="J2280">
        <v>9.649329700535651</v>
      </c>
      <c r="K2280">
        <v>0.07467725359999926</v>
      </c>
      <c r="L2280">
        <v>0.6866983586306591</v>
      </c>
      <c r="M2280">
        <v>27.61</v>
      </c>
      <c r="N2280">
        <v>19.88</v>
      </c>
    </row>
    <row r="2281" spans="1:14">
      <c r="A2281" s="1" t="s">
        <v>2293</v>
      </c>
      <c r="B2281">
        <f>HYPERLINK("https://www.suredividend.com/sure-analysis-research-database/","PRA Group Inc")</f>
        <v>0</v>
      </c>
      <c r="C2281" t="s">
        <v>3221</v>
      </c>
      <c r="D2281">
        <v>44.72</v>
      </c>
      <c r="E2281">
        <v>0</v>
      </c>
      <c r="H2281">
        <v>0</v>
      </c>
      <c r="I2281">
        <v>1819.456544</v>
      </c>
      <c r="J2281">
        <v>9.933808754408762</v>
      </c>
      <c r="K2281">
        <v>0</v>
      </c>
      <c r="L2281">
        <v>0.394029914648715</v>
      </c>
      <c r="M2281">
        <v>51</v>
      </c>
      <c r="N2281">
        <v>36.43</v>
      </c>
    </row>
    <row r="2282" spans="1:14">
      <c r="A2282" s="1" t="s">
        <v>2294</v>
      </c>
      <c r="B2282">
        <f>HYPERLINK("https://www.suredividend.com/sure-analysis-research-database/","PRA Health Sciences Inc")</f>
        <v>0</v>
      </c>
      <c r="C2282" t="s">
        <v>3217</v>
      </c>
      <c r="D2282">
        <v>165.21</v>
      </c>
      <c r="E2282">
        <v>0</v>
      </c>
      <c r="H2282">
        <v>0</v>
      </c>
      <c r="I2282">
        <v>0</v>
      </c>
      <c r="J2282">
        <v>0</v>
      </c>
      <c r="K2282">
        <v>0</v>
      </c>
    </row>
    <row r="2283" spans="1:14">
      <c r="A2283" s="1" t="s">
        <v>2295</v>
      </c>
      <c r="B2283">
        <f>HYPERLINK("https://www.suredividend.com/sure-analysis-research-database/","Perceptron, Inc.")</f>
        <v>0</v>
      </c>
      <c r="C2283" t="s">
        <v>3222</v>
      </c>
      <c r="D2283">
        <v>6.975</v>
      </c>
      <c r="E2283">
        <v>0</v>
      </c>
      <c r="H2283">
        <v>0</v>
      </c>
      <c r="I2283">
        <v>0</v>
      </c>
      <c r="J2283">
        <v>0</v>
      </c>
      <c r="K2283" t="s">
        <v>3219</v>
      </c>
    </row>
    <row r="2284" spans="1:14">
      <c r="A2284" s="1" t="s">
        <v>2296</v>
      </c>
      <c r="B2284">
        <f>HYPERLINK("https://www.suredividend.com/sure-analysis-research-database/","Perficient Inc.")</f>
        <v>0</v>
      </c>
      <c r="C2284" t="s">
        <v>3222</v>
      </c>
      <c r="D2284">
        <v>108.08</v>
      </c>
      <c r="E2284">
        <v>0</v>
      </c>
      <c r="H2284">
        <v>0</v>
      </c>
      <c r="I2284">
        <v>3744.161184</v>
      </c>
      <c r="J2284">
        <v>71.87731438904993</v>
      </c>
      <c r="K2284">
        <v>0</v>
      </c>
      <c r="L2284">
        <v>1.637530561761722</v>
      </c>
      <c r="M2284">
        <v>153.28</v>
      </c>
      <c r="N2284">
        <v>62.33</v>
      </c>
    </row>
    <row r="2285" spans="1:14">
      <c r="A2285" s="1" t="s">
        <v>2297</v>
      </c>
      <c r="B2285">
        <f>HYPERLINK("https://www.suredividend.com/sure-analysis-PRGO/","Perrigo Company plc")</f>
        <v>0</v>
      </c>
      <c r="C2285" t="s">
        <v>3217</v>
      </c>
      <c r="D2285">
        <v>35.98</v>
      </c>
      <c r="E2285">
        <v>0.02890494719288494</v>
      </c>
      <c r="F2285">
        <v>0.08333333333333348</v>
      </c>
      <c r="G2285">
        <v>0.1019722877214801</v>
      </c>
      <c r="H2285">
        <v>0.9700621958209781</v>
      </c>
      <c r="I2285">
        <v>4840.829759</v>
      </c>
      <c r="J2285" t="s">
        <v>3219</v>
      </c>
      <c r="K2285" t="s">
        <v>3219</v>
      </c>
      <c r="L2285">
        <v>0.4577951656540251</v>
      </c>
      <c r="M2285">
        <v>50.18</v>
      </c>
      <c r="N2285">
        <v>34.27</v>
      </c>
    </row>
    <row r="2286" spans="1:14">
      <c r="A2286" s="1" t="s">
        <v>2298</v>
      </c>
      <c r="B2286">
        <f>HYPERLINK("https://www.suredividend.com/sure-analysis-research-database/","Progress Software Corp.")</f>
        <v>0</v>
      </c>
      <c r="C2286" t="s">
        <v>3222</v>
      </c>
      <c r="D2286">
        <v>47.48</v>
      </c>
      <c r="E2286">
        <v>0.014659620903497</v>
      </c>
      <c r="F2286">
        <v>0</v>
      </c>
      <c r="G2286">
        <v>0.06961037572506878</v>
      </c>
      <c r="H2286">
        <v>0.6960388004980661</v>
      </c>
      <c r="I2286">
        <v>2078.022025</v>
      </c>
      <c r="J2286">
        <v>26.00355417516549</v>
      </c>
      <c r="K2286">
        <v>0.388848491898361</v>
      </c>
      <c r="L2286">
        <v>1.024225857500495</v>
      </c>
      <c r="M2286">
        <v>53.59</v>
      </c>
      <c r="N2286">
        <v>41.35</v>
      </c>
    </row>
    <row r="2287" spans="1:14">
      <c r="A2287" s="1" t="s">
        <v>2299</v>
      </c>
      <c r="B2287">
        <f>HYPERLINK("https://www.suredividend.com/sure-analysis-research-database/","PRGX Global Inc")</f>
        <v>0</v>
      </c>
      <c r="C2287" t="s">
        <v>3220</v>
      </c>
      <c r="D2287">
        <v>7.71</v>
      </c>
      <c r="E2287">
        <v>0</v>
      </c>
      <c r="H2287">
        <v>0</v>
      </c>
      <c r="I2287">
        <v>0</v>
      </c>
      <c r="J2287">
        <v>0</v>
      </c>
      <c r="K2287">
        <v>-0</v>
      </c>
    </row>
    <row r="2288" spans="1:14">
      <c r="A2288" s="1" t="s">
        <v>2300</v>
      </c>
      <c r="B2288">
        <f>HYPERLINK("https://www.suredividend.com/sure-analysis-research-database/","Primerica Inc")</f>
        <v>0</v>
      </c>
      <c r="C2288" t="s">
        <v>3221</v>
      </c>
      <c r="D2288">
        <v>134</v>
      </c>
      <c r="E2288">
        <v>0.014553114496721</v>
      </c>
      <c r="F2288">
        <v>0.1702127659574468</v>
      </c>
      <c r="G2288">
        <v>0.2368636255500616</v>
      </c>
      <c r="H2288">
        <v>1.950117342560731</v>
      </c>
      <c r="I2288">
        <v>5217.02669</v>
      </c>
      <c r="J2288">
        <v>14.03090357265803</v>
      </c>
      <c r="K2288">
        <v>0.2079016356674553</v>
      </c>
      <c r="L2288">
        <v>1.014177307062928</v>
      </c>
      <c r="M2288">
        <v>178.26</v>
      </c>
      <c r="N2288">
        <v>121.22</v>
      </c>
    </row>
    <row r="2289" spans="1:14">
      <c r="A2289" s="1" t="s">
        <v>2301</v>
      </c>
      <c r="B2289">
        <f>HYPERLINK("https://www.suredividend.com/sure-analysis-research-database/","Primoris Services Corp")</f>
        <v>0</v>
      </c>
      <c r="C2289" t="s">
        <v>3220</v>
      </c>
      <c r="D2289">
        <v>27.32</v>
      </c>
      <c r="E2289">
        <v>0.008752740806083001</v>
      </c>
      <c r="F2289">
        <v>0</v>
      </c>
      <c r="G2289">
        <v>0.01755457717558762</v>
      </c>
      <c r="H2289">
        <v>0.2391248788222</v>
      </c>
      <c r="I2289">
        <v>1456.378276</v>
      </c>
      <c r="J2289">
        <v>12.59722929063844</v>
      </c>
      <c r="K2289">
        <v>0.1101957966922581</v>
      </c>
      <c r="L2289">
        <v>1.071146725275663</v>
      </c>
      <c r="M2289">
        <v>34.62</v>
      </c>
      <c r="N2289">
        <v>21.37</v>
      </c>
    </row>
    <row r="2290" spans="1:14">
      <c r="A2290" s="1" t="s">
        <v>2302</v>
      </c>
      <c r="B2290">
        <f>HYPERLINK("https://www.suredividend.com/sure-analysis-research-database/","Park National Corp.")</f>
        <v>0</v>
      </c>
      <c r="C2290" t="s">
        <v>3221</v>
      </c>
      <c r="D2290">
        <v>119.43</v>
      </c>
      <c r="E2290">
        <v>0.03428067185434</v>
      </c>
      <c r="F2290">
        <v>0.009708737864077666</v>
      </c>
      <c r="G2290">
        <v>0.3298990204194987</v>
      </c>
      <c r="H2290">
        <v>4.094140639563894</v>
      </c>
      <c r="I2290">
        <v>1937.030751</v>
      </c>
      <c r="J2290">
        <v>12.5826155515931</v>
      </c>
      <c r="K2290">
        <v>0.4369413702843003</v>
      </c>
      <c r="L2290">
        <v>0.8909665845740811</v>
      </c>
      <c r="M2290">
        <v>144.2</v>
      </c>
      <c r="N2290">
        <v>106.58</v>
      </c>
    </row>
    <row r="2291" spans="1:14">
      <c r="A2291" s="1" t="s">
        <v>2303</v>
      </c>
      <c r="B2291">
        <f>HYPERLINK("https://www.suredividend.com/sure-analysis-research-database/","Proto Labs Inc")</f>
        <v>0</v>
      </c>
      <c r="C2291" t="s">
        <v>3220</v>
      </c>
      <c r="D2291">
        <v>47.33</v>
      </c>
      <c r="E2291">
        <v>0</v>
      </c>
      <c r="H2291">
        <v>0</v>
      </c>
      <c r="I2291">
        <v>1301.026587</v>
      </c>
      <c r="J2291">
        <v>38.98557435245115</v>
      </c>
      <c r="K2291">
        <v>0</v>
      </c>
      <c r="L2291">
        <v>1.123750419415368</v>
      </c>
      <c r="M2291">
        <v>116.62</v>
      </c>
      <c r="N2291">
        <v>45.63</v>
      </c>
    </row>
    <row r="2292" spans="1:14">
      <c r="A2292" s="1" t="s">
        <v>2304</v>
      </c>
      <c r="B2292">
        <f>HYPERLINK("https://www.suredividend.com/sure-analysis-research-database/","Primo Water Corporation")</f>
        <v>0</v>
      </c>
      <c r="C2292" t="s">
        <v>3225</v>
      </c>
      <c r="D2292">
        <v>14.52</v>
      </c>
      <c r="E2292">
        <v>0.015489867385358</v>
      </c>
      <c r="F2292">
        <v>0.1878652045145284</v>
      </c>
      <c r="G2292">
        <v>0.08214829666546475</v>
      </c>
      <c r="H2292">
        <v>0.224912874435405</v>
      </c>
      <c r="I2292">
        <v>2329.63827</v>
      </c>
      <c r="J2292">
        <v>0</v>
      </c>
      <c r="K2292" t="s">
        <v>3219</v>
      </c>
      <c r="M2292">
        <v>18.52</v>
      </c>
      <c r="N2292">
        <v>13.27</v>
      </c>
    </row>
    <row r="2293" spans="1:14">
      <c r="A2293" s="1" t="s">
        <v>2305</v>
      </c>
      <c r="B2293">
        <f>HYPERLINK("https://www.suredividend.com/sure-analysis-research-database/","Pros Holdings Inc")</f>
        <v>0</v>
      </c>
      <c r="C2293" t="s">
        <v>3222</v>
      </c>
      <c r="D2293">
        <v>30.1</v>
      </c>
      <c r="E2293">
        <v>0</v>
      </c>
      <c r="H2293">
        <v>0</v>
      </c>
      <c r="I2293">
        <v>1359.893438</v>
      </c>
      <c r="J2293" t="s">
        <v>3219</v>
      </c>
      <c r="K2293">
        <v>-0</v>
      </c>
      <c r="L2293">
        <v>1.732515570002343</v>
      </c>
      <c r="M2293">
        <v>50.9</v>
      </c>
      <c r="N2293">
        <v>23.08</v>
      </c>
    </row>
    <row r="2294" spans="1:14">
      <c r="A2294" s="1" t="s">
        <v>2306</v>
      </c>
      <c r="B2294">
        <f>HYPERLINK("https://www.suredividend.com/sure-analysis-research-database/","Provident Financial Holdings, Inc.")</f>
        <v>0</v>
      </c>
      <c r="C2294" t="s">
        <v>3221</v>
      </c>
      <c r="D2294">
        <v>15.72</v>
      </c>
      <c r="E2294">
        <v>0.035184580988827</v>
      </c>
      <c r="F2294">
        <v>0</v>
      </c>
      <c r="G2294">
        <v>0.01493197894539389</v>
      </c>
      <c r="H2294">
        <v>0.553101613144369</v>
      </c>
      <c r="I2294">
        <v>115.849593</v>
      </c>
      <c r="J2294">
        <v>11.78411079646018</v>
      </c>
      <c r="K2294">
        <v>0.4254627793418223</v>
      </c>
      <c r="M2294">
        <v>18.03</v>
      </c>
      <c r="N2294">
        <v>14.03</v>
      </c>
    </row>
    <row r="2295" spans="1:14">
      <c r="A2295" s="1" t="s">
        <v>2307</v>
      </c>
      <c r="B2295">
        <f>HYPERLINK("https://www.suredividend.com/sure-analysis-research-database/","ProPhase Labs Inc")</f>
        <v>0</v>
      </c>
      <c r="C2295" t="s">
        <v>3217</v>
      </c>
      <c r="D2295">
        <v>8.31</v>
      </c>
      <c r="E2295">
        <v>0</v>
      </c>
      <c r="H2295">
        <v>0</v>
      </c>
      <c r="I2295">
        <v>128.687829</v>
      </c>
      <c r="J2295">
        <v>0</v>
      </c>
      <c r="K2295" t="s">
        <v>3219</v>
      </c>
      <c r="L2295">
        <v>0.747126775605459</v>
      </c>
      <c r="M2295">
        <v>8.5</v>
      </c>
      <c r="N2295">
        <v>4.01</v>
      </c>
    </row>
    <row r="2296" spans="1:14">
      <c r="A2296" s="1" t="s">
        <v>2308</v>
      </c>
      <c r="B2296">
        <f>HYPERLINK("https://www.suredividend.com/sure-analysis-research-database/","Providence Service Corp")</f>
        <v>0</v>
      </c>
      <c r="C2296" t="s">
        <v>3217</v>
      </c>
      <c r="D2296">
        <v>155.58</v>
      </c>
      <c r="E2296">
        <v>0</v>
      </c>
      <c r="H2296">
        <v>0</v>
      </c>
      <c r="I2296">
        <v>2206.689778</v>
      </c>
      <c r="J2296">
        <v>75.23917548228717</v>
      </c>
      <c r="K2296">
        <v>0</v>
      </c>
      <c r="L2296">
        <v>0.7972693090378321</v>
      </c>
      <c r="M2296">
        <v>155.58</v>
      </c>
      <c r="N2296">
        <v>46.57</v>
      </c>
    </row>
    <row r="2297" spans="1:14">
      <c r="A2297" s="1" t="s">
        <v>2309</v>
      </c>
      <c r="B2297">
        <f>HYPERLINK("https://www.suredividend.com/sure-analysis-research-database/","Perspecta Inc")</f>
        <v>0</v>
      </c>
      <c r="C2297" t="s">
        <v>3222</v>
      </c>
      <c r="D2297">
        <v>29.34</v>
      </c>
      <c r="E2297">
        <v>0.009503252611051</v>
      </c>
      <c r="H2297">
        <v>0.278825431608245</v>
      </c>
      <c r="I2297">
        <v>4725.820411</v>
      </c>
      <c r="J2297" t="s">
        <v>3219</v>
      </c>
      <c r="K2297" t="s">
        <v>3219</v>
      </c>
      <c r="L2297">
        <v>0.943665960950074</v>
      </c>
      <c r="M2297">
        <v>29.55</v>
      </c>
      <c r="N2297">
        <v>17.26</v>
      </c>
    </row>
    <row r="2298" spans="1:14">
      <c r="A2298" s="1" t="s">
        <v>2310</v>
      </c>
      <c r="B2298">
        <f>HYPERLINK("https://www.suredividend.com/sure-analysis-research-database/","Prothena Corporation plc")</f>
        <v>0</v>
      </c>
      <c r="C2298" t="s">
        <v>3217</v>
      </c>
      <c r="D2298">
        <v>36.15</v>
      </c>
      <c r="E2298">
        <v>0</v>
      </c>
      <c r="H2298">
        <v>0</v>
      </c>
      <c r="I2298">
        <v>1689.699188</v>
      </c>
      <c r="J2298">
        <v>25.22880459798432</v>
      </c>
      <c r="K2298">
        <v>0</v>
      </c>
      <c r="L2298">
        <v>1.641129503057601</v>
      </c>
      <c r="M2298">
        <v>79.75</v>
      </c>
      <c r="N2298">
        <v>21.3</v>
      </c>
    </row>
    <row r="2299" spans="1:14">
      <c r="A2299" s="1" t="s">
        <v>2311</v>
      </c>
      <c r="B2299">
        <f>HYPERLINK("https://www.suredividend.com/sure-analysis-research-database/","Paratek Pharmaceuticals Inc.")</f>
        <v>0</v>
      </c>
      <c r="C2299" t="s">
        <v>3217</v>
      </c>
      <c r="D2299">
        <v>2.55</v>
      </c>
      <c r="E2299">
        <v>0</v>
      </c>
      <c r="H2299">
        <v>0</v>
      </c>
      <c r="I2299">
        <v>133.533741</v>
      </c>
      <c r="J2299" t="s">
        <v>3219</v>
      </c>
      <c r="K2299">
        <v>-0</v>
      </c>
      <c r="L2299">
        <v>0.937582496562203</v>
      </c>
      <c r="M2299">
        <v>11.24</v>
      </c>
      <c r="N2299">
        <v>2.53</v>
      </c>
    </row>
    <row r="2300" spans="1:14">
      <c r="A2300" s="1" t="s">
        <v>2312</v>
      </c>
      <c r="B2300">
        <f>HYPERLINK("https://www.suredividend.com/sure-analysis-research-database/","CarParts.com Inc")</f>
        <v>0</v>
      </c>
      <c r="C2300" t="s">
        <v>3223</v>
      </c>
      <c r="D2300">
        <v>7.07</v>
      </c>
      <c r="E2300">
        <v>0</v>
      </c>
      <c r="H2300">
        <v>0</v>
      </c>
      <c r="I2300">
        <v>375.409739</v>
      </c>
      <c r="J2300" t="s">
        <v>3219</v>
      </c>
      <c r="K2300">
        <v>-0</v>
      </c>
      <c r="L2300">
        <v>1.712364250400501</v>
      </c>
      <c r="M2300">
        <v>20.74</v>
      </c>
      <c r="N2300">
        <v>5.9</v>
      </c>
    </row>
    <row r="2301" spans="1:14">
      <c r="A2301" s="1" t="s">
        <v>2313</v>
      </c>
      <c r="B2301">
        <f>HYPERLINK("https://www.suredividend.com/sure-analysis-research-database/","Party City Holdco Inc")</f>
        <v>0</v>
      </c>
      <c r="C2301" t="s">
        <v>3223</v>
      </c>
      <c r="D2301">
        <v>3.82</v>
      </c>
      <c r="E2301">
        <v>0</v>
      </c>
      <c r="H2301">
        <v>0</v>
      </c>
      <c r="I2301">
        <v>429.566304</v>
      </c>
      <c r="J2301" t="s">
        <v>3219</v>
      </c>
      <c r="K2301">
        <v>-0</v>
      </c>
      <c r="L2301">
        <v>2.767096351302266</v>
      </c>
      <c r="M2301">
        <v>11.06</v>
      </c>
      <c r="N2301">
        <v>3.12</v>
      </c>
    </row>
    <row r="2302" spans="1:14">
      <c r="A2302" s="1" t="s">
        <v>2314</v>
      </c>
      <c r="B2302">
        <f>HYPERLINK("https://www.suredividend.com/sure-analysis-PRU/","Prudential Financial Inc.")</f>
        <v>0</v>
      </c>
      <c r="C2302" t="s">
        <v>3221</v>
      </c>
      <c r="D2302">
        <v>117.24</v>
      </c>
      <c r="E2302">
        <v>0.04094165813715456</v>
      </c>
      <c r="F2302">
        <v>0.04347826086956519</v>
      </c>
      <c r="G2302">
        <v>0.09856054330611763</v>
      </c>
      <c r="H2302">
        <v>4.57846647074787</v>
      </c>
      <c r="I2302">
        <v>44082.24</v>
      </c>
      <c r="J2302">
        <v>5.79343409120778</v>
      </c>
      <c r="K2302">
        <v>0.2346728073166514</v>
      </c>
      <c r="L2302">
        <v>1.018300143625705</v>
      </c>
      <c r="M2302">
        <v>122.98</v>
      </c>
      <c r="N2302">
        <v>91.28</v>
      </c>
    </row>
    <row r="2303" spans="1:14">
      <c r="A2303" s="1" t="s">
        <v>2315</v>
      </c>
      <c r="B2303">
        <f>HYPERLINK("https://www.suredividend.com/sure-analysis-research-database/","Provention Bio Inc")</f>
        <v>0</v>
      </c>
      <c r="C2303" t="s">
        <v>3217</v>
      </c>
      <c r="D2303">
        <v>6.47</v>
      </c>
      <c r="E2303">
        <v>0</v>
      </c>
      <c r="H2303">
        <v>0</v>
      </c>
      <c r="I2303">
        <v>410.193497</v>
      </c>
      <c r="J2303">
        <v>0</v>
      </c>
      <c r="K2303" t="s">
        <v>3219</v>
      </c>
      <c r="M2303">
        <v>11.49</v>
      </c>
      <c r="N2303">
        <v>3.4</v>
      </c>
    </row>
    <row r="2304" spans="1:14">
      <c r="A2304" s="1" t="s">
        <v>2316</v>
      </c>
      <c r="B2304">
        <f>HYPERLINK("https://www.suredividend.com/sure-analysis-research-database/","Pluralsight Inc")</f>
        <v>0</v>
      </c>
      <c r="C2304" t="s">
        <v>3222</v>
      </c>
      <c r="D2304">
        <v>22.45</v>
      </c>
      <c r="E2304">
        <v>0</v>
      </c>
      <c r="H2304">
        <v>0</v>
      </c>
      <c r="I2304">
        <v>0</v>
      </c>
      <c r="J2304">
        <v>0</v>
      </c>
      <c r="K2304">
        <v>-0</v>
      </c>
    </row>
    <row r="2305" spans="1:14">
      <c r="A2305" s="1" t="s">
        <v>2317</v>
      </c>
      <c r="B2305">
        <f>HYPERLINK("https://www.suredividend.com/sure-analysis-PSA/","Public Storage")</f>
        <v>0</v>
      </c>
      <c r="C2305" t="s">
        <v>3224</v>
      </c>
      <c r="D2305">
        <v>408.5</v>
      </c>
      <c r="E2305">
        <v>0.01958384332925336</v>
      </c>
      <c r="F2305">
        <v>0</v>
      </c>
      <c r="G2305">
        <v>0</v>
      </c>
      <c r="H2305">
        <v>7.931961888525244</v>
      </c>
      <c r="I2305">
        <v>71633.222163</v>
      </c>
      <c r="J2305">
        <v>41.34807368232394</v>
      </c>
      <c r="K2305">
        <v>0.8036435550684138</v>
      </c>
      <c r="L2305">
        <v>0.41068431625465</v>
      </c>
      <c r="M2305">
        <v>411.89</v>
      </c>
      <c r="N2305">
        <v>259.23</v>
      </c>
    </row>
    <row r="2306" spans="1:14">
      <c r="A2306" s="1" t="s">
        <v>2318</v>
      </c>
      <c r="B2306">
        <f>HYPERLINK("https://www.suredividend.com/sure-analysis-PSB/","PS Business Parks, Inc.")</f>
        <v>0</v>
      </c>
      <c r="C2306" t="s">
        <v>3224</v>
      </c>
      <c r="D2306">
        <v>165.68</v>
      </c>
      <c r="E2306">
        <v>0.02535007242877837</v>
      </c>
      <c r="F2306">
        <v>0</v>
      </c>
      <c r="G2306">
        <v>0.04316756381013498</v>
      </c>
      <c r="H2306">
        <v>4.11829368868711</v>
      </c>
      <c r="I2306">
        <v>4573.783121</v>
      </c>
      <c r="J2306">
        <v>11.63551958177304</v>
      </c>
      <c r="K2306">
        <v>0.2896127769822159</v>
      </c>
      <c r="L2306">
        <v>0.641880400400598</v>
      </c>
      <c r="M2306">
        <v>187.97</v>
      </c>
      <c r="N2306">
        <v>141.32</v>
      </c>
    </row>
    <row r="2307" spans="1:14">
      <c r="A2307" s="1" t="s">
        <v>2319</v>
      </c>
      <c r="B2307">
        <f>HYPERLINK("https://www.suredividend.com/sure-analysis-research-database/","Pricesmart Inc.")</f>
        <v>0</v>
      </c>
      <c r="C2307" t="s">
        <v>3225</v>
      </c>
      <c r="D2307">
        <v>81.87</v>
      </c>
      <c r="E2307">
        <v>0.009501185889171001</v>
      </c>
      <c r="H2307">
        <v>0.777862088746435</v>
      </c>
      <c r="I2307">
        <v>2527.649304</v>
      </c>
      <c r="J2307">
        <v>24.63163678945214</v>
      </c>
      <c r="K2307">
        <v>0.2308196109039866</v>
      </c>
      <c r="L2307">
        <v>0.7659958129683101</v>
      </c>
      <c r="M2307">
        <v>94.5</v>
      </c>
      <c r="N2307">
        <v>66.36</v>
      </c>
    </row>
    <row r="2308" spans="1:14">
      <c r="A2308" s="1" t="s">
        <v>2320</v>
      </c>
      <c r="B2308">
        <f>HYPERLINK("https://www.suredividend.com/sure-analysis-research-database/","Parsons Corp")</f>
        <v>0</v>
      </c>
      <c r="C2308" t="s">
        <v>3220</v>
      </c>
      <c r="D2308">
        <v>39.68</v>
      </c>
      <c r="E2308">
        <v>0</v>
      </c>
      <c r="H2308">
        <v>0</v>
      </c>
      <c r="I2308">
        <v>4061.671068</v>
      </c>
      <c r="J2308">
        <v>63.39229410912723</v>
      </c>
      <c r="K2308">
        <v>0</v>
      </c>
      <c r="L2308">
        <v>0.711966864834192</v>
      </c>
      <c r="M2308">
        <v>44.94</v>
      </c>
      <c r="N2308">
        <v>29.25</v>
      </c>
    </row>
    <row r="2309" spans="1:14">
      <c r="A2309" s="1" t="s">
        <v>2321</v>
      </c>
      <c r="B2309">
        <f>HYPERLINK("https://www.suredividend.com/sure-analysis-research-database/","Pure Storage Inc")</f>
        <v>0</v>
      </c>
      <c r="C2309" t="s">
        <v>3222</v>
      </c>
      <c r="D2309">
        <v>30.73</v>
      </c>
      <c r="E2309">
        <v>0</v>
      </c>
      <c r="H2309">
        <v>0</v>
      </c>
      <c r="I2309">
        <v>9172.87218</v>
      </c>
      <c r="J2309" t="s">
        <v>3219</v>
      </c>
      <c r="K2309">
        <v>-0</v>
      </c>
      <c r="L2309">
        <v>1.545756308147417</v>
      </c>
      <c r="M2309">
        <v>36.71</v>
      </c>
      <c r="N2309">
        <v>16.79</v>
      </c>
    </row>
    <row r="2310" spans="1:14">
      <c r="A2310" s="1" t="s">
        <v>2322</v>
      </c>
      <c r="B2310">
        <f>HYPERLINK("https://www.suredividend.com/sure-analysis-research-database/","Plus Therapeutics Inc")</f>
        <v>0</v>
      </c>
      <c r="C2310" t="s">
        <v>3217</v>
      </c>
      <c r="D2310">
        <v>0.9091</v>
      </c>
      <c r="E2310">
        <v>0</v>
      </c>
      <c r="H2310">
        <v>0</v>
      </c>
      <c r="I2310">
        <v>20.159315</v>
      </c>
      <c r="J2310" t="s">
        <v>3219</v>
      </c>
      <c r="K2310">
        <v>-0</v>
      </c>
      <c r="L2310">
        <v>0.8334998371848381</v>
      </c>
      <c r="M2310">
        <v>3.54</v>
      </c>
      <c r="N2310">
        <v>0.8118000000000001</v>
      </c>
    </row>
    <row r="2311" spans="1:14">
      <c r="A2311" s="1" t="s">
        <v>2323</v>
      </c>
      <c r="B2311">
        <f>HYPERLINK("https://www.suredividend.com/sure-analysis-PSX/","Phillips 66")</f>
        <v>0</v>
      </c>
      <c r="C2311" t="s">
        <v>3226</v>
      </c>
      <c r="D2311">
        <v>82.84999999999999</v>
      </c>
      <c r="E2311">
        <v>0.04441762220881111</v>
      </c>
      <c r="F2311">
        <v>0.02222222222222214</v>
      </c>
      <c r="G2311">
        <v>0.05618004403862731</v>
      </c>
      <c r="H2311">
        <v>3.579461048061832</v>
      </c>
      <c r="I2311">
        <v>39858.002192</v>
      </c>
      <c r="J2311">
        <v>30.5191440979709</v>
      </c>
      <c r="K2311">
        <v>1.205205740088159</v>
      </c>
      <c r="L2311">
        <v>0.6188905036925301</v>
      </c>
      <c r="M2311">
        <v>92.56</v>
      </c>
      <c r="N2311">
        <v>61.79</v>
      </c>
    </row>
    <row r="2312" spans="1:14">
      <c r="A2312" s="1" t="s">
        <v>2324</v>
      </c>
      <c r="B2312">
        <f>HYPERLINK("https://www.suredividend.com/sure-analysis-research-database/","PTC Inc")</f>
        <v>0</v>
      </c>
      <c r="C2312" t="s">
        <v>3222</v>
      </c>
      <c r="D2312">
        <v>98.70999999999999</v>
      </c>
      <c r="E2312">
        <v>0</v>
      </c>
      <c r="H2312">
        <v>0</v>
      </c>
      <c r="I2312">
        <v>11635.132485</v>
      </c>
      <c r="J2312">
        <v>23.29369843086145</v>
      </c>
      <c r="K2312">
        <v>0</v>
      </c>
      <c r="L2312">
        <v>1.287607089919416</v>
      </c>
      <c r="M2312">
        <v>153.73</v>
      </c>
      <c r="N2312">
        <v>98.59999999999999</v>
      </c>
    </row>
    <row r="2313" spans="1:14">
      <c r="A2313" s="1" t="s">
        <v>2325</v>
      </c>
      <c r="B2313">
        <f>HYPERLINK("https://www.suredividend.com/sure-analysis-research-database/","PTC Therapeutics Inc")</f>
        <v>0</v>
      </c>
      <c r="C2313" t="s">
        <v>3217</v>
      </c>
      <c r="D2313">
        <v>44.5</v>
      </c>
      <c r="E2313">
        <v>0</v>
      </c>
      <c r="H2313">
        <v>0</v>
      </c>
      <c r="I2313">
        <v>3175.62996</v>
      </c>
      <c r="J2313" t="s">
        <v>3219</v>
      </c>
      <c r="K2313">
        <v>-0</v>
      </c>
      <c r="L2313">
        <v>0.867354471322456</v>
      </c>
      <c r="M2313">
        <v>48.72</v>
      </c>
      <c r="N2313">
        <v>32.45</v>
      </c>
    </row>
    <row r="2314" spans="1:14">
      <c r="A2314" s="1" t="s">
        <v>2326</v>
      </c>
      <c r="B2314">
        <f>HYPERLINK("https://www.suredividend.com/sure-analysis-research-database/","PolarityTE Inc")</f>
        <v>0</v>
      </c>
      <c r="C2314" t="s">
        <v>3217</v>
      </c>
      <c r="D2314">
        <v>0.27</v>
      </c>
      <c r="E2314">
        <v>0</v>
      </c>
      <c r="H2314">
        <v>0</v>
      </c>
      <c r="I2314">
        <v>24.164647</v>
      </c>
      <c r="J2314" t="s">
        <v>3219</v>
      </c>
      <c r="K2314">
        <v>-0</v>
      </c>
      <c r="L2314">
        <v>0.155043768849014</v>
      </c>
      <c r="M2314">
        <v>1.38</v>
      </c>
      <c r="N2314">
        <v>0.1838</v>
      </c>
    </row>
    <row r="2315" spans="1:14">
      <c r="A2315" s="1" t="s">
        <v>2327</v>
      </c>
      <c r="B2315">
        <f>HYPERLINK("https://www.suredividend.com/sure-analysis-research-database/","Patterson-UTI Energy Inc")</f>
        <v>0</v>
      </c>
      <c r="C2315" t="s">
        <v>3226</v>
      </c>
      <c r="D2315">
        <v>17.67</v>
      </c>
      <c r="E2315">
        <v>0.005640424343805001</v>
      </c>
      <c r="H2315">
        <v>0.099666298155047</v>
      </c>
      <c r="I2315">
        <v>3804.155711</v>
      </c>
      <c r="J2315" t="s">
        <v>3219</v>
      </c>
      <c r="K2315" t="s">
        <v>3219</v>
      </c>
      <c r="L2315">
        <v>0.9867847776134171</v>
      </c>
      <c r="M2315">
        <v>17.8</v>
      </c>
      <c r="N2315">
        <v>6.01</v>
      </c>
    </row>
    <row r="2316" spans="1:14">
      <c r="A2316" s="1" t="s">
        <v>2328</v>
      </c>
      <c r="B2316">
        <f>HYPERLINK("https://www.suredividend.com/sure-analysis-research-database/","Protagonist Therapeutics Inc")</f>
        <v>0</v>
      </c>
      <c r="C2316" t="s">
        <v>3217</v>
      </c>
      <c r="D2316">
        <v>19.95</v>
      </c>
      <c r="E2316">
        <v>0</v>
      </c>
      <c r="H2316">
        <v>0</v>
      </c>
      <c r="I2316">
        <v>968.614435</v>
      </c>
      <c r="J2316">
        <v>0</v>
      </c>
      <c r="K2316" t="s">
        <v>3219</v>
      </c>
      <c r="L2316">
        <v>1.587311532198292</v>
      </c>
      <c r="M2316">
        <v>50.54</v>
      </c>
      <c r="N2316">
        <v>12.8</v>
      </c>
    </row>
    <row r="2317" spans="1:14">
      <c r="A2317" s="1" t="s">
        <v>2329</v>
      </c>
      <c r="B2317">
        <f>HYPERLINK("https://www.suredividend.com/sure-analysis-research-database/","Proteostasis Therapeutics Inc")</f>
        <v>0</v>
      </c>
      <c r="C2317" t="s">
        <v>3217</v>
      </c>
      <c r="D2317">
        <v>1.11</v>
      </c>
      <c r="E2317">
        <v>0</v>
      </c>
      <c r="H2317">
        <v>0</v>
      </c>
      <c r="I2317">
        <v>57.925078</v>
      </c>
      <c r="J2317">
        <v>0</v>
      </c>
      <c r="K2317" t="s">
        <v>3219</v>
      </c>
      <c r="L2317">
        <v>0.7446024614360091</v>
      </c>
      <c r="M2317">
        <v>2.44</v>
      </c>
      <c r="N2317">
        <v>0.888</v>
      </c>
    </row>
    <row r="2318" spans="1:14">
      <c r="A2318" s="1" t="s">
        <v>2330</v>
      </c>
      <c r="B2318">
        <f>HYPERLINK("https://www.suredividend.com/sure-analysis-research-database/","Palatin Technologies Inc.")</f>
        <v>0</v>
      </c>
      <c r="C2318" t="s">
        <v>3217</v>
      </c>
      <c r="D2318">
        <v>0.435</v>
      </c>
      <c r="E2318">
        <v>0</v>
      </c>
      <c r="H2318">
        <v>0</v>
      </c>
      <c r="I2318">
        <v>100.787444</v>
      </c>
      <c r="J2318" t="s">
        <v>3219</v>
      </c>
      <c r="K2318">
        <v>-0</v>
      </c>
      <c r="L2318">
        <v>1.510138835963762</v>
      </c>
      <c r="M2318">
        <v>0.96</v>
      </c>
      <c r="N2318">
        <v>0.33</v>
      </c>
    </row>
    <row r="2319" spans="1:14">
      <c r="A2319" s="1" t="s">
        <v>2331</v>
      </c>
      <c r="B2319">
        <f>HYPERLINK("https://www.suredividend.com/sure-analysis-research-database/","P.A.M. Transportation Services, Inc.")</f>
        <v>0</v>
      </c>
      <c r="C2319" t="s">
        <v>3220</v>
      </c>
      <c r="D2319">
        <v>25.23</v>
      </c>
      <c r="E2319">
        <v>0</v>
      </c>
      <c r="H2319">
        <v>0</v>
      </c>
      <c r="I2319">
        <v>280.870477</v>
      </c>
      <c r="J2319">
        <v>3.670741769433844</v>
      </c>
      <c r="K2319">
        <v>0</v>
      </c>
      <c r="L2319">
        <v>1.474987678870767</v>
      </c>
      <c r="M2319">
        <v>40.89</v>
      </c>
      <c r="N2319">
        <v>12.94</v>
      </c>
    </row>
    <row r="2320" spans="1:14">
      <c r="A2320" s="1" t="s">
        <v>2332</v>
      </c>
      <c r="B2320">
        <f>HYPERLINK("https://www.suredividend.com/sure-analysis-research-database/","Protective Insurance Corp.")</f>
        <v>0</v>
      </c>
      <c r="C2320" t="s">
        <v>3221</v>
      </c>
      <c r="D2320">
        <v>23.27</v>
      </c>
      <c r="E2320">
        <v>0</v>
      </c>
      <c r="H2320">
        <v>0.400000005960464</v>
      </c>
      <c r="I2320">
        <v>0</v>
      </c>
      <c r="J2320">
        <v>0</v>
      </c>
      <c r="K2320" t="s">
        <v>3219</v>
      </c>
    </row>
    <row r="2321" spans="1:14">
      <c r="A2321" s="1" t="s">
        <v>2333</v>
      </c>
      <c r="B2321">
        <f>HYPERLINK("https://www.suredividend.com/sure-analysis-research-database/","Protective Insurance Corp.")</f>
        <v>0</v>
      </c>
      <c r="C2321" t="s">
        <v>3221</v>
      </c>
      <c r="D2321">
        <v>23.3</v>
      </c>
      <c r="E2321">
        <v>0</v>
      </c>
      <c r="H2321">
        <v>0.400000005960464</v>
      </c>
      <c r="I2321">
        <v>0</v>
      </c>
      <c r="J2321">
        <v>0</v>
      </c>
      <c r="K2321">
        <v>0.144404334281756</v>
      </c>
    </row>
    <row r="2322" spans="1:14">
      <c r="A2322" s="1" t="s">
        <v>2334</v>
      </c>
      <c r="B2322">
        <f>HYPERLINK("https://www.suredividend.com/sure-analysis-research-database/","Pulmatrix Inc")</f>
        <v>0</v>
      </c>
      <c r="C2322" t="s">
        <v>3217</v>
      </c>
      <c r="D2322">
        <v>5.93</v>
      </c>
      <c r="E2322">
        <v>0</v>
      </c>
      <c r="H2322">
        <v>0</v>
      </c>
      <c r="I2322">
        <v>19.633767</v>
      </c>
      <c r="J2322">
        <v>0</v>
      </c>
      <c r="K2322" t="s">
        <v>3219</v>
      </c>
      <c r="L2322">
        <v>0.5694871009822471</v>
      </c>
      <c r="M2322">
        <v>23.4</v>
      </c>
      <c r="N2322">
        <v>5.64</v>
      </c>
    </row>
    <row r="2323" spans="1:14">
      <c r="A2323" s="1" t="s">
        <v>2335</v>
      </c>
      <c r="B2323">
        <f>HYPERLINK("https://www.suredividend.com/sure-analysis-research-database/","ProPetro Holding Corp")</f>
        <v>0</v>
      </c>
      <c r="C2323" t="s">
        <v>3226</v>
      </c>
      <c r="D2323">
        <v>15.66</v>
      </c>
      <c r="E2323">
        <v>0</v>
      </c>
      <c r="H2323">
        <v>0</v>
      </c>
      <c r="I2323">
        <v>1624.039358</v>
      </c>
      <c r="J2323" t="s">
        <v>3219</v>
      </c>
      <c r="K2323">
        <v>-0</v>
      </c>
      <c r="L2323">
        <v>0.9429076849337181</v>
      </c>
      <c r="M2323">
        <v>16.05</v>
      </c>
      <c r="N2323">
        <v>6.39</v>
      </c>
    </row>
    <row r="2324" spans="1:14">
      <c r="A2324" s="1" t="s">
        <v>2336</v>
      </c>
      <c r="B2324">
        <f>HYPERLINK("https://www.suredividend.com/sure-analysis-research-database/","Penn Virginia Corp.")</f>
        <v>0</v>
      </c>
      <c r="C2324" t="s">
        <v>3226</v>
      </c>
      <c r="D2324">
        <v>30.66</v>
      </c>
      <c r="E2324">
        <v>0</v>
      </c>
      <c r="H2324">
        <v>0</v>
      </c>
      <c r="I2324">
        <v>469.966598</v>
      </c>
      <c r="J2324">
        <v>0</v>
      </c>
      <c r="K2324" t="s">
        <v>3219</v>
      </c>
      <c r="L2324">
        <v>1.382141539414036</v>
      </c>
      <c r="M2324">
        <v>35.31</v>
      </c>
      <c r="N2324">
        <v>6.36</v>
      </c>
    </row>
    <row r="2325" spans="1:14">
      <c r="A2325" s="1" t="s">
        <v>2337</v>
      </c>
      <c r="B2325">
        <f>HYPERLINK("https://www.suredividend.com/sure-analysis-research-database/","Provident Bancorp Inc")</f>
        <v>0</v>
      </c>
      <c r="C2325" t="s">
        <v>3221</v>
      </c>
      <c r="D2325">
        <v>15.41</v>
      </c>
      <c r="E2325">
        <v>0.01034844873853</v>
      </c>
      <c r="H2325">
        <v>0.15946959506076</v>
      </c>
      <c r="I2325">
        <v>274.832619</v>
      </c>
      <c r="J2325">
        <v>0</v>
      </c>
      <c r="K2325" t="s">
        <v>3219</v>
      </c>
      <c r="L2325">
        <v>0.5526675610821981</v>
      </c>
      <c r="M2325">
        <v>20.09</v>
      </c>
      <c r="N2325">
        <v>14.6</v>
      </c>
    </row>
    <row r="2326" spans="1:14">
      <c r="A2326" s="1" t="s">
        <v>2338</v>
      </c>
      <c r="B2326">
        <f>HYPERLINK("https://www.suredividend.com/sure-analysis-research-database/","PVH Corp")</f>
        <v>0</v>
      </c>
      <c r="C2326" t="s">
        <v>3223</v>
      </c>
      <c r="D2326">
        <v>79.34</v>
      </c>
      <c r="E2326">
        <v>0.000945063494821</v>
      </c>
      <c r="H2326">
        <v>0.07498133767917201</v>
      </c>
      <c r="I2326">
        <v>5395.671968</v>
      </c>
      <c r="J2326">
        <v>5.665937171458574</v>
      </c>
      <c r="K2326">
        <v>0.005663243027127795</v>
      </c>
      <c r="L2326">
        <v>1.824710058723246</v>
      </c>
      <c r="M2326">
        <v>125.32</v>
      </c>
      <c r="N2326">
        <v>66.06999999999999</v>
      </c>
    </row>
    <row r="2327" spans="1:14">
      <c r="A2327" s="1" t="s">
        <v>2339</v>
      </c>
      <c r="B2327">
        <f>HYPERLINK("https://www.suredividend.com/sure-analysis-research-database/","Power REIT")</f>
        <v>0</v>
      </c>
      <c r="C2327" t="s">
        <v>3224</v>
      </c>
      <c r="D2327">
        <v>30.72</v>
      </c>
      <c r="E2327">
        <v>0</v>
      </c>
      <c r="H2327">
        <v>0</v>
      </c>
      <c r="I2327">
        <v>103.451474</v>
      </c>
      <c r="J2327">
        <v>0</v>
      </c>
      <c r="K2327" t="s">
        <v>3219</v>
      </c>
      <c r="L2327">
        <v>1.515813169244504</v>
      </c>
      <c r="M2327">
        <v>81.98999999999999</v>
      </c>
      <c r="N2327">
        <v>29.5</v>
      </c>
    </row>
    <row r="2328" spans="1:14">
      <c r="A2328" s="1" t="s">
        <v>2340</v>
      </c>
      <c r="B2328">
        <f>HYPERLINK("https://www.suredividend.com/sure-analysis-research-database/","Penns Woods Bancorp, Inc.")</f>
        <v>0</v>
      </c>
      <c r="C2328" t="s">
        <v>3221</v>
      </c>
      <c r="D2328">
        <v>23.625</v>
      </c>
      <c r="E2328">
        <v>0.053117322257263</v>
      </c>
      <c r="F2328">
        <v>0</v>
      </c>
      <c r="G2328">
        <v>-0.07400119958231965</v>
      </c>
      <c r="H2328">
        <v>1.254896738327854</v>
      </c>
      <c r="I2328">
        <v>167.12429</v>
      </c>
      <c r="J2328">
        <v>10.42376907004304</v>
      </c>
      <c r="K2328">
        <v>0.5528179463999356</v>
      </c>
      <c r="L2328">
        <v>0.341907529958531</v>
      </c>
      <c r="M2328">
        <v>25.38</v>
      </c>
      <c r="N2328">
        <v>21.82</v>
      </c>
    </row>
    <row r="2329" spans="1:14">
      <c r="A2329" s="1" t="s">
        <v>2341</v>
      </c>
      <c r="B2329">
        <f>HYPERLINK("https://www.suredividend.com/sure-analysis-research-database/","Quanta Services, Inc.")</f>
        <v>0</v>
      </c>
      <c r="C2329" t="s">
        <v>3220</v>
      </c>
      <c r="D2329">
        <v>135.14</v>
      </c>
      <c r="E2329">
        <v>0.00192241581434</v>
      </c>
      <c r="H2329">
        <v>0.259795273149957</v>
      </c>
      <c r="I2329">
        <v>19283.169034</v>
      </c>
      <c r="J2329">
        <v>39.68089504802904</v>
      </c>
      <c r="K2329">
        <v>0.07778301591316079</v>
      </c>
      <c r="L2329">
        <v>1.226955927855406</v>
      </c>
      <c r="M2329">
        <v>137.65</v>
      </c>
      <c r="N2329">
        <v>84.26000000000001</v>
      </c>
    </row>
    <row r="2330" spans="1:14">
      <c r="A2330" s="1" t="s">
        <v>2342</v>
      </c>
      <c r="B2330">
        <f>HYPERLINK("https://www.suredividend.com/sure-analysis-research-database/","Pioneer Natural Resources Co.")</f>
        <v>0</v>
      </c>
      <c r="C2330" t="s">
        <v>3226</v>
      </c>
      <c r="D2330">
        <v>254.75</v>
      </c>
      <c r="E2330">
        <v>0.012294304664774</v>
      </c>
      <c r="H2330">
        <v>3.131974113351259</v>
      </c>
      <c r="I2330">
        <v>61874.702821</v>
      </c>
      <c r="J2330">
        <v>29.28286929543303</v>
      </c>
      <c r="K2330">
        <v>0.3646069980618462</v>
      </c>
      <c r="L2330">
        <v>0.671257406485228</v>
      </c>
      <c r="M2330">
        <v>260</v>
      </c>
      <c r="N2330">
        <v>127.13</v>
      </c>
    </row>
    <row r="2331" spans="1:14">
      <c r="A2331" s="1" t="s">
        <v>2343</v>
      </c>
      <c r="B2331">
        <f>HYPERLINK("https://www.suredividend.com/sure-analysis-research-database/","Pixelworks Inc")</f>
        <v>0</v>
      </c>
      <c r="C2331" t="s">
        <v>3222</v>
      </c>
      <c r="D2331">
        <v>2.32</v>
      </c>
      <c r="E2331">
        <v>0</v>
      </c>
      <c r="H2331">
        <v>0</v>
      </c>
      <c r="I2331">
        <v>125.201728</v>
      </c>
      <c r="J2331" t="s">
        <v>3219</v>
      </c>
      <c r="K2331">
        <v>-0</v>
      </c>
      <c r="L2331">
        <v>2.548095107800961</v>
      </c>
      <c r="M2331">
        <v>7.9</v>
      </c>
      <c r="N2331">
        <v>2.31</v>
      </c>
    </row>
    <row r="2332" spans="1:14">
      <c r="A2332" s="1" t="s">
        <v>2344</v>
      </c>
      <c r="B2332">
        <f>HYPERLINK("https://www.suredividend.com/sure-analysis-research-database/","PayPal Holdings Inc")</f>
        <v>0</v>
      </c>
      <c r="C2332" t="s">
        <v>3221</v>
      </c>
      <c r="D2332">
        <v>102.31</v>
      </c>
      <c r="E2332">
        <v>0</v>
      </c>
      <c r="H2332">
        <v>0</v>
      </c>
      <c r="I2332">
        <v>119191.652649</v>
      </c>
      <c r="J2332">
        <v>28.58998624347086</v>
      </c>
      <c r="K2332">
        <v>0</v>
      </c>
      <c r="L2332">
        <v>1.541583313587766</v>
      </c>
      <c r="M2332">
        <v>310.16</v>
      </c>
      <c r="N2332">
        <v>92.25</v>
      </c>
    </row>
    <row r="2333" spans="1:14">
      <c r="A2333" s="1" t="s">
        <v>2345</v>
      </c>
      <c r="B2333">
        <f>HYPERLINK("https://www.suredividend.com/sure-analysis-research-database/","Paramount Gold Nevada Corp")</f>
        <v>0</v>
      </c>
      <c r="C2333" t="s">
        <v>3218</v>
      </c>
      <c r="D2333">
        <v>0.63</v>
      </c>
      <c r="E2333">
        <v>0</v>
      </c>
      <c r="H2333">
        <v>0</v>
      </c>
      <c r="I2333">
        <v>29.184801</v>
      </c>
      <c r="J2333">
        <v>0</v>
      </c>
      <c r="K2333" t="s">
        <v>3219</v>
      </c>
      <c r="L2333">
        <v>0.00159068266734</v>
      </c>
      <c r="M2333">
        <v>1.1</v>
      </c>
      <c r="N2333">
        <v>0.5327000000000001</v>
      </c>
    </row>
    <row r="2334" spans="1:14">
      <c r="A2334" s="1" t="s">
        <v>2346</v>
      </c>
      <c r="B2334">
        <f>HYPERLINK("https://www.suredividend.com/sure-analysis-research-database/","Pzena Investment Management Inc")</f>
        <v>0</v>
      </c>
      <c r="C2334" t="s">
        <v>3221</v>
      </c>
      <c r="D2334">
        <v>7.27</v>
      </c>
      <c r="E2334">
        <v>0.084626997946117</v>
      </c>
      <c r="F2334">
        <v>1.12</v>
      </c>
      <c r="G2334">
        <v>0.7759507706848312</v>
      </c>
      <c r="H2334">
        <v>0.615238275068273</v>
      </c>
      <c r="I2334">
        <v>124.572373</v>
      </c>
      <c r="J2334">
        <v>6.669113619037422</v>
      </c>
      <c r="K2334">
        <v>2.767603576555434</v>
      </c>
      <c r="L2334">
        <v>1.414460516322758</v>
      </c>
      <c r="M2334">
        <v>11.46</v>
      </c>
      <c r="N2334">
        <v>7.2</v>
      </c>
    </row>
    <row r="2335" spans="1:14">
      <c r="A2335" s="1" t="s">
        <v>2347</v>
      </c>
      <c r="B2335">
        <f>HYPERLINK("https://www.suredividend.com/sure-analysis-research-database/","Papa John`s International, Inc.")</f>
        <v>0</v>
      </c>
      <c r="C2335" t="s">
        <v>3223</v>
      </c>
      <c r="D2335">
        <v>101.11</v>
      </c>
      <c r="E2335">
        <v>0.012562727849039</v>
      </c>
      <c r="F2335">
        <v>0.5555555555555556</v>
      </c>
      <c r="G2335">
        <v>0.1184269147201447</v>
      </c>
      <c r="H2335">
        <v>1.270217412816376</v>
      </c>
      <c r="I2335">
        <v>3640.355643</v>
      </c>
      <c r="J2335">
        <v>893.7774719936165</v>
      </c>
      <c r="K2335">
        <v>11.01662977290872</v>
      </c>
      <c r="L2335">
        <v>0.860712880380565</v>
      </c>
      <c r="M2335">
        <v>139.91</v>
      </c>
      <c r="N2335">
        <v>90.77</v>
      </c>
    </row>
    <row r="2336" spans="1:14">
      <c r="A2336" s="1" t="s">
        <v>2348</v>
      </c>
      <c r="B2336">
        <f>HYPERLINK("https://www.suredividend.com/sure-analysis-research-database/","QAD, Inc.")</f>
        <v>0</v>
      </c>
      <c r="C2336" t="s">
        <v>3222</v>
      </c>
      <c r="D2336">
        <v>87.63</v>
      </c>
      <c r="E2336">
        <v>0</v>
      </c>
      <c r="H2336">
        <v>0.215999990701675</v>
      </c>
      <c r="I2336">
        <v>0</v>
      </c>
      <c r="J2336">
        <v>0</v>
      </c>
      <c r="K2336" t="s">
        <v>3219</v>
      </c>
    </row>
    <row r="2337" spans="1:14">
      <c r="A2337" s="1" t="s">
        <v>2349</v>
      </c>
      <c r="B2337">
        <f>HYPERLINK("https://www.suredividend.com/sure-analysis-research-database/","QAD, Inc.")</f>
        <v>0</v>
      </c>
      <c r="C2337" t="s">
        <v>3222</v>
      </c>
      <c r="D2337">
        <v>87.54000000000001</v>
      </c>
      <c r="E2337">
        <v>0</v>
      </c>
      <c r="H2337">
        <v>0.179999995976686</v>
      </c>
      <c r="I2337">
        <v>0</v>
      </c>
      <c r="J2337">
        <v>0</v>
      </c>
      <c r="K2337">
        <v>0.6923076768334077</v>
      </c>
    </row>
    <row r="2338" spans="1:14">
      <c r="A2338" s="1" t="s">
        <v>2350</v>
      </c>
      <c r="B2338">
        <f>HYPERLINK("https://www.suredividend.com/sure-analysis-QCOM/","Qualcomm, Inc.")</f>
        <v>0</v>
      </c>
      <c r="C2338" t="s">
        <v>3222</v>
      </c>
      <c r="D2338">
        <v>136.91</v>
      </c>
      <c r="E2338">
        <v>0.02191220509823972</v>
      </c>
      <c r="F2338">
        <v>0</v>
      </c>
      <c r="G2338">
        <v>0.0359214157823311</v>
      </c>
      <c r="H2338">
        <v>2.703297899210868</v>
      </c>
      <c r="I2338">
        <v>154034.912683</v>
      </c>
      <c r="J2338">
        <v>15.42354187273756</v>
      </c>
      <c r="K2338">
        <v>0.3100112269737234</v>
      </c>
      <c r="L2338">
        <v>1.756582153674119</v>
      </c>
      <c r="M2338">
        <v>192.78</v>
      </c>
      <c r="N2338">
        <v>121.2</v>
      </c>
    </row>
    <row r="2339" spans="1:14">
      <c r="A2339" s="1" t="s">
        <v>2351</v>
      </c>
      <c r="B2339">
        <f>HYPERLINK("https://www.suredividend.com/sure-analysis-research-database/","QCR Holding, Inc.")</f>
        <v>0</v>
      </c>
      <c r="C2339" t="s">
        <v>3221</v>
      </c>
      <c r="D2339">
        <v>56.3</v>
      </c>
      <c r="E2339">
        <v>0.004255889318026</v>
      </c>
      <c r="F2339">
        <v>0</v>
      </c>
      <c r="G2339">
        <v>0.03713728933664817</v>
      </c>
      <c r="H2339">
        <v>0.239606568604917</v>
      </c>
      <c r="I2339">
        <v>881.522148</v>
      </c>
      <c r="J2339">
        <v>0</v>
      </c>
      <c r="K2339" t="s">
        <v>3219</v>
      </c>
      <c r="L2339">
        <v>0.8374433711815261</v>
      </c>
      <c r="M2339">
        <v>62.27</v>
      </c>
      <c r="N2339">
        <v>44.6</v>
      </c>
    </row>
    <row r="2340" spans="1:14">
      <c r="A2340" s="1" t="s">
        <v>2352</v>
      </c>
      <c r="B2340">
        <f>HYPERLINK("https://www.suredividend.com/sure-analysis-research-database/","Quidel Corp.")</f>
        <v>0</v>
      </c>
      <c r="C2340" t="s">
        <v>3217</v>
      </c>
      <c r="D2340">
        <v>110.94</v>
      </c>
      <c r="E2340">
        <v>0</v>
      </c>
      <c r="H2340">
        <v>0</v>
      </c>
      <c r="I2340">
        <v>4638.702935</v>
      </c>
      <c r="J2340">
        <v>6.58695210759046</v>
      </c>
      <c r="K2340">
        <v>0</v>
      </c>
      <c r="L2340">
        <v>0.190867202059057</v>
      </c>
      <c r="M2340">
        <v>180.06</v>
      </c>
      <c r="N2340">
        <v>88.37</v>
      </c>
    </row>
    <row r="2341" spans="1:14">
      <c r="A2341" s="1" t="s">
        <v>2353</v>
      </c>
      <c r="B2341">
        <f>HYPERLINK("https://www.suredividend.com/sure-analysis-research-database/","QEP Resources Inc")</f>
        <v>0</v>
      </c>
      <c r="C2341" t="s">
        <v>3226</v>
      </c>
      <c r="D2341">
        <v>4.08</v>
      </c>
      <c r="E2341">
        <v>0</v>
      </c>
      <c r="H2341">
        <v>0</v>
      </c>
      <c r="I2341">
        <v>989.66855</v>
      </c>
      <c r="J2341">
        <v>309.271421775</v>
      </c>
      <c r="K2341">
        <v>0</v>
      </c>
      <c r="L2341">
        <v>1.716235671530781</v>
      </c>
      <c r="M2341">
        <v>4.9</v>
      </c>
      <c r="N2341">
        <v>0.2625</v>
      </c>
    </row>
    <row r="2342" spans="1:14">
      <c r="A2342" s="1" t="s">
        <v>2354</v>
      </c>
      <c r="B2342">
        <f>HYPERLINK("https://www.suredividend.com/sure-analysis-research-database/","Qualys Inc")</f>
        <v>0</v>
      </c>
      <c r="C2342" t="s">
        <v>3222</v>
      </c>
      <c r="D2342">
        <v>147.03</v>
      </c>
      <c r="E2342">
        <v>0</v>
      </c>
      <c r="H2342">
        <v>0</v>
      </c>
      <c r="I2342">
        <v>5738.494887</v>
      </c>
      <c r="J2342">
        <v>80.86943189754791</v>
      </c>
      <c r="K2342">
        <v>0</v>
      </c>
      <c r="L2342">
        <v>1.322654505711292</v>
      </c>
      <c r="M2342">
        <v>150.1</v>
      </c>
      <c r="N2342">
        <v>92</v>
      </c>
    </row>
    <row r="2343" spans="1:14">
      <c r="A2343" s="1" t="s">
        <v>2355</v>
      </c>
      <c r="B2343">
        <f>HYPERLINK("https://www.suredividend.com/sure-analysis-research-database/","QuinStreet Inc")</f>
        <v>0</v>
      </c>
      <c r="C2343" t="s">
        <v>3228</v>
      </c>
      <c r="D2343">
        <v>11.3</v>
      </c>
      <c r="E2343">
        <v>0</v>
      </c>
      <c r="H2343">
        <v>0</v>
      </c>
      <c r="I2343">
        <v>616.453816</v>
      </c>
      <c r="J2343">
        <v>104.9640414609229</v>
      </c>
      <c r="K2343">
        <v>0</v>
      </c>
      <c r="L2343">
        <v>0.9615610397380331</v>
      </c>
      <c r="M2343">
        <v>21.25</v>
      </c>
      <c r="N2343">
        <v>10.15</v>
      </c>
    </row>
    <row r="2344" spans="1:14">
      <c r="A2344" s="1" t="s">
        <v>2356</v>
      </c>
      <c r="B2344">
        <f>HYPERLINK("https://www.suredividend.com/sure-analysis-research-database/","Quest Resource Holding Corp")</f>
        <v>0</v>
      </c>
      <c r="C2344" t="s">
        <v>3220</v>
      </c>
      <c r="D2344">
        <v>5.9</v>
      </c>
      <c r="E2344">
        <v>0</v>
      </c>
      <c r="H2344">
        <v>0</v>
      </c>
      <c r="I2344">
        <v>112.371329</v>
      </c>
      <c r="J2344">
        <v>0</v>
      </c>
      <c r="K2344" t="s">
        <v>3219</v>
      </c>
      <c r="L2344">
        <v>0.9333524581814361</v>
      </c>
      <c r="M2344">
        <v>8.300000000000001</v>
      </c>
      <c r="N2344">
        <v>3.16</v>
      </c>
    </row>
    <row r="2345" spans="1:14">
      <c r="A2345" s="1" t="s">
        <v>2357</v>
      </c>
      <c r="B2345">
        <f>HYPERLINK("https://www.suredividend.com/sure-analysis-research-database/","Qurate Retail Inc")</f>
        <v>0</v>
      </c>
      <c r="C2345" t="s">
        <v>3223</v>
      </c>
      <c r="D2345">
        <v>4.43</v>
      </c>
      <c r="E2345">
        <v>0</v>
      </c>
      <c r="H2345">
        <v>0</v>
      </c>
      <c r="I2345">
        <v>1684.93374</v>
      </c>
      <c r="J2345">
        <v>0</v>
      </c>
      <c r="K2345" t="s">
        <v>3219</v>
      </c>
      <c r="L2345">
        <v>1.398232328284586</v>
      </c>
      <c r="M2345">
        <v>12.78</v>
      </c>
      <c r="N2345">
        <v>4.34</v>
      </c>
    </row>
    <row r="2346" spans="1:14">
      <c r="A2346" s="1" t="s">
        <v>2358</v>
      </c>
      <c r="B2346">
        <f>HYPERLINK("https://www.suredividend.com/sure-analysis-research-database/","Qorvo Inc")</f>
        <v>0</v>
      </c>
      <c r="C2346" t="s">
        <v>3222</v>
      </c>
      <c r="D2346">
        <v>113.38</v>
      </c>
      <c r="E2346">
        <v>0</v>
      </c>
      <c r="H2346">
        <v>0</v>
      </c>
      <c r="I2346">
        <v>12293.977869</v>
      </c>
      <c r="J2346">
        <v>10.97857938075486</v>
      </c>
      <c r="K2346">
        <v>0</v>
      </c>
      <c r="L2346">
        <v>1.59926172286832</v>
      </c>
      <c r="M2346">
        <v>201.68</v>
      </c>
      <c r="N2346">
        <v>111.74</v>
      </c>
    </row>
    <row r="2347" spans="1:14">
      <c r="A2347" s="1" t="s">
        <v>2359</v>
      </c>
      <c r="B2347">
        <f>HYPERLINK("https://www.suredividend.com/sure-analysis-research-database/","Quanterix Corp")</f>
        <v>0</v>
      </c>
      <c r="C2347" t="s">
        <v>3217</v>
      </c>
      <c r="D2347">
        <v>25.86</v>
      </c>
      <c r="E2347">
        <v>0</v>
      </c>
      <c r="H2347">
        <v>0</v>
      </c>
      <c r="I2347">
        <v>952.872212</v>
      </c>
      <c r="J2347" t="s">
        <v>3219</v>
      </c>
      <c r="K2347">
        <v>-0</v>
      </c>
      <c r="L2347">
        <v>2.124731776671154</v>
      </c>
      <c r="M2347">
        <v>69.22</v>
      </c>
      <c r="N2347">
        <v>22.7</v>
      </c>
    </row>
    <row r="2348" spans="1:14">
      <c r="A2348" s="1" t="s">
        <v>2360</v>
      </c>
      <c r="B2348">
        <f>HYPERLINK("https://www.suredividend.com/sure-analysis-research-database/","Qts Realty Trust Inc")</f>
        <v>0</v>
      </c>
      <c r="C2348" t="s">
        <v>3224</v>
      </c>
      <c r="D2348">
        <v>77.95</v>
      </c>
      <c r="E2348">
        <v>0.024627146197</v>
      </c>
      <c r="H2348">
        <v>1.919686046056193</v>
      </c>
      <c r="I2348">
        <v>6000.024381</v>
      </c>
      <c r="J2348" t="s">
        <v>3219</v>
      </c>
      <c r="K2348" t="s">
        <v>3219</v>
      </c>
      <c r="L2348">
        <v>0.511585848661215</v>
      </c>
      <c r="M2348">
        <v>78.15000000000001</v>
      </c>
      <c r="N2348">
        <v>55.11</v>
      </c>
    </row>
    <row r="2349" spans="1:14">
      <c r="A2349" s="1" t="s">
        <v>2361</v>
      </c>
      <c r="B2349">
        <f>HYPERLINK("https://www.suredividend.com/sure-analysis-research-database/","Q2 Holdings Inc")</f>
        <v>0</v>
      </c>
      <c r="C2349" t="s">
        <v>3222</v>
      </c>
      <c r="D2349">
        <v>56.12</v>
      </c>
      <c r="E2349">
        <v>0</v>
      </c>
      <c r="H2349">
        <v>0</v>
      </c>
      <c r="I2349">
        <v>3194.823548</v>
      </c>
      <c r="J2349" t="s">
        <v>3219</v>
      </c>
      <c r="K2349">
        <v>-0</v>
      </c>
      <c r="L2349">
        <v>1.620350813432294</v>
      </c>
      <c r="M2349">
        <v>108.89</v>
      </c>
      <c r="N2349">
        <v>51.45</v>
      </c>
    </row>
    <row r="2350" spans="1:14">
      <c r="A2350" s="1" t="s">
        <v>2362</v>
      </c>
      <c r="B2350">
        <f>HYPERLINK("https://www.suredividend.com/sure-analysis-research-database/","Quad/Graphics Inc")</f>
        <v>0</v>
      </c>
      <c r="C2350" t="s">
        <v>3220</v>
      </c>
      <c r="D2350">
        <v>6.93</v>
      </c>
      <c r="E2350">
        <v>0</v>
      </c>
      <c r="H2350">
        <v>0</v>
      </c>
      <c r="I2350">
        <v>287.304647</v>
      </c>
      <c r="J2350">
        <v>0</v>
      </c>
      <c r="K2350" t="s">
        <v>3219</v>
      </c>
      <c r="L2350">
        <v>1.275815660428567</v>
      </c>
      <c r="M2350">
        <v>7.34</v>
      </c>
      <c r="N2350">
        <v>2.95</v>
      </c>
    </row>
    <row r="2351" spans="1:14">
      <c r="A2351" s="1" t="s">
        <v>2363</v>
      </c>
      <c r="B2351">
        <f>HYPERLINK("https://www.suredividend.com/sure-analysis-research-database/","Quicklogic Corp")</f>
        <v>0</v>
      </c>
      <c r="C2351" t="s">
        <v>3222</v>
      </c>
      <c r="D2351">
        <v>5.1</v>
      </c>
      <c r="E2351">
        <v>0</v>
      </c>
      <c r="H2351">
        <v>0</v>
      </c>
      <c r="I2351">
        <v>63.047903</v>
      </c>
      <c r="J2351" t="s">
        <v>3219</v>
      </c>
      <c r="K2351">
        <v>-0</v>
      </c>
      <c r="L2351">
        <v>1.510983023647968</v>
      </c>
      <c r="M2351">
        <v>8</v>
      </c>
      <c r="N2351">
        <v>4.25</v>
      </c>
    </row>
    <row r="2352" spans="1:14">
      <c r="A2352" s="1" t="s">
        <v>2364</v>
      </c>
      <c r="B2352">
        <f>HYPERLINK("https://www.suredividend.com/sure-analysis-research-database/","Qumu Corp")</f>
        <v>0</v>
      </c>
      <c r="C2352" t="s">
        <v>3222</v>
      </c>
      <c r="D2352">
        <v>1.74</v>
      </c>
      <c r="E2352">
        <v>0</v>
      </c>
      <c r="H2352">
        <v>0</v>
      </c>
      <c r="I2352">
        <v>30.694891</v>
      </c>
      <c r="J2352" t="s">
        <v>3219</v>
      </c>
      <c r="K2352">
        <v>-0</v>
      </c>
      <c r="L2352">
        <v>1.062985386331885</v>
      </c>
      <c r="M2352">
        <v>6.36</v>
      </c>
      <c r="N2352">
        <v>1.51</v>
      </c>
    </row>
    <row r="2353" spans="1:14">
      <c r="A2353" s="1" t="s">
        <v>2365</v>
      </c>
      <c r="B2353">
        <f>HYPERLINK("https://www.suredividend.com/sure-analysis-research-database/","Quotient Technology Inc")</f>
        <v>0</v>
      </c>
      <c r="C2353" t="s">
        <v>3228</v>
      </c>
      <c r="D2353">
        <v>6.02</v>
      </c>
      <c r="E2353">
        <v>0</v>
      </c>
      <c r="H2353">
        <v>0</v>
      </c>
      <c r="I2353">
        <v>571.427358</v>
      </c>
      <c r="J2353" t="s">
        <v>3219</v>
      </c>
      <c r="K2353">
        <v>-0</v>
      </c>
      <c r="L2353">
        <v>1.719842903131863</v>
      </c>
      <c r="M2353">
        <v>17.39</v>
      </c>
      <c r="N2353">
        <v>5.09</v>
      </c>
    </row>
    <row r="2354" spans="1:14">
      <c r="A2354" s="1" t="s">
        <v>2366</v>
      </c>
      <c r="B2354">
        <f>HYPERLINK("https://www.suredividend.com/sure-analysis-R/","Ryder System, Inc.")</f>
        <v>0</v>
      </c>
      <c r="C2354" t="s">
        <v>3220</v>
      </c>
      <c r="D2354">
        <v>64.02</v>
      </c>
      <c r="E2354">
        <v>0.03623867541393314</v>
      </c>
      <c r="H2354">
        <v>2.275153171959002</v>
      </c>
      <c r="I2354">
        <v>3444.260571</v>
      </c>
      <c r="J2354">
        <v>6.667519539697196</v>
      </c>
      <c r="K2354">
        <v>0.2357671680786531</v>
      </c>
      <c r="L2354">
        <v>1.254049872358855</v>
      </c>
      <c r="M2354">
        <v>91.73</v>
      </c>
      <c r="N2354">
        <v>61.71</v>
      </c>
    </row>
    <row r="2355" spans="1:14">
      <c r="A2355" s="1" t="s">
        <v>2367</v>
      </c>
      <c r="B2355">
        <f>HYPERLINK("https://www.suredividend.com/sure-analysis-research-database/","Rite Aid Corp.")</f>
        <v>0</v>
      </c>
      <c r="C2355" t="s">
        <v>3217</v>
      </c>
      <c r="D2355">
        <v>7.22</v>
      </c>
      <c r="E2355">
        <v>0</v>
      </c>
      <c r="H2355">
        <v>0</v>
      </c>
      <c r="I2355">
        <v>402.747296</v>
      </c>
      <c r="J2355" t="s">
        <v>3219</v>
      </c>
      <c r="K2355">
        <v>-0</v>
      </c>
      <c r="L2355">
        <v>1.478531553199575</v>
      </c>
      <c r="M2355">
        <v>23.02</v>
      </c>
      <c r="N2355">
        <v>6.11</v>
      </c>
    </row>
    <row r="2356" spans="1:14">
      <c r="A2356" s="1" t="s">
        <v>2368</v>
      </c>
      <c r="B2356">
        <f>HYPERLINK("https://www.suredividend.com/sure-analysis-research-database/","FreightCar America Inc")</f>
        <v>0</v>
      </c>
      <c r="C2356" t="s">
        <v>3220</v>
      </c>
      <c r="D2356">
        <v>5.61</v>
      </c>
      <c r="E2356">
        <v>0</v>
      </c>
      <c r="H2356">
        <v>0</v>
      </c>
      <c r="I2356">
        <v>92.482342</v>
      </c>
      <c r="J2356" t="s">
        <v>3219</v>
      </c>
      <c r="K2356">
        <v>-0</v>
      </c>
      <c r="L2356">
        <v>1.86303722722546</v>
      </c>
      <c r="M2356">
        <v>8.630000000000001</v>
      </c>
      <c r="N2356">
        <v>3.06</v>
      </c>
    </row>
    <row r="2357" spans="1:14">
      <c r="A2357" s="1" t="s">
        <v>2369</v>
      </c>
      <c r="B2357">
        <f>HYPERLINK("https://www.suredividend.com/sure-analysis-research-database/","LiveRamp Holdings Inc")</f>
        <v>0</v>
      </c>
      <c r="C2357" t="s">
        <v>3222</v>
      </c>
      <c r="D2357">
        <v>35.98</v>
      </c>
      <c r="E2357">
        <v>0</v>
      </c>
      <c r="H2357">
        <v>0</v>
      </c>
      <c r="I2357">
        <v>2452.762429</v>
      </c>
      <c r="J2357" t="s">
        <v>3219</v>
      </c>
      <c r="K2357">
        <v>-0</v>
      </c>
      <c r="L2357">
        <v>1.555883668855406</v>
      </c>
      <c r="M2357">
        <v>58.74</v>
      </c>
      <c r="N2357">
        <v>33.42</v>
      </c>
    </row>
    <row r="2358" spans="1:14">
      <c r="A2358" s="1" t="s">
        <v>2370</v>
      </c>
      <c r="B2358">
        <f>HYPERLINK("https://www.suredividend.com/sure-analysis-research-database/","Ultragenyx Pharmaceutical Inc.")</f>
        <v>0</v>
      </c>
      <c r="C2358" t="s">
        <v>3217</v>
      </c>
      <c r="D2358">
        <v>85.40000000000001</v>
      </c>
      <c r="E2358">
        <v>0</v>
      </c>
      <c r="H2358">
        <v>0</v>
      </c>
      <c r="I2358">
        <v>5925.4597</v>
      </c>
      <c r="J2358" t="s">
        <v>3219</v>
      </c>
      <c r="K2358">
        <v>-0</v>
      </c>
      <c r="L2358">
        <v>0.9482691715301391</v>
      </c>
      <c r="M2358">
        <v>119.54</v>
      </c>
      <c r="N2358">
        <v>61.21</v>
      </c>
    </row>
    <row r="2359" spans="1:14">
      <c r="A2359" s="1" t="s">
        <v>2371</v>
      </c>
      <c r="B2359">
        <f>HYPERLINK("https://www.suredividend.com/sure-analysis-research-database/","Rave Restaurant Group Inc")</f>
        <v>0</v>
      </c>
      <c r="C2359" t="s">
        <v>3223</v>
      </c>
      <c r="D2359">
        <v>1.0694</v>
      </c>
      <c r="E2359">
        <v>0</v>
      </c>
      <c r="H2359">
        <v>0</v>
      </c>
      <c r="I2359">
        <v>19.254444</v>
      </c>
      <c r="J2359">
        <v>0</v>
      </c>
      <c r="K2359" t="s">
        <v>3219</v>
      </c>
      <c r="L2359">
        <v>0.402827800852311</v>
      </c>
      <c r="M2359">
        <v>1.8</v>
      </c>
      <c r="N2359">
        <v>0.8749</v>
      </c>
    </row>
    <row r="2360" spans="1:14">
      <c r="A2360" s="1" t="s">
        <v>2372</v>
      </c>
      <c r="B2360">
        <f>HYPERLINK("https://www.suredividend.com/sure-analysis-research-database/","Raven Industries, Inc.")</f>
        <v>0</v>
      </c>
      <c r="C2360" t="s">
        <v>3220</v>
      </c>
      <c r="D2360">
        <v>58.08</v>
      </c>
      <c r="E2360">
        <v>0</v>
      </c>
      <c r="H2360">
        <v>0</v>
      </c>
      <c r="I2360">
        <v>0</v>
      </c>
      <c r="J2360">
        <v>0</v>
      </c>
      <c r="K2360">
        <v>0</v>
      </c>
    </row>
    <row r="2361" spans="1:14">
      <c r="A2361" s="1" t="s">
        <v>2373</v>
      </c>
      <c r="B2361">
        <f>HYPERLINK("https://www.suredividend.com/sure-analysis-research-database/","RBB Bancorp")</f>
        <v>0</v>
      </c>
      <c r="C2361" t="s">
        <v>3221</v>
      </c>
      <c r="D2361">
        <v>23.03</v>
      </c>
      <c r="E2361">
        <v>0.022837987234849</v>
      </c>
      <c r="H2361">
        <v>0.525958846018595</v>
      </c>
      <c r="I2361">
        <v>448.024261</v>
      </c>
      <c r="J2361">
        <v>7.899711909405086</v>
      </c>
      <c r="K2361">
        <v>0.1839016944120962</v>
      </c>
      <c r="L2361">
        <v>0.8478027422488651</v>
      </c>
      <c r="M2361">
        <v>28.93</v>
      </c>
      <c r="N2361">
        <v>18.65</v>
      </c>
    </row>
    <row r="2362" spans="1:14">
      <c r="A2362" s="1" t="s">
        <v>2374</v>
      </c>
      <c r="B2362">
        <f>HYPERLINK("https://www.suredividend.com/sure-analysis-research-database/","Ribbon Communications Inc")</f>
        <v>0</v>
      </c>
      <c r="C2362" t="s">
        <v>3228</v>
      </c>
      <c r="D2362">
        <v>3.11</v>
      </c>
      <c r="E2362">
        <v>0</v>
      </c>
      <c r="H2362">
        <v>0</v>
      </c>
      <c r="I2362">
        <v>466.848189</v>
      </c>
      <c r="J2362">
        <v>0</v>
      </c>
      <c r="K2362" t="s">
        <v>3219</v>
      </c>
      <c r="L2362">
        <v>1.62170622593725</v>
      </c>
      <c r="M2362">
        <v>8.359999999999999</v>
      </c>
      <c r="N2362">
        <v>2.74</v>
      </c>
    </row>
    <row r="2363" spans="1:14">
      <c r="A2363" s="1" t="s">
        <v>2375</v>
      </c>
      <c r="B2363">
        <f>HYPERLINK("https://www.suredividend.com/sure-analysis-research-database/","Regal Beloit Corp")</f>
        <v>0</v>
      </c>
      <c r="C2363" t="s">
        <v>3220</v>
      </c>
      <c r="D2363">
        <v>140.09</v>
      </c>
      <c r="E2363">
        <v>0.00586221160748</v>
      </c>
      <c r="F2363">
        <v>20.18181818181818</v>
      </c>
      <c r="G2363">
        <v>0.9315269208904395</v>
      </c>
      <c r="H2363">
        <v>0.8851939527296071</v>
      </c>
      <c r="I2363">
        <v>6145.253342</v>
      </c>
      <c r="J2363">
        <v>23.58117168841136</v>
      </c>
      <c r="K2363">
        <v>0.1389629439135961</v>
      </c>
      <c r="L2363">
        <v>1.01024537987965</v>
      </c>
      <c r="M2363">
        <v>154.14</v>
      </c>
      <c r="N2363">
        <v>87.20999999999999</v>
      </c>
    </row>
    <row r="2364" spans="1:14">
      <c r="A2364" s="1" t="s">
        <v>2376</v>
      </c>
      <c r="B2364">
        <f>HYPERLINK("https://www.suredividend.com/sure-analysis-research-database/","Republic Bancorp, Inc. (KY)")</f>
        <v>0</v>
      </c>
      <c r="C2364" t="s">
        <v>3221</v>
      </c>
      <c r="D2364">
        <v>44.35</v>
      </c>
      <c r="E2364">
        <v>0.02824739258587</v>
      </c>
      <c r="F2364">
        <v>0.1071428571428572</v>
      </c>
      <c r="G2364">
        <v>0.09160706958928855</v>
      </c>
      <c r="H2364">
        <v>1.252771861183357</v>
      </c>
      <c r="I2364">
        <v>790.742494</v>
      </c>
      <c r="J2364">
        <v>9.1110911970411</v>
      </c>
      <c r="K2364">
        <v>0.2997061868859706</v>
      </c>
      <c r="L2364">
        <v>0.638285555510356</v>
      </c>
      <c r="M2364">
        <v>56.86</v>
      </c>
      <c r="N2364">
        <v>41.6</v>
      </c>
    </row>
    <row r="2365" spans="1:14">
      <c r="A2365" s="1" t="s">
        <v>2377</v>
      </c>
      <c r="B2365">
        <f>HYPERLINK("https://www.suredividend.com/sure-analysis-research-database/","Rubicon Technology Inc")</f>
        <v>0</v>
      </c>
      <c r="C2365" t="s">
        <v>3222</v>
      </c>
      <c r="D2365">
        <v>9.050000000000001</v>
      </c>
      <c r="E2365">
        <v>0</v>
      </c>
      <c r="H2365">
        <v>0</v>
      </c>
      <c r="I2365">
        <v>22.142201</v>
      </c>
      <c r="J2365" t="s">
        <v>3219</v>
      </c>
      <c r="K2365">
        <v>-0</v>
      </c>
      <c r="M2365">
        <v>11</v>
      </c>
      <c r="N2365">
        <v>8.6</v>
      </c>
    </row>
    <row r="2366" spans="1:14">
      <c r="A2366" s="1" t="s">
        <v>2378</v>
      </c>
      <c r="B2366">
        <f>HYPERLINK("https://www.suredividend.com/sure-analysis-research-database/","Reliant Bancorp Inc")</f>
        <v>0</v>
      </c>
      <c r="C2366" t="s">
        <v>3221</v>
      </c>
      <c r="D2366">
        <v>35.5</v>
      </c>
      <c r="E2366">
        <v>0</v>
      </c>
      <c r="H2366">
        <v>0.4799999892711641</v>
      </c>
      <c r="I2366">
        <v>0</v>
      </c>
      <c r="J2366">
        <v>0</v>
      </c>
      <c r="K2366">
        <v>0.1589403937983987</v>
      </c>
    </row>
    <row r="2367" spans="1:14">
      <c r="A2367" s="1" t="s">
        <v>2379</v>
      </c>
      <c r="B2367">
        <f>HYPERLINK("https://www.suredividend.com/sure-analysis-research-database/","Ready Capital Corp")</f>
        <v>0</v>
      </c>
      <c r="C2367" t="s">
        <v>3224</v>
      </c>
      <c r="D2367">
        <v>15.32</v>
      </c>
      <c r="E2367">
        <v>0.105346490580085</v>
      </c>
      <c r="F2367">
        <v>3.199999999999999</v>
      </c>
      <c r="G2367">
        <v>0.02567439351051015</v>
      </c>
      <c r="H2367">
        <v>1.613908235686904</v>
      </c>
      <c r="I2367">
        <v>1276.591716</v>
      </c>
      <c r="J2367">
        <v>8.587844791626024</v>
      </c>
      <c r="K2367">
        <v>0.7437365141414305</v>
      </c>
      <c r="L2367">
        <v>0.8304296916597691</v>
      </c>
      <c r="M2367">
        <v>16</v>
      </c>
      <c r="N2367">
        <v>11.97</v>
      </c>
    </row>
    <row r="2368" spans="1:14">
      <c r="A2368" s="1" t="s">
        <v>2380</v>
      </c>
      <c r="B2368">
        <f>HYPERLINK("https://www.suredividend.com/sure-analysis-research-database/","Rent-a-Center Inc.")</f>
        <v>0</v>
      </c>
      <c r="C2368" t="s">
        <v>3220</v>
      </c>
      <c r="D2368">
        <v>24.99</v>
      </c>
      <c r="E2368">
        <v>0.05126093435924101</v>
      </c>
      <c r="H2368">
        <v>1.281010749637456</v>
      </c>
      <c r="I2368">
        <v>1475.128188</v>
      </c>
      <c r="J2368">
        <v>0</v>
      </c>
      <c r="K2368" t="s">
        <v>3219</v>
      </c>
      <c r="L2368">
        <v>1.124014690700114</v>
      </c>
      <c r="M2368">
        <v>66.03</v>
      </c>
      <c r="N2368">
        <v>22.39</v>
      </c>
    </row>
    <row r="2369" spans="1:14">
      <c r="A2369" s="1" t="s">
        <v>2381</v>
      </c>
      <c r="B2369">
        <f>HYPERLINK("https://www.suredividend.com/sure-analysis-research-database/","Rocket Pharmaceuticals Inc")</f>
        <v>0</v>
      </c>
      <c r="C2369" t="s">
        <v>3217</v>
      </c>
      <c r="D2369">
        <v>13.56</v>
      </c>
      <c r="E2369">
        <v>0</v>
      </c>
      <c r="H2369">
        <v>0</v>
      </c>
      <c r="I2369">
        <v>874.699855</v>
      </c>
      <c r="J2369">
        <v>0</v>
      </c>
      <c r="K2369" t="s">
        <v>3219</v>
      </c>
      <c r="L2369">
        <v>1.817357508160519</v>
      </c>
      <c r="M2369">
        <v>49.66</v>
      </c>
      <c r="N2369">
        <v>12.99</v>
      </c>
    </row>
    <row r="2370" spans="1:14">
      <c r="A2370" s="1" t="s">
        <v>2382</v>
      </c>
      <c r="B2370">
        <f>HYPERLINK("https://www.suredividend.com/sure-analysis-research-database/","Rocky Brands, Inc")</f>
        <v>0</v>
      </c>
      <c r="C2370" t="s">
        <v>3223</v>
      </c>
      <c r="D2370">
        <v>41.21</v>
      </c>
      <c r="E2370">
        <v>0.014596364777177</v>
      </c>
      <c r="F2370">
        <v>0.107142857142857</v>
      </c>
      <c r="G2370">
        <v>0.07099588603959828</v>
      </c>
      <c r="H2370">
        <v>0.6015161924675011</v>
      </c>
      <c r="I2370">
        <v>301.053844</v>
      </c>
      <c r="J2370">
        <v>0</v>
      </c>
      <c r="K2370" t="s">
        <v>3219</v>
      </c>
      <c r="L2370">
        <v>1.357879558358371</v>
      </c>
      <c r="M2370">
        <v>68.22</v>
      </c>
      <c r="N2370">
        <v>33.46</v>
      </c>
    </row>
    <row r="2371" spans="1:14">
      <c r="A2371" s="1" t="s">
        <v>2383</v>
      </c>
      <c r="B2371">
        <f>HYPERLINK("https://www.suredividend.com/sure-analysis-research-database/","Royal Caribbean Group")</f>
        <v>0</v>
      </c>
      <c r="C2371" t="s">
        <v>3223</v>
      </c>
      <c r="D2371">
        <v>82.58</v>
      </c>
      <c r="E2371">
        <v>0</v>
      </c>
      <c r="H2371">
        <v>0</v>
      </c>
      <c r="I2371">
        <v>21058.128829</v>
      </c>
      <c r="J2371" t="s">
        <v>3219</v>
      </c>
      <c r="K2371">
        <v>-0</v>
      </c>
      <c r="L2371">
        <v>1.552306404978788</v>
      </c>
      <c r="M2371">
        <v>98.27</v>
      </c>
      <c r="N2371">
        <v>61.45</v>
      </c>
    </row>
    <row r="2372" spans="1:14">
      <c r="A2372" s="1" t="s">
        <v>2384</v>
      </c>
      <c r="B2372">
        <f>HYPERLINK("https://www.suredividend.com/sure-analysis-research-database/","R1 RCM Inc")</f>
        <v>0</v>
      </c>
      <c r="C2372" t="s">
        <v>3217</v>
      </c>
      <c r="D2372">
        <v>26.59</v>
      </c>
      <c r="E2372">
        <v>0</v>
      </c>
      <c r="H2372">
        <v>0</v>
      </c>
      <c r="I2372">
        <v>7398.503706</v>
      </c>
      <c r="J2372">
        <v>0</v>
      </c>
      <c r="K2372" t="s">
        <v>3219</v>
      </c>
      <c r="L2372">
        <v>1.022927853778121</v>
      </c>
      <c r="M2372">
        <v>27.95</v>
      </c>
      <c r="N2372">
        <v>18.71</v>
      </c>
    </row>
    <row r="2373" spans="1:14">
      <c r="A2373" s="1" t="s">
        <v>2385</v>
      </c>
      <c r="B2373">
        <f>HYPERLINK("https://www.suredividend.com/sure-analysis-research-database/","RCM Technologies, Inc.")</f>
        <v>0</v>
      </c>
      <c r="C2373" t="s">
        <v>3220</v>
      </c>
      <c r="D2373">
        <v>13.17</v>
      </c>
      <c r="E2373">
        <v>0</v>
      </c>
      <c r="H2373">
        <v>0</v>
      </c>
      <c r="I2373">
        <v>132.972064</v>
      </c>
      <c r="J2373">
        <v>0</v>
      </c>
      <c r="K2373" t="s">
        <v>3219</v>
      </c>
      <c r="L2373">
        <v>1.249622489878113</v>
      </c>
      <c r="M2373">
        <v>14.15</v>
      </c>
      <c r="N2373">
        <v>3.26</v>
      </c>
    </row>
    <row r="2374" spans="1:14">
      <c r="A2374" s="1" t="s">
        <v>2386</v>
      </c>
      <c r="B2374">
        <f>HYPERLINK("https://www.suredividend.com/sure-analysis-research-database/","Arcus Biosciences Inc")</f>
        <v>0</v>
      </c>
      <c r="C2374" t="s">
        <v>3217</v>
      </c>
      <c r="D2374">
        <v>31.98</v>
      </c>
      <c r="E2374">
        <v>0</v>
      </c>
      <c r="H2374">
        <v>0</v>
      </c>
      <c r="I2374">
        <v>2272.558507</v>
      </c>
      <c r="J2374">
        <v>0</v>
      </c>
      <c r="K2374" t="s">
        <v>3219</v>
      </c>
      <c r="L2374">
        <v>1.49342652342443</v>
      </c>
      <c r="M2374">
        <v>49.1</v>
      </c>
      <c r="N2374">
        <v>22.36</v>
      </c>
    </row>
    <row r="2375" spans="1:14">
      <c r="A2375" s="1" t="s">
        <v>2387</v>
      </c>
      <c r="B2375">
        <f>HYPERLINK("https://www.suredividend.com/sure-analysis-research-database/","Redfin Corp")</f>
        <v>0</v>
      </c>
      <c r="C2375" t="s">
        <v>3224</v>
      </c>
      <c r="D2375">
        <v>14.57</v>
      </c>
      <c r="E2375">
        <v>0</v>
      </c>
      <c r="H2375">
        <v>0</v>
      </c>
      <c r="I2375">
        <v>1550.19922</v>
      </c>
      <c r="J2375" t="s">
        <v>3219</v>
      </c>
      <c r="K2375">
        <v>-0</v>
      </c>
      <c r="L2375">
        <v>2.014920019422788</v>
      </c>
      <c r="M2375">
        <v>72.69</v>
      </c>
      <c r="N2375">
        <v>14.41</v>
      </c>
    </row>
    <row r="2376" spans="1:14">
      <c r="A2376" s="1" t="s">
        <v>2388</v>
      </c>
      <c r="B2376">
        <f>HYPERLINK("https://www.suredividend.com/sure-analysis-research-database/","Reading International Inc")</f>
        <v>0</v>
      </c>
      <c r="C2376" t="s">
        <v>3228</v>
      </c>
      <c r="D2376">
        <v>4.23</v>
      </c>
      <c r="E2376">
        <v>0</v>
      </c>
      <c r="H2376">
        <v>0</v>
      </c>
      <c r="I2376">
        <v>123.57501</v>
      </c>
      <c r="J2376">
        <v>3.871276262021867</v>
      </c>
      <c r="K2376">
        <v>0</v>
      </c>
      <c r="L2376">
        <v>0.9801137265107781</v>
      </c>
      <c r="M2376">
        <v>7.15</v>
      </c>
      <c r="N2376">
        <v>3.86</v>
      </c>
    </row>
    <row r="2377" spans="1:14">
      <c r="A2377" s="1" t="s">
        <v>2389</v>
      </c>
      <c r="B2377">
        <f>HYPERLINK("https://www.suredividend.com/sure-analysis-research-database/","Radian Group, Inc.")</f>
        <v>0</v>
      </c>
      <c r="C2377" t="s">
        <v>3221</v>
      </c>
      <c r="D2377">
        <v>22.24</v>
      </c>
      <c r="E2377">
        <v>0.027601540262793</v>
      </c>
      <c r="F2377">
        <v>0.6000000000000001</v>
      </c>
      <c r="G2377">
        <v>1.402248867962863</v>
      </c>
      <c r="H2377">
        <v>0.613858255444519</v>
      </c>
      <c r="I2377">
        <v>3900.413881</v>
      </c>
      <c r="J2377">
        <v>6.493427985169918</v>
      </c>
      <c r="K2377">
        <v>0.1942589415963668</v>
      </c>
      <c r="L2377">
        <v>0.6754316676722291</v>
      </c>
      <c r="M2377">
        <v>24.84</v>
      </c>
      <c r="N2377">
        <v>19.01</v>
      </c>
    </row>
    <row r="2378" spans="1:14">
      <c r="A2378" s="1" t="s">
        <v>2390</v>
      </c>
      <c r="B2378">
        <f>HYPERLINK("https://www.suredividend.com/sure-analysis-research-database/","Radnet Inc")</f>
        <v>0</v>
      </c>
      <c r="C2378" t="s">
        <v>3217</v>
      </c>
      <c r="D2378">
        <v>20.79</v>
      </c>
      <c r="E2378">
        <v>0</v>
      </c>
      <c r="H2378">
        <v>0</v>
      </c>
      <c r="I2378">
        <v>1168.058645</v>
      </c>
      <c r="J2378">
        <v>47.23818679297933</v>
      </c>
      <c r="K2378">
        <v>0</v>
      </c>
      <c r="L2378">
        <v>1.483762898480259</v>
      </c>
      <c r="M2378">
        <v>38.84</v>
      </c>
      <c r="N2378">
        <v>20.33</v>
      </c>
    </row>
    <row r="2379" spans="1:14">
      <c r="A2379" s="1" t="s">
        <v>2391</v>
      </c>
      <c r="B2379">
        <f>HYPERLINK("https://www.suredividend.com/sure-analysis-research-database/","Radius Health Inc.")</f>
        <v>0</v>
      </c>
      <c r="C2379" t="s">
        <v>3217</v>
      </c>
      <c r="D2379">
        <v>7.93</v>
      </c>
      <c r="E2379">
        <v>0</v>
      </c>
      <c r="H2379">
        <v>0</v>
      </c>
      <c r="I2379">
        <v>375.745239</v>
      </c>
      <c r="J2379" t="s">
        <v>3219</v>
      </c>
      <c r="K2379">
        <v>-0</v>
      </c>
      <c r="L2379">
        <v>1.215584652020298</v>
      </c>
      <c r="M2379">
        <v>23</v>
      </c>
      <c r="N2379">
        <v>5.92</v>
      </c>
    </row>
    <row r="2380" spans="1:14">
      <c r="A2380" s="1" t="s">
        <v>2392</v>
      </c>
      <c r="B2380">
        <f>HYPERLINK("https://www.suredividend.com/sure-analysis-research-database/","Red Violet Inc")</f>
        <v>0</v>
      </c>
      <c r="C2380" t="s">
        <v>3222</v>
      </c>
      <c r="D2380">
        <v>26.7</v>
      </c>
      <c r="E2380">
        <v>0</v>
      </c>
      <c r="H2380">
        <v>0</v>
      </c>
      <c r="I2380">
        <v>361.052539</v>
      </c>
      <c r="J2380">
        <v>0</v>
      </c>
      <c r="K2380" t="s">
        <v>3219</v>
      </c>
      <c r="L2380">
        <v>1.324204429522419</v>
      </c>
      <c r="M2380">
        <v>42.48</v>
      </c>
      <c r="N2380">
        <v>17.68</v>
      </c>
    </row>
    <row r="2381" spans="1:14">
      <c r="A2381" s="1" t="s">
        <v>2393</v>
      </c>
      <c r="B2381">
        <f>HYPERLINK("https://www.suredividend.com/sure-analysis-RE/","Everest Re Group Ltd")</f>
        <v>0</v>
      </c>
      <c r="C2381" t="s">
        <v>3221</v>
      </c>
      <c r="D2381">
        <v>290.57</v>
      </c>
      <c r="E2381">
        <v>0.02133737137350725</v>
      </c>
      <c r="F2381">
        <v>0</v>
      </c>
      <c r="G2381">
        <v>0.04396114979019283</v>
      </c>
      <c r="H2381">
        <v>6.146726617278761</v>
      </c>
      <c r="I2381">
        <v>14287.955984</v>
      </c>
      <c r="J2381">
        <v>10.49900247709766</v>
      </c>
      <c r="K2381">
        <v>0.1775484291530549</v>
      </c>
      <c r="L2381">
        <v>0.7858242992148921</v>
      </c>
      <c r="M2381">
        <v>308.2</v>
      </c>
      <c r="N2381">
        <v>230.84</v>
      </c>
    </row>
    <row r="2382" spans="1:14">
      <c r="A2382" s="1" t="s">
        <v>2394</v>
      </c>
      <c r="B2382">
        <f>HYPERLINK("https://www.suredividend.com/sure-analysis-research-database/","Reeds Inc")</f>
        <v>0</v>
      </c>
      <c r="C2382" t="s">
        <v>3225</v>
      </c>
      <c r="D2382">
        <v>0.284</v>
      </c>
      <c r="E2382">
        <v>0</v>
      </c>
      <c r="H2382">
        <v>0</v>
      </c>
      <c r="I2382">
        <v>26.61913</v>
      </c>
      <c r="J2382">
        <v>0</v>
      </c>
      <c r="K2382" t="s">
        <v>3219</v>
      </c>
      <c r="L2382">
        <v>0.5011145159821341</v>
      </c>
      <c r="M2382">
        <v>1.68</v>
      </c>
      <c r="N2382">
        <v>0.2421</v>
      </c>
    </row>
    <row r="2383" spans="1:14">
      <c r="A2383" s="1" t="s">
        <v>2395</v>
      </c>
      <c r="B2383">
        <f>HYPERLINK("https://www.suredividend.com/sure-analysis-research-database/","Research Frontiers Inc.")</f>
        <v>0</v>
      </c>
      <c r="C2383" t="s">
        <v>3222</v>
      </c>
      <c r="D2383">
        <v>2</v>
      </c>
      <c r="E2383">
        <v>0</v>
      </c>
      <c r="H2383">
        <v>0</v>
      </c>
      <c r="I2383">
        <v>63.300792</v>
      </c>
      <c r="J2383" t="s">
        <v>3219</v>
      </c>
      <c r="K2383">
        <v>-0</v>
      </c>
      <c r="L2383">
        <v>0.257402716488599</v>
      </c>
      <c r="M2383">
        <v>3.18</v>
      </c>
      <c r="N2383">
        <v>1.34</v>
      </c>
    </row>
    <row r="2384" spans="1:14">
      <c r="A2384" s="1" t="s">
        <v>2396</v>
      </c>
      <c r="B2384">
        <f>HYPERLINK("https://www.suredividend.com/sure-analysis-REG/","Regency Centers Corporation")</f>
        <v>0</v>
      </c>
      <c r="C2384" t="s">
        <v>3224</v>
      </c>
      <c r="D2384">
        <v>70.58</v>
      </c>
      <c r="E2384">
        <v>0.03542079909322755</v>
      </c>
      <c r="F2384">
        <v>0.05042016806722693</v>
      </c>
      <c r="G2384">
        <v>0.03352462704646753</v>
      </c>
      <c r="H2384">
        <v>2.40766755607392</v>
      </c>
      <c r="I2384">
        <v>12095.474791</v>
      </c>
      <c r="J2384">
        <v>33.46736759738912</v>
      </c>
      <c r="K2384">
        <v>1.135692243431094</v>
      </c>
      <c r="L2384">
        <v>0.917494634164116</v>
      </c>
      <c r="M2384">
        <v>78.04000000000001</v>
      </c>
      <c r="N2384">
        <v>56.67</v>
      </c>
    </row>
    <row r="2385" spans="1:14">
      <c r="A2385" s="1" t="s">
        <v>2397</v>
      </c>
      <c r="B2385">
        <f>HYPERLINK("https://www.suredividend.com/sure-analysis-research-database/","Renewable Energy Group Inc")</f>
        <v>0</v>
      </c>
      <c r="C2385" t="s">
        <v>3226</v>
      </c>
      <c r="D2385">
        <v>60.88</v>
      </c>
      <c r="E2385">
        <v>0</v>
      </c>
      <c r="H2385">
        <v>0</v>
      </c>
      <c r="I2385">
        <v>3067.767735</v>
      </c>
      <c r="J2385">
        <v>14.49172489449244</v>
      </c>
      <c r="K2385">
        <v>0</v>
      </c>
      <c r="L2385">
        <v>0.6004462613377231</v>
      </c>
      <c r="M2385">
        <v>73.64</v>
      </c>
      <c r="N2385">
        <v>32.54</v>
      </c>
    </row>
    <row r="2386" spans="1:14">
      <c r="A2386" s="1" t="s">
        <v>2398</v>
      </c>
      <c r="B2386">
        <f>HYPERLINK("https://www.suredividend.com/sure-analysis-research-database/","Regeneron Pharmaceuticals, Inc.")</f>
        <v>0</v>
      </c>
      <c r="C2386" t="s">
        <v>3217</v>
      </c>
      <c r="D2386">
        <v>733.02</v>
      </c>
      <c r="E2386">
        <v>0</v>
      </c>
      <c r="H2386">
        <v>0</v>
      </c>
      <c r="I2386">
        <v>77494.68015</v>
      </c>
      <c r="J2386">
        <v>9.596507888214679</v>
      </c>
      <c r="K2386">
        <v>0</v>
      </c>
      <c r="L2386">
        <v>0.4796380375310451</v>
      </c>
      <c r="M2386">
        <v>747.42</v>
      </c>
      <c r="N2386">
        <v>478.4</v>
      </c>
    </row>
    <row r="2387" spans="1:14">
      <c r="A2387" s="1" t="s">
        <v>2399</v>
      </c>
      <c r="B2387">
        <f>HYPERLINK("https://www.suredividend.com/sure-analysis-research-database/","Ring Energy Inc")</f>
        <v>0</v>
      </c>
      <c r="C2387" t="s">
        <v>3226</v>
      </c>
      <c r="D2387">
        <v>4.18</v>
      </c>
      <c r="E2387">
        <v>0</v>
      </c>
      <c r="H2387">
        <v>0</v>
      </c>
      <c r="I2387">
        <v>418.804909</v>
      </c>
      <c r="J2387">
        <v>0</v>
      </c>
      <c r="K2387" t="s">
        <v>3219</v>
      </c>
      <c r="L2387">
        <v>0.9460834243203621</v>
      </c>
      <c r="M2387">
        <v>4.34</v>
      </c>
      <c r="N2387">
        <v>1.81</v>
      </c>
    </row>
    <row r="2388" spans="1:14">
      <c r="A2388" s="1" t="s">
        <v>2400</v>
      </c>
      <c r="B2388">
        <f>HYPERLINK("https://www.suredividend.com/sure-analysis-research-database/","Richardson Electronics, Ltd.")</f>
        <v>0</v>
      </c>
      <c r="C2388" t="s">
        <v>3222</v>
      </c>
      <c r="D2388">
        <v>12.01</v>
      </c>
      <c r="E2388">
        <v>0.019821276234576</v>
      </c>
      <c r="F2388">
        <v>0</v>
      </c>
      <c r="G2388">
        <v>0</v>
      </c>
      <c r="H2388">
        <v>0.238053527577261</v>
      </c>
      <c r="I2388">
        <v>139.414914</v>
      </c>
      <c r="J2388">
        <v>12.09254179547229</v>
      </c>
      <c r="K2388">
        <v>0.2750791860148614</v>
      </c>
      <c r="L2388">
        <v>0.914456316466955</v>
      </c>
      <c r="M2388">
        <v>15.68</v>
      </c>
      <c r="N2388">
        <v>6.63</v>
      </c>
    </row>
    <row r="2389" spans="1:14">
      <c r="A2389" s="1" t="s">
        <v>2401</v>
      </c>
      <c r="B2389">
        <f>HYPERLINK("https://www.suredividend.com/sure-analysis-research-database/","Reliv` International, Inc.")</f>
        <v>0</v>
      </c>
      <c r="C2389" t="s">
        <v>3225</v>
      </c>
      <c r="D2389">
        <v>3.9</v>
      </c>
      <c r="E2389">
        <v>0</v>
      </c>
      <c r="H2389">
        <v>0</v>
      </c>
      <c r="I2389">
        <v>5.545281</v>
      </c>
      <c r="J2389">
        <v>0</v>
      </c>
      <c r="K2389" t="s">
        <v>3219</v>
      </c>
      <c r="M2389">
        <v>5.19</v>
      </c>
      <c r="N2389">
        <v>1.51</v>
      </c>
    </row>
    <row r="2390" spans="1:14">
      <c r="A2390" s="1" t="s">
        <v>2402</v>
      </c>
      <c r="B2390">
        <f>HYPERLINK("https://www.suredividend.com/sure-analysis-research-database/","Replimune Group Inc")</f>
        <v>0</v>
      </c>
      <c r="C2390" t="s">
        <v>3217</v>
      </c>
      <c r="D2390">
        <v>17.76</v>
      </c>
      <c r="E2390">
        <v>0</v>
      </c>
      <c r="H2390">
        <v>0</v>
      </c>
      <c r="I2390">
        <v>838.441519</v>
      </c>
      <c r="J2390">
        <v>0</v>
      </c>
      <c r="K2390" t="s">
        <v>3219</v>
      </c>
      <c r="L2390">
        <v>1.37861745609963</v>
      </c>
      <c r="M2390">
        <v>40.22</v>
      </c>
      <c r="N2390">
        <v>14.98</v>
      </c>
    </row>
    <row r="2391" spans="1:14">
      <c r="A2391" s="1" t="s">
        <v>2403</v>
      </c>
      <c r="B2391">
        <f>HYPERLINK("https://www.suredividend.com/sure-analysis-research-database/","RPC, Inc.")</f>
        <v>0</v>
      </c>
      <c r="C2391" t="s">
        <v>3226</v>
      </c>
      <c r="D2391">
        <v>12.42</v>
      </c>
      <c r="E2391">
        <v>0</v>
      </c>
      <c r="H2391">
        <v>0</v>
      </c>
      <c r="I2391">
        <v>2688.852921</v>
      </c>
      <c r="J2391">
        <v>377.224035</v>
      </c>
      <c r="K2391">
        <v>0</v>
      </c>
      <c r="L2391">
        <v>0.5727013603371131</v>
      </c>
      <c r="M2391">
        <v>12.68</v>
      </c>
      <c r="N2391">
        <v>3.33</v>
      </c>
    </row>
    <row r="2392" spans="1:14">
      <c r="A2392" s="1" t="s">
        <v>2404</v>
      </c>
      <c r="B2392">
        <f>HYPERLINK("https://www.suredividend.com/sure-analysis-research-database/","Kelly Strategic ETF Trust")</f>
        <v>0</v>
      </c>
      <c r="C2392" t="s">
        <v>3224</v>
      </c>
      <c r="D2392">
        <v>14.4233</v>
      </c>
      <c r="E2392">
        <v>0</v>
      </c>
      <c r="H2392">
        <v>0</v>
      </c>
      <c r="I2392">
        <v>1.44233</v>
      </c>
      <c r="J2392">
        <v>0</v>
      </c>
      <c r="K2392" t="s">
        <v>3219</v>
      </c>
      <c r="M2392">
        <v>14.89</v>
      </c>
      <c r="N2392">
        <v>13.51</v>
      </c>
    </row>
    <row r="2393" spans="1:14">
      <c r="A2393" s="1" t="s">
        <v>2405</v>
      </c>
      <c r="B2393">
        <f>HYPERLINK("https://www.suredividend.com/sure-analysis-research-database/","Resonant Inc")</f>
        <v>0</v>
      </c>
      <c r="C2393" t="s">
        <v>3222</v>
      </c>
      <c r="D2393">
        <v>4.48</v>
      </c>
      <c r="E2393">
        <v>0</v>
      </c>
      <c r="H2393">
        <v>0</v>
      </c>
      <c r="I2393">
        <v>0</v>
      </c>
      <c r="J2393">
        <v>0</v>
      </c>
      <c r="K2393" t="s">
        <v>3219</v>
      </c>
    </row>
    <row r="2394" spans="1:14">
      <c r="A2394" s="1" t="s">
        <v>2406</v>
      </c>
      <c r="B2394">
        <f>HYPERLINK("https://www.suredividend.com/sure-analysis-research-database/","Reata Pharmaceuticals Inc")</f>
        <v>0</v>
      </c>
      <c r="C2394" t="s">
        <v>3217</v>
      </c>
      <c r="D2394">
        <v>34.11</v>
      </c>
      <c r="E2394">
        <v>0</v>
      </c>
      <c r="H2394">
        <v>0</v>
      </c>
      <c r="I2394">
        <v>1073.942094</v>
      </c>
      <c r="J2394" t="s">
        <v>3219</v>
      </c>
      <c r="K2394">
        <v>-0</v>
      </c>
      <c r="M2394">
        <v>153.41</v>
      </c>
      <c r="N2394">
        <v>22.71</v>
      </c>
    </row>
    <row r="2395" spans="1:14">
      <c r="A2395" s="1" t="s">
        <v>2407</v>
      </c>
      <c r="B2395">
        <f>HYPERLINK("https://www.suredividend.com/sure-analysis-research-database/","Revlon, Inc.")</f>
        <v>0</v>
      </c>
      <c r="C2395" t="s">
        <v>3225</v>
      </c>
      <c r="D2395">
        <v>7.71</v>
      </c>
      <c r="E2395">
        <v>0</v>
      </c>
      <c r="H2395">
        <v>0</v>
      </c>
      <c r="I2395">
        <v>414.00377</v>
      </c>
      <c r="J2395" t="s">
        <v>3219</v>
      </c>
      <c r="K2395">
        <v>-0</v>
      </c>
      <c r="L2395">
        <v>1.775598024807055</v>
      </c>
      <c r="M2395">
        <v>17.65</v>
      </c>
      <c r="N2395">
        <v>7.65</v>
      </c>
    </row>
    <row r="2396" spans="1:14">
      <c r="A2396" s="1" t="s">
        <v>2408</v>
      </c>
      <c r="B2396">
        <f>HYPERLINK("https://www.suredividend.com/sure-analysis-research-database/","REV Group Inc")</f>
        <v>0</v>
      </c>
      <c r="C2396" t="s">
        <v>3220</v>
      </c>
      <c r="D2396">
        <v>12.45</v>
      </c>
      <c r="E2396">
        <v>0.015982813073666</v>
      </c>
      <c r="H2396">
        <v>0.198986022767149</v>
      </c>
      <c r="I2396">
        <v>783.62658</v>
      </c>
      <c r="J2396" t="s">
        <v>3219</v>
      </c>
      <c r="K2396" t="s">
        <v>3219</v>
      </c>
      <c r="L2396">
        <v>1.108522184127822</v>
      </c>
      <c r="M2396">
        <v>21.94</v>
      </c>
      <c r="N2396">
        <v>11.12</v>
      </c>
    </row>
    <row r="2397" spans="1:14">
      <c r="A2397" s="1" t="s">
        <v>2409</v>
      </c>
      <c r="B2397">
        <f>HYPERLINK("https://www.suredividend.com/sure-analysis-research-database/","REX American Resources Corp")</f>
        <v>0</v>
      </c>
      <c r="C2397" t="s">
        <v>3226</v>
      </c>
      <c r="D2397">
        <v>91.37</v>
      </c>
      <c r="E2397">
        <v>0</v>
      </c>
      <c r="H2397">
        <v>0</v>
      </c>
      <c r="I2397">
        <v>540.942471</v>
      </c>
      <c r="J2397">
        <v>10.33042683656711</v>
      </c>
      <c r="K2397">
        <v>0</v>
      </c>
      <c r="L2397">
        <v>0.8413369847762481</v>
      </c>
      <c r="M2397">
        <v>113.43</v>
      </c>
      <c r="N2397">
        <v>72.06</v>
      </c>
    </row>
    <row r="2398" spans="1:14">
      <c r="A2398" s="1" t="s">
        <v>2410</v>
      </c>
      <c r="B2398">
        <f>HYPERLINK("https://www.suredividend.com/sure-analysis-research-database/","Rexford Industrial Realty Inc")</f>
        <v>0</v>
      </c>
      <c r="C2398" t="s">
        <v>3224</v>
      </c>
      <c r="D2398">
        <v>76.18000000000001</v>
      </c>
      <c r="E2398">
        <v>0.013515202717562</v>
      </c>
      <c r="F2398">
        <v>0.3125</v>
      </c>
      <c r="G2398">
        <v>0.167853886353946</v>
      </c>
      <c r="H2398">
        <v>1.02958814302389</v>
      </c>
      <c r="I2398">
        <v>12229.650458</v>
      </c>
      <c r="J2398">
        <v>109.4268166755845</v>
      </c>
      <c r="K2398">
        <v>1.290372406346522</v>
      </c>
      <c r="L2398">
        <v>0.7789475688044251</v>
      </c>
      <c r="M2398">
        <v>81.34</v>
      </c>
      <c r="N2398">
        <v>51.67</v>
      </c>
    </row>
    <row r="2399" spans="1:14">
      <c r="A2399" s="1" t="s">
        <v>2411</v>
      </c>
      <c r="B2399">
        <f>HYPERLINK("https://www.suredividend.com/sure-analysis-research-database/","Resideo Technologies Inc")</f>
        <v>0</v>
      </c>
      <c r="C2399" t="s">
        <v>3220</v>
      </c>
      <c r="D2399">
        <v>22.83</v>
      </c>
      <c r="E2399">
        <v>0</v>
      </c>
      <c r="H2399">
        <v>0</v>
      </c>
      <c r="I2399">
        <v>3310.776305</v>
      </c>
      <c r="J2399">
        <v>13.68089382061983</v>
      </c>
      <c r="K2399">
        <v>0</v>
      </c>
      <c r="L2399">
        <v>1.688884261526557</v>
      </c>
      <c r="M2399">
        <v>33.25</v>
      </c>
      <c r="N2399">
        <v>21.2</v>
      </c>
    </row>
    <row r="2400" spans="1:14">
      <c r="A2400" s="1" t="s">
        <v>2412</v>
      </c>
      <c r="B2400">
        <f>HYPERLINK("https://www.suredividend.com/sure-analysis-RF/","Regions Financial Corp.")</f>
        <v>0</v>
      </c>
      <c r="C2400" t="s">
        <v>3221</v>
      </c>
      <c r="D2400">
        <v>20.73</v>
      </c>
      <c r="E2400">
        <v>0.03280270139893874</v>
      </c>
      <c r="F2400">
        <v>0.09677419354838723</v>
      </c>
      <c r="G2400">
        <v>0.1941810528171777</v>
      </c>
      <c r="H2400">
        <v>0.657486944860983</v>
      </c>
      <c r="I2400">
        <v>19427.039358</v>
      </c>
      <c r="J2400">
        <v>8.094599732425001</v>
      </c>
      <c r="K2400">
        <v>0.2640509818718807</v>
      </c>
      <c r="L2400">
        <v>1.257876401527269</v>
      </c>
      <c r="M2400">
        <v>25.38</v>
      </c>
      <c r="N2400">
        <v>17.6</v>
      </c>
    </row>
    <row r="2401" spans="1:14">
      <c r="A2401" s="1" t="s">
        <v>2413</v>
      </c>
      <c r="B2401">
        <f>HYPERLINK("https://www.suredividend.com/sure-analysis-research-database/","RF Industries Ltd.")</f>
        <v>0</v>
      </c>
      <c r="C2401" t="s">
        <v>3220</v>
      </c>
      <c r="D2401">
        <v>6.85</v>
      </c>
      <c r="E2401">
        <v>0</v>
      </c>
      <c r="H2401">
        <v>0</v>
      </c>
      <c r="I2401">
        <v>69.158799</v>
      </c>
      <c r="J2401">
        <v>0</v>
      </c>
      <c r="K2401" t="s">
        <v>3219</v>
      </c>
      <c r="L2401">
        <v>0.9064196983354451</v>
      </c>
      <c r="M2401">
        <v>9.630000000000001</v>
      </c>
      <c r="N2401">
        <v>6.1</v>
      </c>
    </row>
    <row r="2402" spans="1:14">
      <c r="A2402" s="1" t="s">
        <v>2414</v>
      </c>
      <c r="B2402">
        <f>HYPERLINK("https://www.suredividend.com/sure-analysis-research-database/","Rafael Holdings Inc")</f>
        <v>0</v>
      </c>
      <c r="C2402" t="s">
        <v>3217</v>
      </c>
      <c r="D2402">
        <v>2.12</v>
      </c>
      <c r="E2402">
        <v>0</v>
      </c>
      <c r="H2402">
        <v>0</v>
      </c>
      <c r="I2402">
        <v>42.434796</v>
      </c>
      <c r="J2402">
        <v>0</v>
      </c>
      <c r="K2402" t="s">
        <v>3219</v>
      </c>
      <c r="L2402">
        <v>1.747410907083064</v>
      </c>
      <c r="M2402">
        <v>66.44</v>
      </c>
      <c r="N2402">
        <v>2.05</v>
      </c>
    </row>
    <row r="2403" spans="1:14">
      <c r="A2403" s="1" t="s">
        <v>2415</v>
      </c>
      <c r="B2403">
        <f>HYPERLINK("https://www.suredividend.com/sure-analysis-research-database/","Resolute Forest Products Inc")</f>
        <v>0</v>
      </c>
      <c r="C2403" t="s">
        <v>3218</v>
      </c>
      <c r="D2403">
        <v>12.72</v>
      </c>
      <c r="E2403">
        <v>0</v>
      </c>
      <c r="H2403">
        <v>0</v>
      </c>
      <c r="I2403">
        <v>978.244409</v>
      </c>
      <c r="J2403">
        <v>3.186463873094462</v>
      </c>
      <c r="K2403">
        <v>0</v>
      </c>
      <c r="L2403">
        <v>1.568333334596922</v>
      </c>
      <c r="M2403">
        <v>16.61</v>
      </c>
      <c r="N2403">
        <v>9.84</v>
      </c>
    </row>
    <row r="2404" spans="1:14">
      <c r="A2404" s="1" t="s">
        <v>2416</v>
      </c>
      <c r="B2404">
        <f>HYPERLINK("https://www.suredividend.com/sure-analysis-RGA/","Reinsurance Group Of America, Inc.")</f>
        <v>0</v>
      </c>
      <c r="C2404" t="s">
        <v>3221</v>
      </c>
      <c r="D2404">
        <v>112.66</v>
      </c>
      <c r="E2404">
        <v>0.02591869341381147</v>
      </c>
      <c r="F2404">
        <v>0.0428571428571427</v>
      </c>
      <c r="G2404">
        <v>0.1222969965594638</v>
      </c>
      <c r="H2404">
        <v>2.862625833431065</v>
      </c>
      <c r="I2404">
        <v>7546.896583</v>
      </c>
      <c r="J2404">
        <v>12.23159899996758</v>
      </c>
      <c r="K2404">
        <v>0.3170128276224878</v>
      </c>
      <c r="L2404">
        <v>0.949369501518151</v>
      </c>
      <c r="M2404">
        <v>131.52</v>
      </c>
      <c r="N2404">
        <v>93.70999999999999</v>
      </c>
    </row>
    <row r="2405" spans="1:14">
      <c r="A2405" s="1" t="s">
        <v>2417</v>
      </c>
      <c r="B2405">
        <f>HYPERLINK("https://www.suredividend.com/sure-analysis-research-database/","RGC Resources, Inc.")</f>
        <v>0</v>
      </c>
      <c r="C2405" t="s">
        <v>3227</v>
      </c>
      <c r="D2405">
        <v>21.24</v>
      </c>
      <c r="E2405">
        <v>0.035318874901394</v>
      </c>
      <c r="F2405">
        <v>0.05405405405405417</v>
      </c>
      <c r="G2405">
        <v>0.06104382402123121</v>
      </c>
      <c r="H2405">
        <v>0.750172902905614</v>
      </c>
      <c r="I2405">
        <v>178.887039</v>
      </c>
      <c r="J2405">
        <v>0</v>
      </c>
      <c r="K2405" t="s">
        <v>3219</v>
      </c>
      <c r="L2405">
        <v>0.342738114872742</v>
      </c>
      <c r="M2405">
        <v>25.35</v>
      </c>
      <c r="N2405">
        <v>20.07</v>
      </c>
    </row>
    <row r="2406" spans="1:14">
      <c r="A2406" s="1" t="s">
        <v>2418</v>
      </c>
      <c r="B2406">
        <f>HYPERLINK("https://www.suredividend.com/sure-analysis-research-database/","Repligen Corp.")</f>
        <v>0</v>
      </c>
      <c r="C2406" t="s">
        <v>3217</v>
      </c>
      <c r="D2406">
        <v>157.67</v>
      </c>
      <c r="E2406">
        <v>0</v>
      </c>
      <c r="H2406">
        <v>0</v>
      </c>
      <c r="I2406">
        <v>8581.837301</v>
      </c>
      <c r="J2406">
        <v>66.89352566189366</v>
      </c>
      <c r="K2406">
        <v>0</v>
      </c>
      <c r="L2406">
        <v>1.232989355081366</v>
      </c>
      <c r="M2406">
        <v>327.32</v>
      </c>
      <c r="N2406">
        <v>154.73</v>
      </c>
    </row>
    <row r="2407" spans="1:14">
      <c r="A2407" s="1" t="s">
        <v>2419</v>
      </c>
      <c r="B2407">
        <f>HYPERLINK("https://www.suredividend.com/sure-analysis-RGLD/","Royal Gold, Inc.")</f>
        <v>0</v>
      </c>
      <c r="C2407" t="s">
        <v>3218</v>
      </c>
      <c r="D2407">
        <v>144.93</v>
      </c>
      <c r="E2407">
        <v>0.009659835782791691</v>
      </c>
      <c r="F2407">
        <v>0.1666666666666665</v>
      </c>
      <c r="G2407">
        <v>0.07837884744794921</v>
      </c>
      <c r="H2407">
        <v>1.294679999497282</v>
      </c>
      <c r="I2407">
        <v>9513.027226</v>
      </c>
      <c r="J2407">
        <v>35.79434481056857</v>
      </c>
      <c r="K2407">
        <v>0.3196740739499462</v>
      </c>
      <c r="L2407">
        <v>0.194278612932906</v>
      </c>
      <c r="M2407">
        <v>147.7</v>
      </c>
      <c r="N2407">
        <v>91.47</v>
      </c>
    </row>
    <row r="2408" spans="1:14">
      <c r="A2408" s="1" t="s">
        <v>2420</v>
      </c>
      <c r="B2408">
        <f>HYPERLINK("https://www.suredividend.com/sure-analysis-research-database/","Regulus Therapeutics Inc")</f>
        <v>0</v>
      </c>
      <c r="C2408" t="s">
        <v>3217</v>
      </c>
      <c r="D2408">
        <v>0.2545</v>
      </c>
      <c r="E2408">
        <v>0</v>
      </c>
      <c r="H2408">
        <v>0</v>
      </c>
      <c r="I2408">
        <v>37.149666</v>
      </c>
      <c r="J2408">
        <v>0</v>
      </c>
      <c r="K2408" t="s">
        <v>3219</v>
      </c>
      <c r="L2408">
        <v>0.84844589377763</v>
      </c>
      <c r="M2408">
        <v>1.55</v>
      </c>
      <c r="N2408">
        <v>0.19</v>
      </c>
    </row>
    <row r="2409" spans="1:14">
      <c r="A2409" s="1" t="s">
        <v>2421</v>
      </c>
      <c r="B2409">
        <f>HYPERLINK("https://www.suredividend.com/sure-analysis-research-database/","Regenxbio Inc")</f>
        <v>0</v>
      </c>
      <c r="C2409" t="s">
        <v>3217</v>
      </c>
      <c r="D2409">
        <v>30.52</v>
      </c>
      <c r="E2409">
        <v>0</v>
      </c>
      <c r="H2409">
        <v>0</v>
      </c>
      <c r="I2409">
        <v>1311.917704</v>
      </c>
      <c r="J2409">
        <v>10.26218479474343</v>
      </c>
      <c r="K2409">
        <v>0</v>
      </c>
      <c r="L2409">
        <v>1.22994774010834</v>
      </c>
      <c r="M2409">
        <v>46.46</v>
      </c>
      <c r="N2409">
        <v>24.09</v>
      </c>
    </row>
    <row r="2410" spans="1:14">
      <c r="A2410" s="1" t="s">
        <v>2422</v>
      </c>
      <c r="B2410">
        <f>HYPERLINK("https://www.suredividend.com/sure-analysis-research-database/","Sturm, Ruger &amp; Co., Inc.")</f>
        <v>0</v>
      </c>
      <c r="C2410" t="s">
        <v>3220</v>
      </c>
      <c r="D2410">
        <v>71.73</v>
      </c>
      <c r="E2410">
        <v>0.048059995648433</v>
      </c>
      <c r="F2410">
        <v>0.2112676056338028</v>
      </c>
      <c r="G2410">
        <v>0.3018295432655989</v>
      </c>
      <c r="H2410">
        <v>3.447343487862135</v>
      </c>
      <c r="I2410">
        <v>1262.204118</v>
      </c>
      <c r="J2410">
        <v>8.096293869749005</v>
      </c>
      <c r="K2410">
        <v>0.3926359325583298</v>
      </c>
      <c r="L2410">
        <v>0.6086773023345771</v>
      </c>
      <c r="M2410">
        <v>89.27</v>
      </c>
      <c r="N2410">
        <v>61.61</v>
      </c>
    </row>
    <row r="2411" spans="1:14">
      <c r="A2411" s="1" t="s">
        <v>2423</v>
      </c>
      <c r="B2411">
        <f>HYPERLINK("https://www.suredividend.com/sure-analysis-research-database/","Regis Corp.")</f>
        <v>0</v>
      </c>
      <c r="C2411" t="s">
        <v>3223</v>
      </c>
      <c r="D2411">
        <v>1.77</v>
      </c>
      <c r="E2411">
        <v>0</v>
      </c>
      <c r="H2411">
        <v>0</v>
      </c>
      <c r="I2411">
        <v>80.518348</v>
      </c>
      <c r="J2411" t="s">
        <v>3219</v>
      </c>
      <c r="K2411">
        <v>-0</v>
      </c>
      <c r="L2411">
        <v>0.999672029481335</v>
      </c>
      <c r="M2411">
        <v>13.68</v>
      </c>
      <c r="N2411">
        <v>1.3</v>
      </c>
    </row>
    <row r="2412" spans="1:14">
      <c r="A2412" s="1" t="s">
        <v>2424</v>
      </c>
      <c r="B2412">
        <f>HYPERLINK("https://www.suredividend.com/sure-analysis-research-database/","RH")</f>
        <v>0</v>
      </c>
      <c r="C2412" t="s">
        <v>3223</v>
      </c>
      <c r="D2412">
        <v>334.53</v>
      </c>
      <c r="E2412">
        <v>0</v>
      </c>
      <c r="H2412">
        <v>0</v>
      </c>
      <c r="I2412">
        <v>7262.235163</v>
      </c>
      <c r="J2412">
        <v>10.5472040540937</v>
      </c>
      <c r="K2412">
        <v>0</v>
      </c>
      <c r="L2412">
        <v>1.63132253102515</v>
      </c>
      <c r="M2412">
        <v>744.5599999999999</v>
      </c>
      <c r="N2412">
        <v>313.85</v>
      </c>
    </row>
    <row r="2413" spans="1:14">
      <c r="A2413" s="1" t="s">
        <v>2425</v>
      </c>
      <c r="B2413">
        <f>HYPERLINK("https://www.suredividend.com/sure-analysis-research-database/","Regional Health Properties Inc")</f>
        <v>0</v>
      </c>
      <c r="C2413" t="s">
        <v>3217</v>
      </c>
      <c r="D2413">
        <v>3.15</v>
      </c>
      <c r="E2413">
        <v>0</v>
      </c>
      <c r="H2413">
        <v>0</v>
      </c>
      <c r="I2413">
        <v>5.633268</v>
      </c>
      <c r="J2413">
        <v>0</v>
      </c>
      <c r="K2413" t="s">
        <v>3219</v>
      </c>
      <c r="L2413">
        <v>1.986530544329689</v>
      </c>
      <c r="M2413">
        <v>27.72</v>
      </c>
      <c r="N2413">
        <v>2.81</v>
      </c>
    </row>
    <row r="2414" spans="1:14">
      <c r="A2414" s="1" t="s">
        <v>2426</v>
      </c>
      <c r="B2414">
        <f>HYPERLINK("https://www.suredividend.com/sure-analysis-research-database/","Robert Half International Inc.")</f>
        <v>0</v>
      </c>
      <c r="C2414" t="s">
        <v>3220</v>
      </c>
      <c r="D2414">
        <v>108.56</v>
      </c>
      <c r="E2414">
        <v>0.014387517970173</v>
      </c>
      <c r="F2414">
        <v>0.131578947368421</v>
      </c>
      <c r="G2414">
        <v>0.1237027476042598</v>
      </c>
      <c r="H2414">
        <v>1.561908950842061</v>
      </c>
      <c r="I2414">
        <v>12016.070857</v>
      </c>
      <c r="J2414">
        <v>20.07275136275404</v>
      </c>
      <c r="K2414">
        <v>0.2914009236645636</v>
      </c>
      <c r="L2414">
        <v>1.164266318128709</v>
      </c>
      <c r="M2414">
        <v>125.3</v>
      </c>
      <c r="N2414">
        <v>79.73</v>
      </c>
    </row>
    <row r="2415" spans="1:14">
      <c r="A2415" s="1" t="s">
        <v>2427</v>
      </c>
      <c r="B2415">
        <f>HYPERLINK("https://www.suredividend.com/sure-analysis-research-database/","Ryman Hospitality Properties Inc")</f>
        <v>0</v>
      </c>
      <c r="C2415" t="s">
        <v>3224</v>
      </c>
      <c r="D2415">
        <v>95.01000000000001</v>
      </c>
      <c r="E2415">
        <v>0</v>
      </c>
      <c r="H2415">
        <v>0</v>
      </c>
      <c r="I2415">
        <v>5239.376805</v>
      </c>
      <c r="J2415" t="s">
        <v>3219</v>
      </c>
      <c r="K2415">
        <v>-0</v>
      </c>
      <c r="L2415">
        <v>1.453528415119073</v>
      </c>
      <c r="M2415">
        <v>98.11</v>
      </c>
      <c r="N2415">
        <v>68.64</v>
      </c>
    </row>
    <row r="2416" spans="1:14">
      <c r="A2416" s="1" t="s">
        <v>2428</v>
      </c>
      <c r="B2416">
        <f>HYPERLINK("https://www.suredividend.com/sure-analysis-research-database/","RiceBran Technologies")</f>
        <v>0</v>
      </c>
      <c r="C2416" t="s">
        <v>3225</v>
      </c>
      <c r="D2416">
        <v>0.5053</v>
      </c>
      <c r="E2416">
        <v>0</v>
      </c>
      <c r="H2416">
        <v>0</v>
      </c>
      <c r="I2416">
        <v>26.181829</v>
      </c>
      <c r="J2416">
        <v>0</v>
      </c>
      <c r="K2416" t="s">
        <v>3219</v>
      </c>
      <c r="L2416">
        <v>0.249740851087388</v>
      </c>
      <c r="M2416">
        <v>1.83</v>
      </c>
      <c r="N2416">
        <v>0.27</v>
      </c>
    </row>
    <row r="2417" spans="1:14">
      <c r="A2417" s="1" t="s">
        <v>2429</v>
      </c>
      <c r="B2417">
        <f>HYPERLINK("https://www.suredividend.com/sure-analysis-research-database/","RCI Hospitality Holdings Inc")</f>
        <v>0</v>
      </c>
      <c r="C2417" t="s">
        <v>3223</v>
      </c>
      <c r="D2417">
        <v>63.5</v>
      </c>
      <c r="E2417">
        <v>0.002674386258175</v>
      </c>
      <c r="F2417">
        <v>0.25</v>
      </c>
      <c r="G2417">
        <v>0.1075663432482901</v>
      </c>
      <c r="H2417">
        <v>0.169823527394145</v>
      </c>
      <c r="I2417">
        <v>603.244285</v>
      </c>
      <c r="J2417">
        <v>19.29270452219522</v>
      </c>
      <c r="K2417">
        <v>0.04936730447504216</v>
      </c>
      <c r="L2417">
        <v>1.834597032070238</v>
      </c>
      <c r="M2417">
        <v>94.25</v>
      </c>
      <c r="N2417">
        <v>55.22</v>
      </c>
    </row>
    <row r="2418" spans="1:14">
      <c r="A2418" s="1" t="s">
        <v>2430</v>
      </c>
      <c r="B2418">
        <f>HYPERLINK("https://www.suredividend.com/sure-analysis-research-database/","Transocean Ltd")</f>
        <v>0</v>
      </c>
      <c r="C2418" t="s">
        <v>3226</v>
      </c>
      <c r="D2418">
        <v>4.58</v>
      </c>
      <c r="E2418">
        <v>0</v>
      </c>
      <c r="H2418">
        <v>0</v>
      </c>
      <c r="I2418">
        <v>3119.233137</v>
      </c>
      <c r="J2418" t="s">
        <v>3219</v>
      </c>
      <c r="K2418">
        <v>-0</v>
      </c>
      <c r="L2418">
        <v>0.930246148306145</v>
      </c>
      <c r="M2418">
        <v>5.56</v>
      </c>
      <c r="N2418">
        <v>2.63</v>
      </c>
    </row>
    <row r="2419" spans="1:14">
      <c r="A2419" s="1" t="s">
        <v>2431</v>
      </c>
      <c r="B2419">
        <f>HYPERLINK("https://www.suredividend.com/sure-analysis-research-database/","Rigel Pharmaceuticals")</f>
        <v>0</v>
      </c>
      <c r="C2419" t="s">
        <v>3217</v>
      </c>
      <c r="D2419">
        <v>2.97</v>
      </c>
      <c r="E2419">
        <v>0</v>
      </c>
      <c r="H2419">
        <v>0</v>
      </c>
      <c r="I2419">
        <v>510.806032</v>
      </c>
      <c r="J2419" t="s">
        <v>3219</v>
      </c>
      <c r="K2419">
        <v>-0</v>
      </c>
      <c r="L2419">
        <v>1.239345474076649</v>
      </c>
      <c r="M2419">
        <v>4.62</v>
      </c>
      <c r="N2419">
        <v>2.19</v>
      </c>
    </row>
    <row r="2420" spans="1:14">
      <c r="A2420" s="1" t="s">
        <v>2432</v>
      </c>
      <c r="B2420">
        <f>HYPERLINK("https://www.suredividend.com/sure-analysis-research-database/","B. Riley Financial Inc")</f>
        <v>0</v>
      </c>
      <c r="C2420" t="s">
        <v>3221</v>
      </c>
      <c r="D2420">
        <v>56.92</v>
      </c>
      <c r="E2420">
        <v>0.05187311992215501</v>
      </c>
      <c r="F2420">
        <v>-0.3333333333333334</v>
      </c>
      <c r="G2420">
        <v>0.409111953304333</v>
      </c>
      <c r="H2420">
        <v>2.952617985969065</v>
      </c>
      <c r="I2420">
        <v>1569.258957</v>
      </c>
      <c r="J2420">
        <v>0</v>
      </c>
      <c r="K2420" t="s">
        <v>3219</v>
      </c>
      <c r="L2420">
        <v>1.629163184080936</v>
      </c>
      <c r="M2420">
        <v>89.79000000000001</v>
      </c>
      <c r="N2420">
        <v>53.01</v>
      </c>
    </row>
    <row r="2421" spans="1:14">
      <c r="A2421" s="1" t="s">
        <v>2433</v>
      </c>
      <c r="B2421">
        <f>HYPERLINK("https://www.suredividend.com/sure-analysis-research-database/","Riot Blockchain Inc")</f>
        <v>0</v>
      </c>
      <c r="C2421" t="s">
        <v>3222</v>
      </c>
      <c r="D2421">
        <v>14.97</v>
      </c>
      <c r="E2421">
        <v>0</v>
      </c>
      <c r="H2421">
        <v>0</v>
      </c>
      <c r="I2421">
        <v>1755.588187</v>
      </c>
      <c r="J2421">
        <v>0</v>
      </c>
      <c r="K2421" t="s">
        <v>3219</v>
      </c>
      <c r="L2421">
        <v>3.116214368541652</v>
      </c>
      <c r="M2421">
        <v>46.28</v>
      </c>
      <c r="N2421">
        <v>12.9</v>
      </c>
    </row>
    <row r="2422" spans="1:14">
      <c r="A2422" s="1" t="s">
        <v>2434</v>
      </c>
      <c r="B2422">
        <f>HYPERLINK("https://www.suredividend.com/sure-analysis-research-database/","Raymond James Financial, Inc.")</f>
        <v>0</v>
      </c>
      <c r="C2422" t="s">
        <v>3221</v>
      </c>
      <c r="D2422">
        <v>111.8</v>
      </c>
      <c r="E2422">
        <v>0.010687534786062</v>
      </c>
      <c r="F2422">
        <v>-0.1282051282051282</v>
      </c>
      <c r="G2422">
        <v>0.09096607850144967</v>
      </c>
      <c r="H2422">
        <v>1.194866389081761</v>
      </c>
      <c r="I2422">
        <v>23209.908407</v>
      </c>
      <c r="J2422">
        <v>15.12046150319218</v>
      </c>
      <c r="K2422">
        <v>0.1650367940720664</v>
      </c>
      <c r="L2422">
        <v>1.270695980624583</v>
      </c>
      <c r="M2422">
        <v>117.01</v>
      </c>
      <c r="N2422">
        <v>81.2</v>
      </c>
    </row>
    <row r="2423" spans="1:14">
      <c r="A2423" s="1" t="s">
        <v>2435</v>
      </c>
      <c r="B2423">
        <f>HYPERLINK("https://www.suredividend.com/sure-analysis-research-database/","Arcadia Biosciences Inc")</f>
        <v>0</v>
      </c>
      <c r="C2423" t="s">
        <v>3218</v>
      </c>
      <c r="D2423">
        <v>1.07</v>
      </c>
      <c r="E2423">
        <v>0</v>
      </c>
      <c r="H2423">
        <v>0</v>
      </c>
      <c r="I2423">
        <v>23.742142</v>
      </c>
      <c r="J2423" t="s">
        <v>3219</v>
      </c>
      <c r="K2423">
        <v>-0</v>
      </c>
      <c r="L2423">
        <v>1.32202778612329</v>
      </c>
      <c r="M2423">
        <v>3.25</v>
      </c>
      <c r="N2423">
        <v>0.74</v>
      </c>
    </row>
    <row r="2424" spans="1:14">
      <c r="A2424" s="1" t="s">
        <v>2436</v>
      </c>
      <c r="B2424">
        <f>HYPERLINK("https://www.suredividend.com/sure-analysis-research-database/","Ralph Lauren Corp")</f>
        <v>0</v>
      </c>
      <c r="C2424" t="s">
        <v>3223</v>
      </c>
      <c r="D2424">
        <v>108.52</v>
      </c>
      <c r="E2424">
        <v>0.025116451341912</v>
      </c>
      <c r="H2424">
        <v>2.72563729962437</v>
      </c>
      <c r="I2424">
        <v>7932.865826</v>
      </c>
      <c r="J2424">
        <v>15.81512325741627</v>
      </c>
      <c r="K2424">
        <v>0.4043972254635564</v>
      </c>
      <c r="L2424">
        <v>1.441510072165234</v>
      </c>
      <c r="M2424">
        <v>138.72</v>
      </c>
      <c r="N2424">
        <v>99.86</v>
      </c>
    </row>
    <row r="2425" spans="1:14">
      <c r="A2425" s="1" t="s">
        <v>2437</v>
      </c>
      <c r="B2425">
        <f>HYPERLINK("https://www.suredividend.com/sure-analysis-research-database/","Radiant Logistics, Inc.")</f>
        <v>0</v>
      </c>
      <c r="C2425" t="s">
        <v>3220</v>
      </c>
      <c r="D2425">
        <v>5.83</v>
      </c>
      <c r="E2425">
        <v>0</v>
      </c>
      <c r="H2425">
        <v>0</v>
      </c>
      <c r="I2425">
        <v>288.254468</v>
      </c>
      <c r="J2425">
        <v>0</v>
      </c>
      <c r="K2425" t="s">
        <v>3219</v>
      </c>
      <c r="L2425">
        <v>1.171329205162597</v>
      </c>
      <c r="M2425">
        <v>8.74</v>
      </c>
      <c r="N2425">
        <v>5.67</v>
      </c>
    </row>
    <row r="2426" spans="1:14">
      <c r="A2426" s="1" t="s">
        <v>2438</v>
      </c>
      <c r="B2426">
        <f>HYPERLINK("https://www.suredividend.com/sure-analysis-research-database/","Realogy Holdings Corp")</f>
        <v>0</v>
      </c>
      <c r="C2426" t="s">
        <v>3224</v>
      </c>
      <c r="D2426">
        <v>13.32</v>
      </c>
      <c r="E2426">
        <v>0</v>
      </c>
      <c r="H2426">
        <v>0</v>
      </c>
      <c r="I2426">
        <v>1573.333891</v>
      </c>
      <c r="J2426">
        <v>4.586979274635569</v>
      </c>
      <c r="K2426">
        <v>0</v>
      </c>
      <c r="L2426">
        <v>1.438783738147832</v>
      </c>
      <c r="M2426">
        <v>21.03</v>
      </c>
      <c r="N2426">
        <v>12.95</v>
      </c>
    </row>
    <row r="2427" spans="1:14">
      <c r="A2427" s="1" t="s">
        <v>2439</v>
      </c>
      <c r="B2427">
        <f>HYPERLINK("https://www.suredividend.com/sure-analysis-research-database/","Red Lion Hotels Corporation")</f>
        <v>0</v>
      </c>
      <c r="C2427" t="s">
        <v>3223</v>
      </c>
      <c r="D2427">
        <v>3.49</v>
      </c>
      <c r="E2427">
        <v>0</v>
      </c>
      <c r="H2427">
        <v>0</v>
      </c>
      <c r="I2427">
        <v>88.99938</v>
      </c>
      <c r="J2427">
        <v>0</v>
      </c>
      <c r="K2427">
        <v>-0</v>
      </c>
      <c r="L2427">
        <v>1.138578444571625</v>
      </c>
    </row>
    <row r="2428" spans="1:14">
      <c r="A2428" s="1" t="s">
        <v>2440</v>
      </c>
      <c r="B2428">
        <f>HYPERLINK("https://www.suredividend.com/sure-analysis-RLI/","RLI Corp.")</f>
        <v>0</v>
      </c>
      <c r="C2428" t="s">
        <v>3221</v>
      </c>
      <c r="D2428">
        <v>109.08</v>
      </c>
      <c r="E2428">
        <v>0.009167583425009168</v>
      </c>
      <c r="F2428">
        <v>0</v>
      </c>
      <c r="G2428">
        <v>0.02589630491023409</v>
      </c>
      <c r="H2428">
        <v>0.9883846531521311</v>
      </c>
      <c r="I2428">
        <v>4940.239963</v>
      </c>
      <c r="J2428">
        <v>17.68451485555961</v>
      </c>
      <c r="K2428">
        <v>0.1617650823489576</v>
      </c>
      <c r="L2428">
        <v>0.7140185410165071</v>
      </c>
      <c r="M2428">
        <v>114.84</v>
      </c>
      <c r="N2428">
        <v>95.98</v>
      </c>
    </row>
    <row r="2429" spans="1:14">
      <c r="A2429" s="1" t="s">
        <v>2441</v>
      </c>
      <c r="B2429">
        <f>HYPERLINK("https://www.suredividend.com/sure-analysis-RLJ/","RLJ Lodging Trust")</f>
        <v>0</v>
      </c>
      <c r="C2429" t="s">
        <v>3224</v>
      </c>
      <c r="D2429">
        <v>14.12</v>
      </c>
      <c r="E2429">
        <v>0.0028328611898017</v>
      </c>
      <c r="F2429">
        <v>0</v>
      </c>
      <c r="G2429">
        <v>-0.4610909661436371</v>
      </c>
      <c r="H2429">
        <v>0.039958041809457</v>
      </c>
      <c r="I2429">
        <v>2350.673991</v>
      </c>
      <c r="J2429" t="s">
        <v>3219</v>
      </c>
      <c r="K2429" t="s">
        <v>3219</v>
      </c>
      <c r="L2429">
        <v>1.435429660480465</v>
      </c>
      <c r="M2429">
        <v>16.69</v>
      </c>
      <c r="N2429">
        <v>11.9</v>
      </c>
    </row>
    <row r="2430" spans="1:14">
      <c r="A2430" s="1" t="s">
        <v>2442</v>
      </c>
      <c r="B2430">
        <f>HYPERLINK("https://www.suredividend.com/sure-analysis-research-database/","Regional Management Corp")</f>
        <v>0</v>
      </c>
      <c r="C2430" t="s">
        <v>3221</v>
      </c>
      <c r="D2430">
        <v>47.98</v>
      </c>
      <c r="E2430">
        <v>0.021819955495556</v>
      </c>
      <c r="H2430">
        <v>1.046921464676804</v>
      </c>
      <c r="I2430">
        <v>469.734708</v>
      </c>
      <c r="J2430">
        <v>0</v>
      </c>
      <c r="K2430" t="s">
        <v>3219</v>
      </c>
      <c r="L2430">
        <v>0.9462688801192041</v>
      </c>
      <c r="M2430">
        <v>67.33</v>
      </c>
      <c r="N2430">
        <v>35.94</v>
      </c>
    </row>
    <row r="2431" spans="1:14">
      <c r="A2431" s="1" t="s">
        <v>2443</v>
      </c>
      <c r="B2431">
        <f>HYPERLINK("https://www.suredividend.com/sure-analysis-research-database/","RE/MAX Holdings Inc")</f>
        <v>0</v>
      </c>
      <c r="C2431" t="s">
        <v>3224</v>
      </c>
      <c r="D2431">
        <v>26.4</v>
      </c>
      <c r="E2431">
        <v>0.034462438387597</v>
      </c>
      <c r="F2431">
        <v>0</v>
      </c>
      <c r="G2431">
        <v>0.05024607263868264</v>
      </c>
      <c r="H2431">
        <v>0.909808373432582</v>
      </c>
      <c r="I2431">
        <v>498.722902</v>
      </c>
      <c r="J2431">
        <v>0</v>
      </c>
      <c r="K2431" t="s">
        <v>3219</v>
      </c>
      <c r="L2431">
        <v>0.8654025874006541</v>
      </c>
      <c r="M2431">
        <v>37.51</v>
      </c>
      <c r="N2431">
        <v>25.58</v>
      </c>
    </row>
    <row r="2432" spans="1:14">
      <c r="A2432" s="1" t="s">
        <v>2444</v>
      </c>
      <c r="B2432">
        <f>HYPERLINK("https://www.suredividend.com/sure-analysis-research-database/","Rambus Inc.")</f>
        <v>0</v>
      </c>
      <c r="C2432" t="s">
        <v>3222</v>
      </c>
      <c r="D2432">
        <v>25.89</v>
      </c>
      <c r="E2432">
        <v>0</v>
      </c>
      <c r="H2432">
        <v>0</v>
      </c>
      <c r="I2432">
        <v>2852.492731</v>
      </c>
      <c r="J2432">
        <v>155.5848549503654</v>
      </c>
      <c r="K2432">
        <v>0</v>
      </c>
      <c r="L2432">
        <v>1.40540845445724</v>
      </c>
      <c r="M2432">
        <v>33.75</v>
      </c>
      <c r="N2432">
        <v>17.95</v>
      </c>
    </row>
    <row r="2433" spans="1:14">
      <c r="A2433" s="1" t="s">
        <v>2445</v>
      </c>
      <c r="B2433">
        <f>HYPERLINK("https://www.suredividend.com/sure-analysis-research-database/","Rocky Mountain Chocolate Factory Inc")</f>
        <v>0</v>
      </c>
      <c r="C2433" t="s">
        <v>3225</v>
      </c>
      <c r="D2433">
        <v>6.89</v>
      </c>
      <c r="E2433">
        <v>0</v>
      </c>
      <c r="H2433">
        <v>0</v>
      </c>
      <c r="I2433">
        <v>42.579098</v>
      </c>
      <c r="J2433">
        <v>0</v>
      </c>
      <c r="K2433" t="s">
        <v>3219</v>
      </c>
      <c r="L2433">
        <v>0.264255167208293</v>
      </c>
      <c r="M2433">
        <v>10.36</v>
      </c>
      <c r="N2433">
        <v>5.43</v>
      </c>
    </row>
    <row r="2434" spans="1:14">
      <c r="A2434" s="1" t="s">
        <v>2446</v>
      </c>
      <c r="B2434">
        <f>HYPERLINK("https://www.suredividend.com/sure-analysis-RMD/","Resmed Inc.")</f>
        <v>0</v>
      </c>
      <c r="C2434" t="s">
        <v>3217</v>
      </c>
      <c r="D2434">
        <v>234.21</v>
      </c>
      <c r="E2434">
        <v>0.007173049827078263</v>
      </c>
      <c r="F2434">
        <v>0.07692307692307687</v>
      </c>
      <c r="G2434">
        <v>0.04941452284458392</v>
      </c>
      <c r="H2434">
        <v>1.645986776509694</v>
      </c>
      <c r="I2434">
        <v>34249.522287</v>
      </c>
      <c r="J2434">
        <v>65.61424852387913</v>
      </c>
      <c r="K2434">
        <v>0.4623558360982287</v>
      </c>
      <c r="L2434">
        <v>0.830196245613378</v>
      </c>
      <c r="M2434">
        <v>300.34</v>
      </c>
      <c r="N2434">
        <v>185.81</v>
      </c>
    </row>
    <row r="2435" spans="1:14">
      <c r="A2435" s="1" t="s">
        <v>2447</v>
      </c>
      <c r="B2435">
        <f>HYPERLINK("https://www.suredividend.com/sure-analysis-research-database/","RMR Group Inc (The)")</f>
        <v>0</v>
      </c>
      <c r="C2435" t="s">
        <v>3224</v>
      </c>
      <c r="D2435">
        <v>30.1</v>
      </c>
      <c r="E2435">
        <v>0.045922469174504</v>
      </c>
      <c r="F2435">
        <v>0</v>
      </c>
      <c r="G2435">
        <v>0.08734839457107491</v>
      </c>
      <c r="H2435">
        <v>1.382266322152578</v>
      </c>
      <c r="I2435">
        <v>466.098831</v>
      </c>
      <c r="J2435">
        <v>0</v>
      </c>
      <c r="K2435" t="s">
        <v>3219</v>
      </c>
      <c r="L2435">
        <v>0.7752635422645661</v>
      </c>
      <c r="M2435">
        <v>39.04</v>
      </c>
      <c r="N2435">
        <v>27.81</v>
      </c>
    </row>
    <row r="2436" spans="1:14">
      <c r="A2436" s="1" t="s">
        <v>2448</v>
      </c>
      <c r="B2436">
        <f>HYPERLINK("https://www.suredividend.com/sure-analysis-research-database/","Rockwell Medical Inc")</f>
        <v>0</v>
      </c>
      <c r="C2436" t="s">
        <v>3217</v>
      </c>
      <c r="D2436">
        <v>0.3793</v>
      </c>
      <c r="E2436">
        <v>0</v>
      </c>
      <c r="H2436">
        <v>0</v>
      </c>
      <c r="I2436">
        <v>35.649068</v>
      </c>
      <c r="J2436" t="s">
        <v>3219</v>
      </c>
      <c r="K2436">
        <v>-0</v>
      </c>
      <c r="L2436">
        <v>1.212707363947862</v>
      </c>
      <c r="M2436">
        <v>1.2</v>
      </c>
      <c r="N2436">
        <v>0.3034</v>
      </c>
    </row>
    <row r="2437" spans="1:14">
      <c r="A2437" s="1" t="s">
        <v>2449</v>
      </c>
      <c r="B2437">
        <f>HYPERLINK("https://www.suredividend.com/sure-analysis-research-database/","Randolph Bancorp Inc")</f>
        <v>0</v>
      </c>
      <c r="C2437" t="s">
        <v>3221</v>
      </c>
      <c r="D2437">
        <v>26.43</v>
      </c>
      <c r="E2437">
        <v>0.005675369124497001</v>
      </c>
      <c r="H2437">
        <v>0.150000005960464</v>
      </c>
      <c r="I2437">
        <v>136.925108</v>
      </c>
      <c r="J2437">
        <v>0</v>
      </c>
      <c r="K2437" t="s">
        <v>3219</v>
      </c>
      <c r="M2437">
        <v>26.56</v>
      </c>
      <c r="N2437">
        <v>18.07</v>
      </c>
    </row>
    <row r="2438" spans="1:14">
      <c r="A2438" s="1" t="s">
        <v>2450</v>
      </c>
      <c r="B2438">
        <f>HYPERLINK("https://www.suredividend.com/sure-analysis-research-database/","RigNet Inc")</f>
        <v>0</v>
      </c>
      <c r="C2438" t="s">
        <v>3226</v>
      </c>
      <c r="D2438">
        <v>9.6</v>
      </c>
      <c r="E2438">
        <v>0</v>
      </c>
      <c r="H2438">
        <v>0</v>
      </c>
      <c r="I2438">
        <v>0</v>
      </c>
      <c r="J2438">
        <v>0</v>
      </c>
      <c r="K2438" t="s">
        <v>3219</v>
      </c>
    </row>
    <row r="2439" spans="1:14">
      <c r="A2439" s="1" t="s">
        <v>2451</v>
      </c>
      <c r="B2439">
        <f>HYPERLINK("https://www.suredividend.com/sure-analysis-research-database/","RingCentral Inc.")</f>
        <v>0</v>
      </c>
      <c r="C2439" t="s">
        <v>3222</v>
      </c>
      <c r="D2439">
        <v>106.62</v>
      </c>
      <c r="E2439">
        <v>0</v>
      </c>
      <c r="H2439">
        <v>0</v>
      </c>
      <c r="I2439">
        <v>9005.865249</v>
      </c>
      <c r="J2439" t="s">
        <v>3219</v>
      </c>
      <c r="K2439">
        <v>-0</v>
      </c>
      <c r="L2439">
        <v>1.459015928500096</v>
      </c>
      <c r="M2439">
        <v>337.34</v>
      </c>
      <c r="N2439">
        <v>98.91</v>
      </c>
    </row>
    <row r="2440" spans="1:14">
      <c r="A2440" s="1" t="s">
        <v>2452</v>
      </c>
      <c r="B2440">
        <f>HYPERLINK("https://www.suredividend.com/sure-analysis-RNR/","RenaissanceRe Holdings Ltd")</f>
        <v>0</v>
      </c>
      <c r="C2440" t="s">
        <v>3221</v>
      </c>
      <c r="D2440">
        <v>154.16</v>
      </c>
      <c r="E2440">
        <v>0.009600415153087702</v>
      </c>
      <c r="F2440">
        <v>0.0277777777777779</v>
      </c>
      <c r="G2440">
        <v>0.02946206823925857</v>
      </c>
      <c r="H2440">
        <v>1.444716360774857</v>
      </c>
      <c r="I2440">
        <v>6812.777464</v>
      </c>
      <c r="J2440" t="s">
        <v>3219</v>
      </c>
      <c r="K2440" t="s">
        <v>3219</v>
      </c>
      <c r="L2440">
        <v>0.7120156836909101</v>
      </c>
      <c r="M2440">
        <v>174.09</v>
      </c>
      <c r="N2440">
        <v>134.35</v>
      </c>
    </row>
    <row r="2441" spans="1:14">
      <c r="A2441" s="1" t="s">
        <v>2453</v>
      </c>
      <c r="B2441">
        <f>HYPERLINK("https://www.suredividend.com/sure-analysis-research-database/","Renasant Corp.")</f>
        <v>0</v>
      </c>
      <c r="C2441" t="s">
        <v>3221</v>
      </c>
      <c r="D2441">
        <v>32.06</v>
      </c>
      <c r="E2441">
        <v>0.027192863197456</v>
      </c>
      <c r="F2441">
        <v>0</v>
      </c>
      <c r="G2441">
        <v>0.04095039696925684</v>
      </c>
      <c r="H2441">
        <v>0.871803194110461</v>
      </c>
      <c r="I2441">
        <v>1789.433773</v>
      </c>
      <c r="J2441">
        <v>10.17348016464649</v>
      </c>
      <c r="K2441">
        <v>0.2794241006764298</v>
      </c>
      <c r="L2441">
        <v>0.8551089480135891</v>
      </c>
      <c r="M2441">
        <v>44.5</v>
      </c>
      <c r="N2441">
        <v>31.54</v>
      </c>
    </row>
    <row r="2442" spans="1:14">
      <c r="A2442" s="1" t="s">
        <v>2454</v>
      </c>
      <c r="B2442">
        <f>HYPERLINK("https://www.suredividend.com/sure-analysis-research-database/","Realnetworks, Inc.")</f>
        <v>0</v>
      </c>
      <c r="C2442" t="s">
        <v>3228</v>
      </c>
      <c r="D2442">
        <v>0.5196000000000001</v>
      </c>
      <c r="E2442">
        <v>0</v>
      </c>
      <c r="H2442">
        <v>0</v>
      </c>
      <c r="I2442">
        <v>24.554565</v>
      </c>
      <c r="J2442" t="s">
        <v>3219</v>
      </c>
      <c r="K2442">
        <v>-0</v>
      </c>
      <c r="L2442">
        <v>1.568494924806174</v>
      </c>
      <c r="M2442">
        <v>3.98</v>
      </c>
      <c r="N2442">
        <v>0.5</v>
      </c>
    </row>
    <row r="2443" spans="1:14">
      <c r="A2443" s="1" t="s">
        <v>2455</v>
      </c>
      <c r="B2443">
        <f>HYPERLINK("https://www.suredividend.com/sure-analysis-research-database/","Construction Partners Inc")</f>
        <v>0</v>
      </c>
      <c r="C2443" t="s">
        <v>3220</v>
      </c>
      <c r="D2443">
        <v>27.84</v>
      </c>
      <c r="E2443">
        <v>0</v>
      </c>
      <c r="H2443">
        <v>0</v>
      </c>
      <c r="I2443">
        <v>1146.786366</v>
      </c>
      <c r="J2443">
        <v>0</v>
      </c>
      <c r="K2443" t="s">
        <v>3219</v>
      </c>
      <c r="L2443">
        <v>1.096938148535855</v>
      </c>
      <c r="M2443">
        <v>44.99</v>
      </c>
      <c r="N2443">
        <v>22.31</v>
      </c>
    </row>
    <row r="2444" spans="1:14">
      <c r="A2444" s="1" t="s">
        <v>2456</v>
      </c>
      <c r="B2444">
        <f>HYPERLINK("https://www.suredividend.com/sure-analysis-research-database/","Gibraltar Industries Inc.")</f>
        <v>0</v>
      </c>
      <c r="C2444" t="s">
        <v>3220</v>
      </c>
      <c r="D2444">
        <v>39.17</v>
      </c>
      <c r="E2444">
        <v>0</v>
      </c>
      <c r="H2444">
        <v>0</v>
      </c>
      <c r="I2444">
        <v>1280.831424</v>
      </c>
      <c r="J2444">
        <v>16.93571810178635</v>
      </c>
      <c r="K2444">
        <v>0</v>
      </c>
      <c r="L2444">
        <v>1.33801596727658</v>
      </c>
      <c r="M2444">
        <v>96.33</v>
      </c>
      <c r="N2444">
        <v>38.8</v>
      </c>
    </row>
    <row r="2445" spans="1:14">
      <c r="A2445" s="1" t="s">
        <v>2457</v>
      </c>
      <c r="B2445">
        <f>HYPERLINK("https://www.suredividend.com/sure-analysis-research-database/","Rogers Corp.")</f>
        <v>0</v>
      </c>
      <c r="C2445" t="s">
        <v>3222</v>
      </c>
      <c r="D2445">
        <v>272.67</v>
      </c>
      <c r="E2445">
        <v>0</v>
      </c>
      <c r="H2445">
        <v>0</v>
      </c>
      <c r="I2445">
        <v>5127.071543</v>
      </c>
      <c r="J2445">
        <v>47.41449458879343</v>
      </c>
      <c r="K2445">
        <v>0</v>
      </c>
      <c r="L2445">
        <v>0.4348380678545211</v>
      </c>
      <c r="M2445">
        <v>274.17</v>
      </c>
      <c r="N2445">
        <v>172.84</v>
      </c>
    </row>
    <row r="2446" spans="1:14">
      <c r="A2446" s="1" t="s">
        <v>2458</v>
      </c>
      <c r="B2446">
        <f>HYPERLINK("https://www.suredividend.com/sure-analysis-research-database/","Retail Opportunity Investments Corp")</f>
        <v>0</v>
      </c>
      <c r="C2446" t="s">
        <v>3224</v>
      </c>
      <c r="D2446">
        <v>19.46</v>
      </c>
      <c r="E2446">
        <v>0.023360051906764</v>
      </c>
      <c r="H2446">
        <v>0.454586610105629</v>
      </c>
      <c r="I2446">
        <v>2396.187796</v>
      </c>
      <c r="J2446">
        <v>45.08095113502531</v>
      </c>
      <c r="K2446">
        <v>1.098565998321965</v>
      </c>
      <c r="L2446">
        <v>0.8362851543908291</v>
      </c>
      <c r="M2446">
        <v>19.95</v>
      </c>
      <c r="N2446">
        <v>16.1</v>
      </c>
    </row>
    <row r="2447" spans="1:14">
      <c r="A2447" s="1" t="s">
        <v>2459</v>
      </c>
      <c r="B2447">
        <f>HYPERLINK("https://www.suredividend.com/sure-analysis-ROK/","Rockwell Automation Inc")</f>
        <v>0</v>
      </c>
      <c r="C2447" t="s">
        <v>3220</v>
      </c>
      <c r="D2447">
        <v>261.66</v>
      </c>
      <c r="E2447">
        <v>0.01712145532370251</v>
      </c>
      <c r="F2447">
        <v>0.04672897196261694</v>
      </c>
      <c r="G2447">
        <v>0.08063961960040023</v>
      </c>
      <c r="H2447">
        <v>4.356010535220374</v>
      </c>
      <c r="I2447">
        <v>30403.877806</v>
      </c>
      <c r="J2447">
        <v>30.27671560031866</v>
      </c>
      <c r="K2447">
        <v>0.5082859434329491</v>
      </c>
      <c r="L2447">
        <v>0.9496831281521071</v>
      </c>
      <c r="M2447">
        <v>353.56</v>
      </c>
      <c r="N2447">
        <v>250.64</v>
      </c>
    </row>
    <row r="2448" spans="1:14">
      <c r="A2448" s="1" t="s">
        <v>2460</v>
      </c>
      <c r="B2448">
        <f>HYPERLINK("https://www.suredividend.com/sure-analysis-research-database/","Roku Inc")</f>
        <v>0</v>
      </c>
      <c r="C2448" t="s">
        <v>3228</v>
      </c>
      <c r="D2448">
        <v>111.36</v>
      </c>
      <c r="E2448">
        <v>0</v>
      </c>
      <c r="H2448">
        <v>0</v>
      </c>
      <c r="I2448">
        <v>14135.044178</v>
      </c>
      <c r="J2448">
        <v>58.31649721690698</v>
      </c>
      <c r="K2448">
        <v>0</v>
      </c>
      <c r="L2448">
        <v>1.828780366194103</v>
      </c>
      <c r="M2448">
        <v>490.76</v>
      </c>
      <c r="N2448">
        <v>97.91</v>
      </c>
    </row>
    <row r="2449" spans="1:14">
      <c r="A2449" s="1" t="s">
        <v>2461</v>
      </c>
      <c r="B2449">
        <f>HYPERLINK("https://www.suredividend.com/sure-analysis-research-database/","Rollins, Inc.")</f>
        <v>0</v>
      </c>
      <c r="C2449" t="s">
        <v>3223</v>
      </c>
      <c r="D2449">
        <v>34.9</v>
      </c>
      <c r="E2449">
        <v>0.010273125620678</v>
      </c>
      <c r="F2449">
        <v>0.25</v>
      </c>
      <c r="G2449">
        <v>-0.06508012385152984</v>
      </c>
      <c r="H2449">
        <v>0.358532084161672</v>
      </c>
      <c r="I2449">
        <v>17157.8172</v>
      </c>
      <c r="J2449">
        <v>48.92629952065517</v>
      </c>
      <c r="K2449">
        <v>0.5030617148332707</v>
      </c>
      <c r="L2449">
        <v>0.7650007865639451</v>
      </c>
      <c r="M2449">
        <v>39.87</v>
      </c>
      <c r="N2449">
        <v>28.41</v>
      </c>
    </row>
    <row r="2450" spans="1:14">
      <c r="A2450" s="1" t="s">
        <v>2462</v>
      </c>
      <c r="B2450">
        <f>HYPERLINK("https://www.suredividend.com/sure-analysis-research-database/","RBC Bearings Inc.")</f>
        <v>0</v>
      </c>
      <c r="C2450" t="s">
        <v>3220</v>
      </c>
      <c r="D2450">
        <v>180.66</v>
      </c>
      <c r="E2450">
        <v>0</v>
      </c>
      <c r="H2450">
        <v>0</v>
      </c>
      <c r="I2450">
        <v>5216.803017</v>
      </c>
      <c r="J2450">
        <v>101.183192073781</v>
      </c>
      <c r="K2450">
        <v>0</v>
      </c>
      <c r="L2450">
        <v>1.146416954984636</v>
      </c>
      <c r="M2450">
        <v>250.52</v>
      </c>
      <c r="N2450">
        <v>165.99</v>
      </c>
    </row>
    <row r="2451" spans="1:14">
      <c r="A2451" s="1" t="s">
        <v>2463</v>
      </c>
      <c r="B2451">
        <f>HYPERLINK("https://www.suredividend.com/sure-analysis-ROP/","Roper Technologies Inc")</f>
        <v>0</v>
      </c>
      <c r="C2451" t="s">
        <v>3220</v>
      </c>
      <c r="D2451">
        <v>461.16</v>
      </c>
      <c r="E2451">
        <v>0.005377743082661115</v>
      </c>
      <c r="F2451">
        <v>0.1022222222222222</v>
      </c>
      <c r="G2451">
        <v>0.1211526016021442</v>
      </c>
      <c r="H2451">
        <v>2.360545870979007</v>
      </c>
      <c r="I2451">
        <v>48699.803389</v>
      </c>
      <c r="J2451">
        <v>42.25212856897449</v>
      </c>
      <c r="K2451">
        <v>0.2181650527707031</v>
      </c>
      <c r="L2451">
        <v>0.7330567334633501</v>
      </c>
      <c r="M2451">
        <v>503.68</v>
      </c>
      <c r="N2451">
        <v>417</v>
      </c>
    </row>
    <row r="2452" spans="1:14">
      <c r="A2452" s="1" t="s">
        <v>2464</v>
      </c>
      <c r="B2452">
        <f>HYPERLINK("https://www.suredividend.com/sure-analysis-ROST/","Ross Stores, Inc.")</f>
        <v>0</v>
      </c>
      <c r="C2452" t="s">
        <v>3223</v>
      </c>
      <c r="D2452">
        <v>103.08</v>
      </c>
      <c r="E2452">
        <v>0.01202949165696546</v>
      </c>
      <c r="H2452">
        <v>1.159820746347789</v>
      </c>
      <c r="I2452">
        <v>36221.522407</v>
      </c>
      <c r="J2452">
        <v>21.02737356804206</v>
      </c>
      <c r="K2452">
        <v>0.2381562107490326</v>
      </c>
      <c r="L2452">
        <v>1.292439748006218</v>
      </c>
      <c r="M2452">
        <v>132.75</v>
      </c>
      <c r="N2452">
        <v>84.14</v>
      </c>
    </row>
    <row r="2453" spans="1:14">
      <c r="A2453" s="1" t="s">
        <v>2465</v>
      </c>
      <c r="B2453">
        <f>HYPERLINK("https://www.suredividend.com/sure-analysis-research-database/","RealPage Inc.")</f>
        <v>0</v>
      </c>
      <c r="C2453" t="s">
        <v>3222</v>
      </c>
      <c r="D2453">
        <v>88.72</v>
      </c>
      <c r="E2453">
        <v>0</v>
      </c>
      <c r="H2453">
        <v>0</v>
      </c>
      <c r="I2453">
        <v>0</v>
      </c>
      <c r="J2453">
        <v>0</v>
      </c>
      <c r="K2453">
        <v>0</v>
      </c>
    </row>
    <row r="2454" spans="1:14">
      <c r="A2454" s="1" t="s">
        <v>2466</v>
      </c>
      <c r="B2454">
        <f>HYPERLINK("https://www.suredividend.com/sure-analysis-research-database/","Retail Properties of America Inc")</f>
        <v>0</v>
      </c>
      <c r="C2454" t="s">
        <v>3224</v>
      </c>
      <c r="D2454">
        <v>13.15</v>
      </c>
      <c r="E2454">
        <v>0.021110549336365</v>
      </c>
      <c r="H2454">
        <v>0.277603723773209</v>
      </c>
      <c r="I2454">
        <v>2824.591977</v>
      </c>
      <c r="J2454">
        <v>144.7321160765526</v>
      </c>
      <c r="K2454">
        <v>3.040566525445882</v>
      </c>
      <c r="L2454">
        <v>1.391233007611826</v>
      </c>
      <c r="M2454">
        <v>14.07</v>
      </c>
      <c r="N2454">
        <v>5.01</v>
      </c>
    </row>
    <row r="2455" spans="1:14">
      <c r="A2455" s="1" t="s">
        <v>2467</v>
      </c>
      <c r="B2455">
        <f>HYPERLINK("https://www.suredividend.com/sure-analysis-research-database/","Rapid7 Inc")</f>
        <v>0</v>
      </c>
      <c r="C2455" t="s">
        <v>3222</v>
      </c>
      <c r="D2455">
        <v>112.82</v>
      </c>
      <c r="E2455">
        <v>0</v>
      </c>
      <c r="H2455">
        <v>0</v>
      </c>
      <c r="I2455">
        <v>6552.421221</v>
      </c>
      <c r="J2455" t="s">
        <v>3219</v>
      </c>
      <c r="K2455">
        <v>-0</v>
      </c>
      <c r="L2455">
        <v>1.273950451789996</v>
      </c>
      <c r="M2455">
        <v>145</v>
      </c>
      <c r="N2455">
        <v>72.95999999999999</v>
      </c>
    </row>
    <row r="2456" spans="1:14">
      <c r="A2456" s="1" t="s">
        <v>2468</v>
      </c>
      <c r="B2456">
        <f>HYPERLINK("https://www.suredividend.com/sure-analysis-RPM/","RPM International, Inc.")</f>
        <v>0</v>
      </c>
      <c r="C2456" t="s">
        <v>3218</v>
      </c>
      <c r="D2456">
        <v>86.40000000000001</v>
      </c>
      <c r="E2456">
        <v>0.01851851851851852</v>
      </c>
      <c r="F2456">
        <v>0.05263157894736836</v>
      </c>
      <c r="G2456">
        <v>0.05922384104881218</v>
      </c>
      <c r="H2456">
        <v>1.569302248227382</v>
      </c>
      <c r="I2456">
        <v>11188.426752</v>
      </c>
      <c r="J2456">
        <v>25.1372221418397</v>
      </c>
      <c r="K2456">
        <v>0.4535555630714977</v>
      </c>
      <c r="L2456">
        <v>0.8009778769760341</v>
      </c>
      <c r="M2456">
        <v>100.57</v>
      </c>
      <c r="N2456">
        <v>74.76000000000001</v>
      </c>
    </row>
    <row r="2457" spans="1:14">
      <c r="A2457" s="1" t="s">
        <v>2469</v>
      </c>
      <c r="B2457">
        <f>HYPERLINK("https://www.suredividend.com/sure-analysis-RPT/","RPT Realty")</f>
        <v>0</v>
      </c>
      <c r="C2457" t="s">
        <v>3224</v>
      </c>
      <c r="D2457">
        <v>13.69</v>
      </c>
      <c r="E2457">
        <v>0.03798392987582177</v>
      </c>
      <c r="H2457">
        <v>0.439404565305119</v>
      </c>
      <c r="I2457">
        <v>1162.267734</v>
      </c>
      <c r="J2457">
        <v>18.9171180727539</v>
      </c>
      <c r="K2457">
        <v>0.5885408053912657</v>
      </c>
      <c r="L2457">
        <v>0.979273216651216</v>
      </c>
      <c r="M2457">
        <v>14.7</v>
      </c>
      <c r="N2457">
        <v>11.48</v>
      </c>
    </row>
    <row r="2458" spans="1:14">
      <c r="A2458" s="1" t="s">
        <v>2470</v>
      </c>
      <c r="B2458">
        <f>HYPERLINK("https://www.suredividend.com/sure-analysis-research-database/","Range Resources Corp")</f>
        <v>0</v>
      </c>
      <c r="C2458" t="s">
        <v>3226</v>
      </c>
      <c r="D2458">
        <v>32.39</v>
      </c>
      <c r="E2458">
        <v>0</v>
      </c>
      <c r="H2458">
        <v>0</v>
      </c>
      <c r="I2458">
        <v>8511.293164999999</v>
      </c>
      <c r="J2458">
        <v>20.66961606843979</v>
      </c>
      <c r="K2458">
        <v>0</v>
      </c>
      <c r="L2458">
        <v>0.8487812857398791</v>
      </c>
      <c r="M2458">
        <v>33.57</v>
      </c>
      <c r="N2458">
        <v>8.470000000000001</v>
      </c>
    </row>
    <row r="2459" spans="1:14">
      <c r="A2459" s="1" t="s">
        <v>2471</v>
      </c>
      <c r="B2459">
        <f>HYPERLINK("https://www.suredividend.com/sure-analysis-research-database/","R.R. Donnelley &amp; Sons Co.")</f>
        <v>0</v>
      </c>
      <c r="C2459" t="s">
        <v>3220</v>
      </c>
      <c r="D2459">
        <v>10.84</v>
      </c>
      <c r="E2459">
        <v>0</v>
      </c>
      <c r="H2459">
        <v>0</v>
      </c>
      <c r="I2459">
        <v>790.236</v>
      </c>
      <c r="J2459">
        <v>4.03799693408278</v>
      </c>
      <c r="K2459">
        <v>0</v>
      </c>
      <c r="L2459">
        <v>0.9962175310821421</v>
      </c>
      <c r="M2459">
        <v>11.33</v>
      </c>
      <c r="N2459">
        <v>3.27</v>
      </c>
    </row>
    <row r="2460" spans="1:14">
      <c r="A2460" s="1" t="s">
        <v>2472</v>
      </c>
      <c r="B2460">
        <f>HYPERLINK("https://www.suredividend.com/sure-analysis-research-database/","Red Robin Gourmet Burgers Inc")</f>
        <v>0</v>
      </c>
      <c r="C2460" t="s">
        <v>3223</v>
      </c>
      <c r="D2460">
        <v>14.79</v>
      </c>
      <c r="E2460">
        <v>0</v>
      </c>
      <c r="H2460">
        <v>0</v>
      </c>
      <c r="I2460">
        <v>233.458745</v>
      </c>
      <c r="J2460" t="s">
        <v>3219</v>
      </c>
      <c r="K2460">
        <v>-0</v>
      </c>
      <c r="L2460">
        <v>1.769641977781314</v>
      </c>
      <c r="M2460">
        <v>38.96</v>
      </c>
      <c r="N2460">
        <v>12.35</v>
      </c>
    </row>
    <row r="2461" spans="1:14">
      <c r="A2461" s="1" t="s">
        <v>2473</v>
      </c>
      <c r="B2461">
        <f>HYPERLINK("https://www.suredividend.com/sure-analysis-research-database/","Red Rock Resorts Inc")</f>
        <v>0</v>
      </c>
      <c r="C2461" t="s">
        <v>3223</v>
      </c>
      <c r="D2461">
        <v>46.6</v>
      </c>
      <c r="E2461">
        <v>0.005364806866952</v>
      </c>
      <c r="H2461">
        <v>0.25</v>
      </c>
      <c r="I2461">
        <v>2855.184749</v>
      </c>
      <c r="J2461">
        <v>11.8056016100889</v>
      </c>
      <c r="K2461">
        <v>0.1201923076923077</v>
      </c>
      <c r="L2461">
        <v>1.495818909394438</v>
      </c>
      <c r="M2461">
        <v>55.52</v>
      </c>
      <c r="N2461">
        <v>29.62</v>
      </c>
    </row>
    <row r="2462" spans="1:14">
      <c r="A2462" s="1" t="s">
        <v>2474</v>
      </c>
      <c r="B2462">
        <f>HYPERLINK("https://www.suredividend.com/sure-analysis-research-database/","Roadrunner Transportation Systems Inc")</f>
        <v>0</v>
      </c>
      <c r="C2462" t="s">
        <v>3220</v>
      </c>
      <c r="D2462">
        <v>2.5</v>
      </c>
      <c r="E2462">
        <v>0</v>
      </c>
      <c r="H2462">
        <v>0</v>
      </c>
      <c r="I2462">
        <v>95.729833</v>
      </c>
      <c r="J2462" t="s">
        <v>3219</v>
      </c>
      <c r="K2462">
        <v>-0</v>
      </c>
      <c r="M2462">
        <v>5.43</v>
      </c>
      <c r="N2462">
        <v>0.25</v>
      </c>
    </row>
    <row r="2463" spans="1:14">
      <c r="A2463" s="1" t="s">
        <v>2475</v>
      </c>
      <c r="B2463">
        <f>HYPERLINK("https://www.suredividend.com/sure-analysis-research-database/","Reliance Steel &amp; Aluminum Co.")</f>
        <v>0</v>
      </c>
      <c r="C2463" t="s">
        <v>3218</v>
      </c>
      <c r="D2463">
        <v>194.26</v>
      </c>
      <c r="E2463">
        <v>0.015026849298543</v>
      </c>
      <c r="F2463">
        <v>0.2727272727272727</v>
      </c>
      <c r="G2463">
        <v>0.1422445848996077</v>
      </c>
      <c r="H2463">
        <v>2.919115744735143</v>
      </c>
      <c r="I2463">
        <v>12385.296313</v>
      </c>
      <c r="J2463">
        <v>8.765248628888887</v>
      </c>
      <c r="K2463">
        <v>0.1328682633015541</v>
      </c>
      <c r="L2463">
        <v>0.8113469605580431</v>
      </c>
      <c r="M2463">
        <v>198.44</v>
      </c>
      <c r="N2463">
        <v>134.25</v>
      </c>
    </row>
    <row r="2464" spans="1:14">
      <c r="A2464" s="1" t="s">
        <v>2476</v>
      </c>
      <c r="B2464">
        <f>HYPERLINK("https://www.suredividend.com/sure-analysis-RSG/","Republic Services, Inc.")</f>
        <v>0</v>
      </c>
      <c r="C2464" t="s">
        <v>3220</v>
      </c>
      <c r="D2464">
        <v>132.71</v>
      </c>
      <c r="E2464">
        <v>0.01386481802426343</v>
      </c>
      <c r="F2464">
        <v>0.08235294117647074</v>
      </c>
      <c r="G2464">
        <v>0.07528000640556964</v>
      </c>
      <c r="H2464">
        <v>1.795893380388675</v>
      </c>
      <c r="I2464">
        <v>41907.979038</v>
      </c>
      <c r="J2464">
        <v>32.47673514997675</v>
      </c>
      <c r="K2464">
        <v>0.4445280644526424</v>
      </c>
      <c r="L2464">
        <v>0.625597122275499</v>
      </c>
      <c r="M2464">
        <v>145</v>
      </c>
      <c r="N2464">
        <v>102.08</v>
      </c>
    </row>
    <row r="2465" spans="1:14">
      <c r="A2465" s="1" t="s">
        <v>2477</v>
      </c>
      <c r="B2465">
        <f>HYPERLINK("https://www.suredividend.com/sure-analysis-research-database/","Rubius Therapeutics Inc")</f>
        <v>0</v>
      </c>
      <c r="C2465" t="s">
        <v>3217</v>
      </c>
      <c r="D2465">
        <v>1.99</v>
      </c>
      <c r="E2465">
        <v>0</v>
      </c>
      <c r="H2465">
        <v>0</v>
      </c>
      <c r="I2465">
        <v>179.471386</v>
      </c>
      <c r="J2465">
        <v>0</v>
      </c>
      <c r="K2465" t="s">
        <v>3219</v>
      </c>
      <c r="L2465">
        <v>2.149258709206425</v>
      </c>
      <c r="M2465">
        <v>29.94</v>
      </c>
      <c r="N2465">
        <v>1.93</v>
      </c>
    </row>
    <row r="2466" spans="1:14">
      <c r="A2466" s="1" t="s">
        <v>2478</v>
      </c>
      <c r="B2466">
        <f>HYPERLINK("https://www.suredividend.com/sure-analysis-research-database/","Sunrun Inc")</f>
        <v>0</v>
      </c>
      <c r="C2466" t="s">
        <v>3222</v>
      </c>
      <c r="D2466">
        <v>24.86</v>
      </c>
      <c r="E2466">
        <v>0</v>
      </c>
      <c r="H2466">
        <v>0</v>
      </c>
      <c r="I2466">
        <v>5181.285426</v>
      </c>
      <c r="J2466" t="s">
        <v>3219</v>
      </c>
      <c r="K2466">
        <v>-0</v>
      </c>
      <c r="L2466">
        <v>2.080760750568211</v>
      </c>
      <c r="M2466">
        <v>60.6</v>
      </c>
      <c r="N2466">
        <v>18.61</v>
      </c>
    </row>
    <row r="2467" spans="1:14">
      <c r="A2467" s="1" t="s">
        <v>2479</v>
      </c>
      <c r="B2467">
        <f>HYPERLINK("https://www.suredividend.com/sure-analysis-research-database/","Rush Enterprises Inc")</f>
        <v>0</v>
      </c>
      <c r="C2467" t="s">
        <v>3223</v>
      </c>
      <c r="D2467">
        <v>48.24</v>
      </c>
      <c r="E2467">
        <v>0.015460281139783</v>
      </c>
      <c r="H2467">
        <v>0.745803962183164</v>
      </c>
      <c r="I2467">
        <v>2705.944901</v>
      </c>
      <c r="J2467">
        <v>11.20868587519417</v>
      </c>
      <c r="K2467">
        <v>0.1788498710271376</v>
      </c>
      <c r="L2467">
        <v>0.772399321350083</v>
      </c>
      <c r="M2467">
        <v>60.65</v>
      </c>
      <c r="N2467">
        <v>40.48</v>
      </c>
    </row>
    <row r="2468" spans="1:14">
      <c r="A2468" s="1" t="s">
        <v>2480</v>
      </c>
      <c r="B2468">
        <f>HYPERLINK("https://www.suredividend.com/sure-analysis-research-database/","Rush Enterprises Inc")</f>
        <v>0</v>
      </c>
      <c r="C2468" t="s">
        <v>3223</v>
      </c>
      <c r="D2468">
        <v>46.48</v>
      </c>
      <c r="E2468">
        <v>0.016041901777138</v>
      </c>
      <c r="H2468">
        <v>0.745627594601405</v>
      </c>
      <c r="I2468">
        <v>2705.944901</v>
      </c>
      <c r="J2468">
        <v>0</v>
      </c>
      <c r="K2468" t="s">
        <v>3219</v>
      </c>
      <c r="L2468">
        <v>0.8942437530814201</v>
      </c>
      <c r="M2468">
        <v>57.77</v>
      </c>
      <c r="N2468">
        <v>35.77</v>
      </c>
    </row>
    <row r="2469" spans="1:14">
      <c r="A2469" s="1" t="s">
        <v>2481</v>
      </c>
      <c r="B2469">
        <f>HYPERLINK("https://www.suredividend.com/sure-analysis-research-database/","Ruths Hospitality Group Inc")</f>
        <v>0</v>
      </c>
      <c r="C2469" t="s">
        <v>3223</v>
      </c>
      <c r="D2469">
        <v>21.15</v>
      </c>
      <c r="E2469">
        <v>0.005673758738429</v>
      </c>
      <c r="H2469">
        <v>0.119999997317791</v>
      </c>
      <c r="I2469">
        <v>710.118378</v>
      </c>
      <c r="J2469">
        <v>16.79759615730337</v>
      </c>
      <c r="K2469">
        <v>0.09756097342909839</v>
      </c>
      <c r="L2469">
        <v>1.452856958673754</v>
      </c>
      <c r="M2469">
        <v>28.56</v>
      </c>
      <c r="N2469">
        <v>16.35</v>
      </c>
    </row>
    <row r="2470" spans="1:14">
      <c r="A2470" s="1" t="s">
        <v>2482</v>
      </c>
      <c r="B2470">
        <f>HYPERLINK("https://www.suredividend.com/sure-analysis-research-database/","Retail Value Inc")</f>
        <v>0</v>
      </c>
      <c r="C2470" t="s">
        <v>3224</v>
      </c>
      <c r="D2470">
        <v>3</v>
      </c>
      <c r="E2470">
        <v>0</v>
      </c>
      <c r="H2470">
        <v>0</v>
      </c>
      <c r="I2470">
        <v>63.35145</v>
      </c>
      <c r="J2470">
        <v>0</v>
      </c>
      <c r="K2470" t="s">
        <v>3219</v>
      </c>
      <c r="L2470">
        <v>0.324953635968146</v>
      </c>
      <c r="M2470">
        <v>3.49</v>
      </c>
      <c r="N2470">
        <v>1.58</v>
      </c>
    </row>
    <row r="2471" spans="1:14">
      <c r="A2471" s="1" t="s">
        <v>2483</v>
      </c>
      <c r="B2471">
        <f>HYPERLINK("https://www.suredividend.com/sure-analysis-research-database/","Revance Therapeutics Inc")</f>
        <v>0</v>
      </c>
      <c r="C2471" t="s">
        <v>3217</v>
      </c>
      <c r="D2471">
        <v>18.6</v>
      </c>
      <c r="E2471">
        <v>0</v>
      </c>
      <c r="H2471">
        <v>0</v>
      </c>
      <c r="I2471">
        <v>1328.619483</v>
      </c>
      <c r="J2471">
        <v>0</v>
      </c>
      <c r="K2471" t="s">
        <v>3219</v>
      </c>
      <c r="L2471">
        <v>0.9969117140292121</v>
      </c>
      <c r="M2471">
        <v>33.83</v>
      </c>
      <c r="N2471">
        <v>11.65</v>
      </c>
    </row>
    <row r="2472" spans="1:14">
      <c r="A2472" s="1" t="s">
        <v>2484</v>
      </c>
      <c r="B2472">
        <f>HYPERLINK("https://www.suredividend.com/sure-analysis-research-database/","Retractable Technologies Inc")</f>
        <v>0</v>
      </c>
      <c r="C2472" t="s">
        <v>3217</v>
      </c>
      <c r="D2472">
        <v>4.48</v>
      </c>
      <c r="E2472">
        <v>0</v>
      </c>
      <c r="H2472">
        <v>0</v>
      </c>
      <c r="I2472">
        <v>148.391958</v>
      </c>
      <c r="J2472">
        <v>0</v>
      </c>
      <c r="K2472" t="s">
        <v>3219</v>
      </c>
      <c r="L2472">
        <v>1.054515193572551</v>
      </c>
      <c r="M2472">
        <v>13.91</v>
      </c>
      <c r="N2472">
        <v>4.26</v>
      </c>
    </row>
    <row r="2473" spans="1:14">
      <c r="A2473" s="1" t="s">
        <v>2485</v>
      </c>
      <c r="B2473">
        <f>HYPERLINK("https://www.suredividend.com/sure-analysis-research-database/","Riverview Bancorp, Inc.")</f>
        <v>0</v>
      </c>
      <c r="C2473" t="s">
        <v>3221</v>
      </c>
      <c r="D2473">
        <v>7.2</v>
      </c>
      <c r="E2473">
        <v>0.029545566331811</v>
      </c>
      <c r="F2473">
        <v>0.09999999999999987</v>
      </c>
      <c r="G2473">
        <v>0.1957380086320959</v>
      </c>
      <c r="H2473">
        <v>0.212728077589044</v>
      </c>
      <c r="I2473">
        <v>159.671606</v>
      </c>
      <c r="J2473">
        <v>0</v>
      </c>
      <c r="K2473" t="s">
        <v>3219</v>
      </c>
      <c r="L2473">
        <v>0.44909393685787</v>
      </c>
      <c r="M2473">
        <v>8.1</v>
      </c>
      <c r="N2473">
        <v>6.3</v>
      </c>
    </row>
    <row r="2474" spans="1:14">
      <c r="A2474" s="1" t="s">
        <v>2486</v>
      </c>
      <c r="B2474">
        <f>HYPERLINK("https://www.suredividend.com/sure-analysis-research-database/","Redwood Trust Inc.")</f>
        <v>0</v>
      </c>
      <c r="C2474" t="s">
        <v>3224</v>
      </c>
      <c r="D2474">
        <v>9.699999999999999</v>
      </c>
      <c r="E2474">
        <v>0.08530304022523501</v>
      </c>
      <c r="F2474">
        <v>0.4375</v>
      </c>
      <c r="G2474">
        <v>-0.03857820993638306</v>
      </c>
      <c r="H2474">
        <v>0.827439490184784</v>
      </c>
      <c r="I2474">
        <v>1166.639263</v>
      </c>
      <c r="J2474">
        <v>3.775800423654758</v>
      </c>
      <c r="K2474">
        <v>0.3813085208224811</v>
      </c>
      <c r="L2474">
        <v>0.9688069982784041</v>
      </c>
      <c r="M2474">
        <v>13.63</v>
      </c>
      <c r="N2474">
        <v>9.31</v>
      </c>
    </row>
    <row r="2475" spans="1:14">
      <c r="A2475" s="1" t="s">
        <v>2487</v>
      </c>
      <c r="B2475">
        <f>HYPERLINK("https://www.suredividend.com/sure-analysis-research-database/","Rayonier Advanced Materials Inc")</f>
        <v>0</v>
      </c>
      <c r="C2475" t="s">
        <v>3218</v>
      </c>
      <c r="D2475">
        <v>5.52</v>
      </c>
      <c r="E2475">
        <v>0</v>
      </c>
      <c r="H2475">
        <v>0</v>
      </c>
      <c r="I2475">
        <v>352.410633</v>
      </c>
      <c r="J2475">
        <v>5.306270261089528</v>
      </c>
      <c r="K2475">
        <v>0</v>
      </c>
      <c r="L2475">
        <v>1.03775980656356</v>
      </c>
      <c r="M2475">
        <v>9.869999999999999</v>
      </c>
      <c r="N2475">
        <v>4.55</v>
      </c>
    </row>
    <row r="2476" spans="1:14">
      <c r="A2476" s="1" t="s">
        <v>2488</v>
      </c>
      <c r="B2476">
        <f>HYPERLINK("https://www.suredividend.com/sure-analysis-research-database/","Ryerson Holding Corp.")</f>
        <v>0</v>
      </c>
      <c r="C2476" t="s">
        <v>3220</v>
      </c>
      <c r="D2476">
        <v>41</v>
      </c>
      <c r="E2476">
        <v>0.00644223075049</v>
      </c>
      <c r="H2476">
        <v>0.264131460770108</v>
      </c>
      <c r="I2476">
        <v>1574.160642</v>
      </c>
      <c r="J2476">
        <v>0</v>
      </c>
      <c r="K2476" t="s">
        <v>3219</v>
      </c>
      <c r="L2476">
        <v>1.408096345763036</v>
      </c>
      <c r="M2476">
        <v>41.37</v>
      </c>
      <c r="N2476">
        <v>13.25</v>
      </c>
    </row>
    <row r="2477" spans="1:14">
      <c r="A2477" s="1" t="s">
        <v>2489</v>
      </c>
      <c r="B2477">
        <f>HYPERLINK("https://www.suredividend.com/sure-analysis-RYN/","Rayonier Inc.")</f>
        <v>0</v>
      </c>
      <c r="C2477" t="s">
        <v>3224</v>
      </c>
      <c r="D2477">
        <v>44.59</v>
      </c>
      <c r="E2477">
        <v>0.02422067728190177</v>
      </c>
      <c r="F2477">
        <v>0</v>
      </c>
      <c r="G2477">
        <v>0.01551127839748156</v>
      </c>
      <c r="H2477">
        <v>1.069073870260508</v>
      </c>
      <c r="I2477">
        <v>6498.234515</v>
      </c>
      <c r="J2477">
        <v>42.59740750304818</v>
      </c>
      <c r="K2477">
        <v>1.018165590724293</v>
      </c>
      <c r="L2477">
        <v>0.615936051408524</v>
      </c>
      <c r="M2477">
        <v>44.66</v>
      </c>
      <c r="N2477">
        <v>32.89</v>
      </c>
    </row>
    <row r="2478" spans="1:14">
      <c r="A2478" s="1" t="s">
        <v>2490</v>
      </c>
      <c r="B2478">
        <f>HYPERLINK("https://www.suredividend.com/sure-analysis-research-database/","Rhythm Pharmaceuticals Inc.")</f>
        <v>0</v>
      </c>
      <c r="C2478" t="s">
        <v>3217</v>
      </c>
      <c r="D2478">
        <v>8.85</v>
      </c>
      <c r="E2478">
        <v>0</v>
      </c>
      <c r="H2478">
        <v>0</v>
      </c>
      <c r="I2478">
        <v>445.41796</v>
      </c>
      <c r="J2478">
        <v>0</v>
      </c>
      <c r="K2478" t="s">
        <v>3219</v>
      </c>
      <c r="L2478">
        <v>1.382045574241118</v>
      </c>
      <c r="M2478">
        <v>23.05</v>
      </c>
      <c r="N2478">
        <v>6.02</v>
      </c>
    </row>
    <row r="2479" spans="1:14">
      <c r="A2479" s="1" t="s">
        <v>2491</v>
      </c>
      <c r="B2479">
        <f>HYPERLINK("https://www.suredividend.com/sure-analysis-research-database/","SentinelOne Inc")</f>
        <v>0</v>
      </c>
      <c r="C2479" t="s">
        <v>3219</v>
      </c>
      <c r="D2479">
        <v>37.12</v>
      </c>
      <c r="E2479">
        <v>0</v>
      </c>
      <c r="H2479">
        <v>0</v>
      </c>
      <c r="I2479">
        <v>6891.413265</v>
      </c>
      <c r="J2479">
        <v>0</v>
      </c>
      <c r="K2479" t="s">
        <v>3219</v>
      </c>
      <c r="M2479">
        <v>78.53</v>
      </c>
      <c r="N2479">
        <v>29.3</v>
      </c>
    </row>
    <row r="2480" spans="1:14">
      <c r="A2480" s="1" t="s">
        <v>2492</v>
      </c>
      <c r="B2480">
        <f>HYPERLINK("https://www.suredividend.com/sure-analysis-research-database/","Sabre Corp")</f>
        <v>0</v>
      </c>
      <c r="C2480" t="s">
        <v>3222</v>
      </c>
      <c r="D2480">
        <v>10.99</v>
      </c>
      <c r="E2480">
        <v>0</v>
      </c>
      <c r="H2480">
        <v>0</v>
      </c>
      <c r="I2480">
        <v>3555.603074</v>
      </c>
      <c r="J2480" t="s">
        <v>3219</v>
      </c>
      <c r="K2480">
        <v>-0</v>
      </c>
      <c r="L2480">
        <v>2.069638308091531</v>
      </c>
      <c r="M2480">
        <v>16.05</v>
      </c>
      <c r="N2480">
        <v>7.05</v>
      </c>
    </row>
    <row r="2481" spans="1:14">
      <c r="A2481" s="1" t="s">
        <v>2493</v>
      </c>
      <c r="B2481">
        <f>HYPERLINK("https://www.suredividend.com/sure-analysis-SACH/","Sachem Capital Corp")</f>
        <v>0</v>
      </c>
      <c r="C2481" t="s">
        <v>3224</v>
      </c>
      <c r="D2481">
        <v>4.88</v>
      </c>
      <c r="E2481">
        <v>0.09836065573770492</v>
      </c>
      <c r="H2481">
        <v>0.46446406109689</v>
      </c>
      <c r="I2481">
        <v>173.307769</v>
      </c>
      <c r="J2481">
        <v>0</v>
      </c>
      <c r="K2481" t="s">
        <v>3219</v>
      </c>
      <c r="L2481">
        <v>0.7078556833428911</v>
      </c>
      <c r="M2481">
        <v>6.39</v>
      </c>
      <c r="N2481">
        <v>4.13</v>
      </c>
    </row>
    <row r="2482" spans="1:14">
      <c r="A2482" s="1" t="s">
        <v>2494</v>
      </c>
      <c r="B2482">
        <f>HYPERLINK("https://www.suredividend.com/sure-analysis-SAFE/","Safehold Inc")</f>
        <v>0</v>
      </c>
      <c r="C2482" t="s">
        <v>3224</v>
      </c>
      <c r="D2482">
        <v>49.05</v>
      </c>
      <c r="E2482">
        <v>0.01386340468909276</v>
      </c>
      <c r="H2482">
        <v>0.677348619920585</v>
      </c>
      <c r="I2482">
        <v>3038.24323</v>
      </c>
      <c r="J2482">
        <v>0</v>
      </c>
      <c r="K2482" t="s">
        <v>3219</v>
      </c>
      <c r="L2482">
        <v>1.153505832050301</v>
      </c>
      <c r="M2482">
        <v>94.58</v>
      </c>
      <c r="N2482">
        <v>49.02</v>
      </c>
    </row>
    <row r="2483" spans="1:14">
      <c r="A2483" s="1" t="s">
        <v>2495</v>
      </c>
      <c r="B2483">
        <f>HYPERLINK("https://www.suredividend.com/sure-analysis-research-database/","Sanderson Farms, Inc.")</f>
        <v>0</v>
      </c>
      <c r="C2483" t="s">
        <v>3225</v>
      </c>
      <c r="D2483">
        <v>189.13</v>
      </c>
      <c r="E2483">
        <v>0.009272824479388</v>
      </c>
      <c r="F2483">
        <v>0</v>
      </c>
      <c r="G2483">
        <v>0.1288813207301975</v>
      </c>
      <c r="H2483">
        <v>1.753769293786771</v>
      </c>
      <c r="I2483">
        <v>4221.967336</v>
      </c>
      <c r="J2483">
        <v>6.700556959317052</v>
      </c>
      <c r="K2483">
        <v>0.06134205294812071</v>
      </c>
      <c r="L2483">
        <v>0.202132436785108</v>
      </c>
      <c r="M2483">
        <v>199.52</v>
      </c>
      <c r="N2483">
        <v>154.24</v>
      </c>
    </row>
    <row r="2484" spans="1:14">
      <c r="A2484" s="1" t="s">
        <v>2496</v>
      </c>
      <c r="B2484">
        <f>HYPERLINK("https://www.suredividend.com/sure-analysis-research-database/","Safety Insurance Group, Inc.")</f>
        <v>0</v>
      </c>
      <c r="C2484" t="s">
        <v>3221</v>
      </c>
      <c r="D2484">
        <v>90.23</v>
      </c>
      <c r="E2484">
        <v>0.03924725960805801</v>
      </c>
      <c r="F2484">
        <v>0</v>
      </c>
      <c r="G2484">
        <v>0.05154749679728043</v>
      </c>
      <c r="H2484">
        <v>3.54128023443512</v>
      </c>
      <c r="I2484">
        <v>1323.844905</v>
      </c>
      <c r="J2484">
        <v>10.08374837483338</v>
      </c>
      <c r="K2484">
        <v>0.4024182084585364</v>
      </c>
      <c r="L2484">
        <v>0.236318560171181</v>
      </c>
      <c r="M2484">
        <v>93.18000000000001</v>
      </c>
      <c r="N2484">
        <v>72.01000000000001</v>
      </c>
    </row>
    <row r="2485" spans="1:14">
      <c r="A2485" s="1" t="s">
        <v>2497</v>
      </c>
      <c r="B2485">
        <f>HYPERLINK("https://www.suredividend.com/sure-analysis-research-database/","Sage Therapeutics Inc")</f>
        <v>0</v>
      </c>
      <c r="C2485" t="s">
        <v>3217</v>
      </c>
      <c r="D2485">
        <v>35.25</v>
      </c>
      <c r="E2485">
        <v>0</v>
      </c>
      <c r="H2485">
        <v>0</v>
      </c>
      <c r="I2485">
        <v>2081.644652</v>
      </c>
      <c r="J2485" t="s">
        <v>3219</v>
      </c>
      <c r="K2485">
        <v>-0</v>
      </c>
      <c r="L2485">
        <v>1.320791690345595</v>
      </c>
      <c r="M2485">
        <v>80.87</v>
      </c>
      <c r="N2485">
        <v>30.48</v>
      </c>
    </row>
    <row r="2486" spans="1:14">
      <c r="A2486" s="1" t="s">
        <v>2498</v>
      </c>
      <c r="B2486">
        <f>HYPERLINK("https://www.suredividend.com/sure-analysis-research-database/","Sonic Automotive, Inc.")</f>
        <v>0</v>
      </c>
      <c r="C2486" t="s">
        <v>3223</v>
      </c>
      <c r="D2486">
        <v>43.35</v>
      </c>
      <c r="E2486">
        <v>0.014007284836613</v>
      </c>
      <c r="F2486">
        <v>1.5</v>
      </c>
      <c r="G2486">
        <v>0.3797296614612149</v>
      </c>
      <c r="H2486">
        <v>0.60721579766719</v>
      </c>
      <c r="I2486">
        <v>1241.511704</v>
      </c>
      <c r="J2486">
        <v>3.558359714101462</v>
      </c>
      <c r="K2486">
        <v>0.07533694760138833</v>
      </c>
      <c r="L2486">
        <v>0.922521459825085</v>
      </c>
      <c r="M2486">
        <v>57.55</v>
      </c>
      <c r="N2486">
        <v>38.64</v>
      </c>
    </row>
    <row r="2487" spans="1:14">
      <c r="A2487" s="1" t="s">
        <v>2499</v>
      </c>
      <c r="B2487">
        <f>HYPERLINK("https://www.suredividend.com/sure-analysis-research-database/","Saia Inc.")</f>
        <v>0</v>
      </c>
      <c r="C2487" t="s">
        <v>3220</v>
      </c>
      <c r="D2487">
        <v>199.73</v>
      </c>
      <c r="E2487">
        <v>0</v>
      </c>
      <c r="H2487">
        <v>0</v>
      </c>
      <c r="I2487">
        <v>5274.177635</v>
      </c>
      <c r="J2487">
        <v>20.82720648808419</v>
      </c>
      <c r="K2487">
        <v>0</v>
      </c>
      <c r="L2487">
        <v>1.793827600895975</v>
      </c>
      <c r="M2487">
        <v>365.5</v>
      </c>
      <c r="N2487">
        <v>187.02</v>
      </c>
    </row>
    <row r="2488" spans="1:14">
      <c r="A2488" s="1" t="s">
        <v>2500</v>
      </c>
      <c r="B2488">
        <f>HYPERLINK("https://www.suredividend.com/sure-analysis-research-database/","Science Applications International Corp.")</f>
        <v>0</v>
      </c>
      <c r="C2488" t="s">
        <v>3222</v>
      </c>
      <c r="D2488">
        <v>87.63</v>
      </c>
      <c r="E2488">
        <v>0.020968828392986</v>
      </c>
      <c r="F2488">
        <v>0</v>
      </c>
      <c r="G2488">
        <v>0.03601968190208304</v>
      </c>
      <c r="H2488">
        <v>1.837498432077421</v>
      </c>
      <c r="I2488">
        <v>4911.653088</v>
      </c>
      <c r="J2488">
        <v>17.73159959393502</v>
      </c>
      <c r="K2488">
        <v>0.3852197970812204</v>
      </c>
      <c r="L2488">
        <v>0.484918337151706</v>
      </c>
      <c r="M2488">
        <v>95.58</v>
      </c>
      <c r="N2488">
        <v>77.77</v>
      </c>
    </row>
    <row r="2489" spans="1:14">
      <c r="A2489" s="1" t="s">
        <v>2501</v>
      </c>
      <c r="B2489">
        <f>HYPERLINK("https://www.suredividend.com/sure-analysis-research-database/","SailPoint Technologies Holdings Inc")</f>
        <v>0</v>
      </c>
      <c r="C2489" t="s">
        <v>3222</v>
      </c>
      <c r="D2489">
        <v>64.16</v>
      </c>
      <c r="E2489">
        <v>0</v>
      </c>
      <c r="H2489">
        <v>0</v>
      </c>
      <c r="I2489">
        <v>6043.339536</v>
      </c>
      <c r="J2489" t="s">
        <v>3219</v>
      </c>
      <c r="K2489">
        <v>-0</v>
      </c>
      <c r="L2489">
        <v>0.814266909935574</v>
      </c>
      <c r="M2489">
        <v>64.39</v>
      </c>
      <c r="N2489">
        <v>34.98</v>
      </c>
    </row>
    <row r="2490" spans="1:14">
      <c r="A2490" s="1" t="s">
        <v>2502</v>
      </c>
      <c r="B2490">
        <f>HYPERLINK("https://www.suredividend.com/sure-analysis-research-database/","Salisbury Bancorp, Inc.")</f>
        <v>0</v>
      </c>
      <c r="C2490" t="s">
        <v>3221</v>
      </c>
      <c r="D2490">
        <v>53.81</v>
      </c>
      <c r="E2490">
        <v>0.022948079455628</v>
      </c>
      <c r="F2490">
        <v>0.1034482758620692</v>
      </c>
      <c r="G2490">
        <v>0.02706608708935176</v>
      </c>
      <c r="H2490">
        <v>1.234836155507349</v>
      </c>
      <c r="I2490">
        <v>154.760089</v>
      </c>
      <c r="J2490">
        <v>0</v>
      </c>
      <c r="K2490" t="s">
        <v>3219</v>
      </c>
      <c r="M2490">
        <v>59.56</v>
      </c>
      <c r="N2490">
        <v>39.62</v>
      </c>
    </row>
    <row r="2491" spans="1:14">
      <c r="A2491" s="1" t="s">
        <v>2503</v>
      </c>
      <c r="B2491">
        <f>HYPERLINK("https://www.suredividend.com/sure-analysis-research-database/","Salem Media Group Inc")</f>
        <v>0</v>
      </c>
      <c r="C2491" t="s">
        <v>3228</v>
      </c>
      <c r="D2491">
        <v>3.14</v>
      </c>
      <c r="E2491">
        <v>0</v>
      </c>
      <c r="H2491">
        <v>0</v>
      </c>
      <c r="I2491">
        <v>67.914834</v>
      </c>
      <c r="J2491">
        <v>1.635950135376017</v>
      </c>
      <c r="K2491">
        <v>0</v>
      </c>
      <c r="L2491">
        <v>1.22266591309023</v>
      </c>
      <c r="M2491">
        <v>6.82</v>
      </c>
      <c r="N2491">
        <v>1.69</v>
      </c>
    </row>
    <row r="2492" spans="1:14">
      <c r="A2492" s="1" t="s">
        <v>2504</v>
      </c>
      <c r="B2492">
        <f>HYPERLINK("https://www.suredividend.com/sure-analysis-research-database/","Boston Beer Co., Inc.")</f>
        <v>0</v>
      </c>
      <c r="C2492" t="s">
        <v>3225</v>
      </c>
      <c r="D2492">
        <v>365.76</v>
      </c>
      <c r="E2492">
        <v>0</v>
      </c>
      <c r="H2492">
        <v>0</v>
      </c>
      <c r="I2492">
        <v>3746.82386</v>
      </c>
      <c r="J2492">
        <v>257.4605827087198</v>
      </c>
      <c r="K2492">
        <v>0</v>
      </c>
      <c r="L2492">
        <v>0.632753276767416</v>
      </c>
      <c r="M2492">
        <v>1349.98</v>
      </c>
      <c r="N2492">
        <v>342.74</v>
      </c>
    </row>
    <row r="2493" spans="1:14">
      <c r="A2493" s="1" t="s">
        <v>2505</v>
      </c>
      <c r="B2493">
        <f>HYPERLINK("https://www.suredividend.com/sure-analysis-research-database/","Silvercrest Asset Management Group Inc")</f>
        <v>0</v>
      </c>
      <c r="C2493" t="s">
        <v>3221</v>
      </c>
      <c r="D2493">
        <v>21.28</v>
      </c>
      <c r="E2493">
        <v>0.03102360030687</v>
      </c>
      <c r="F2493">
        <v>0.0625</v>
      </c>
      <c r="G2493">
        <v>0.07214502590085092</v>
      </c>
      <c r="H2493">
        <v>0.6601822145302101</v>
      </c>
      <c r="I2493">
        <v>210.014469</v>
      </c>
      <c r="J2493">
        <v>0</v>
      </c>
      <c r="K2493" t="s">
        <v>3219</v>
      </c>
      <c r="L2493">
        <v>0.598512180337475</v>
      </c>
      <c r="M2493">
        <v>22.4</v>
      </c>
      <c r="N2493">
        <v>12.65</v>
      </c>
    </row>
    <row r="2494" spans="1:14">
      <c r="A2494" s="1" t="s">
        <v>2506</v>
      </c>
      <c r="B2494">
        <f>HYPERLINK("https://www.suredividend.com/sure-analysis-research-database/","Sanmina Corp")</f>
        <v>0</v>
      </c>
      <c r="C2494" t="s">
        <v>3222</v>
      </c>
      <c r="D2494">
        <v>39.2</v>
      </c>
      <c r="E2494">
        <v>0</v>
      </c>
      <c r="H2494">
        <v>0</v>
      </c>
      <c r="I2494">
        <v>2491.413977</v>
      </c>
      <c r="J2494">
        <v>8.910285993040329</v>
      </c>
      <c r="K2494">
        <v>0</v>
      </c>
      <c r="L2494">
        <v>1.018078600208316</v>
      </c>
      <c r="M2494">
        <v>43.63</v>
      </c>
      <c r="N2494">
        <v>35.06</v>
      </c>
    </row>
    <row r="2495" spans="1:14">
      <c r="A2495" s="1" t="s">
        <v>2507</v>
      </c>
      <c r="B2495">
        <f>HYPERLINK("https://www.suredividend.com/sure-analysis-research-database/","S&amp;W Seed Co")</f>
        <v>0</v>
      </c>
      <c r="C2495" t="s">
        <v>3225</v>
      </c>
      <c r="D2495">
        <v>1.71</v>
      </c>
      <c r="E2495">
        <v>0</v>
      </c>
      <c r="H2495">
        <v>0</v>
      </c>
      <c r="I2495">
        <v>66.532194</v>
      </c>
      <c r="J2495">
        <v>0</v>
      </c>
      <c r="K2495" t="s">
        <v>3219</v>
      </c>
      <c r="L2495">
        <v>0.169235130265481</v>
      </c>
      <c r="M2495">
        <v>4.6</v>
      </c>
      <c r="N2495">
        <v>1.71</v>
      </c>
    </row>
    <row r="2496" spans="1:14">
      <c r="A2496" s="1" t="s">
        <v>2508</v>
      </c>
      <c r="B2496">
        <f>HYPERLINK("https://www.suredividend.com/sure-analysis-research-database/","Sandy Spring Bancorp")</f>
        <v>0</v>
      </c>
      <c r="C2496" t="s">
        <v>3221</v>
      </c>
      <c r="D2496">
        <v>43.03</v>
      </c>
      <c r="E2496">
        <v>0.029907865718756</v>
      </c>
      <c r="F2496">
        <v>0.0625</v>
      </c>
      <c r="G2496">
        <v>0.05511819868320456</v>
      </c>
      <c r="H2496">
        <v>1.286935461878088</v>
      </c>
      <c r="I2496">
        <v>1954.666236</v>
      </c>
      <c r="J2496">
        <v>8.367613884734096</v>
      </c>
      <c r="K2496">
        <v>0.2584207754775277</v>
      </c>
      <c r="L2496">
        <v>0.9220714183870971</v>
      </c>
      <c r="M2496">
        <v>51.67</v>
      </c>
      <c r="N2496">
        <v>39.03</v>
      </c>
    </row>
    <row r="2497" spans="1:14">
      <c r="A2497" s="1" t="s">
        <v>2509</v>
      </c>
      <c r="B2497">
        <f>HYPERLINK("https://www.suredividend.com/sure-analysis-research-database/","EchoStar Corp")</f>
        <v>0</v>
      </c>
      <c r="C2497" t="s">
        <v>3222</v>
      </c>
      <c r="D2497">
        <v>25.48</v>
      </c>
      <c r="E2497">
        <v>0</v>
      </c>
      <c r="H2497">
        <v>0</v>
      </c>
      <c r="I2497">
        <v>971.516855</v>
      </c>
      <c r="J2497">
        <v>13.33127760411664</v>
      </c>
      <c r="K2497">
        <v>0</v>
      </c>
      <c r="L2497">
        <v>0.659177342627684</v>
      </c>
      <c r="M2497">
        <v>30.9</v>
      </c>
      <c r="N2497">
        <v>18.63</v>
      </c>
    </row>
    <row r="2498" spans="1:14">
      <c r="A2498" s="1" t="s">
        <v>2510</v>
      </c>
      <c r="B2498">
        <f>HYPERLINK("https://www.suredividend.com/sure-analysis-research-database/","Cassava Sciences Inc")</f>
        <v>0</v>
      </c>
      <c r="C2498" t="s">
        <v>3217</v>
      </c>
      <c r="D2498">
        <v>26.25</v>
      </c>
      <c r="E2498">
        <v>0</v>
      </c>
      <c r="H2498">
        <v>0</v>
      </c>
      <c r="I2498">
        <v>1050.587843</v>
      </c>
      <c r="J2498">
        <v>0</v>
      </c>
      <c r="K2498" t="s">
        <v>3219</v>
      </c>
      <c r="L2498">
        <v>2.477403436459372</v>
      </c>
      <c r="M2498">
        <v>146.16</v>
      </c>
      <c r="N2498">
        <v>25.11</v>
      </c>
    </row>
    <row r="2499" spans="1:14">
      <c r="A2499" s="1" t="s">
        <v>2511</v>
      </c>
      <c r="B2499">
        <f>HYPERLINK("https://www.suredividend.com/sure-analysis-research-database/","Spirit Airlines Inc")</f>
        <v>0</v>
      </c>
      <c r="C2499" t="s">
        <v>3220</v>
      </c>
      <c r="D2499">
        <v>25.12</v>
      </c>
      <c r="E2499">
        <v>0</v>
      </c>
      <c r="H2499">
        <v>0</v>
      </c>
      <c r="I2499">
        <v>2728.348964</v>
      </c>
      <c r="J2499" t="s">
        <v>3219</v>
      </c>
      <c r="K2499">
        <v>-0</v>
      </c>
      <c r="L2499">
        <v>1.535673786415188</v>
      </c>
      <c r="M2499">
        <v>38.48</v>
      </c>
      <c r="N2499">
        <v>18.26</v>
      </c>
    </row>
    <row r="2500" spans="1:14">
      <c r="A2500" s="1" t="s">
        <v>2512</v>
      </c>
      <c r="B2500">
        <f>HYPERLINK("https://www.suredividend.com/sure-analysis-SBAC/","SBA Communications Corp")</f>
        <v>0</v>
      </c>
      <c r="C2500" t="s">
        <v>3224</v>
      </c>
      <c r="D2500">
        <v>355.38</v>
      </c>
      <c r="E2500">
        <v>0.007991445776352073</v>
      </c>
      <c r="H2500">
        <v>2.44331466704125</v>
      </c>
      <c r="I2500">
        <v>38387.163553</v>
      </c>
      <c r="J2500">
        <v>161.5458184054641</v>
      </c>
      <c r="K2500">
        <v>1.14173582572021</v>
      </c>
      <c r="L2500">
        <v>0.570662762709614</v>
      </c>
      <c r="M2500">
        <v>390.3</v>
      </c>
      <c r="N2500">
        <v>279.35</v>
      </c>
    </row>
    <row r="2501" spans="1:14">
      <c r="A2501" s="1" t="s">
        <v>2513</v>
      </c>
      <c r="B2501">
        <f>HYPERLINK("https://www.suredividend.com/sure-analysis-research-database/","Seacoast Banking Corp. Of Florida")</f>
        <v>0</v>
      </c>
      <c r="C2501" t="s">
        <v>3221</v>
      </c>
      <c r="D2501">
        <v>32.87</v>
      </c>
      <c r="E2501">
        <v>0.015728364211913</v>
      </c>
      <c r="H2501">
        <v>0.5169913316455801</v>
      </c>
      <c r="I2501">
        <v>2012.759509</v>
      </c>
      <c r="J2501">
        <v>16.17934864263723</v>
      </c>
      <c r="K2501">
        <v>0.2371519869933854</v>
      </c>
      <c r="L2501">
        <v>0.9260393092174081</v>
      </c>
      <c r="M2501">
        <v>39.16</v>
      </c>
      <c r="N2501">
        <v>29.06</v>
      </c>
    </row>
    <row r="2502" spans="1:14">
      <c r="A2502" s="1" t="s">
        <v>2514</v>
      </c>
      <c r="B2502">
        <f>HYPERLINK("https://www.suredividend.com/sure-analysis-research-database/","SB Financial Group Inc")</f>
        <v>0</v>
      </c>
      <c r="C2502" t="s">
        <v>3221</v>
      </c>
      <c r="D2502">
        <v>18.75</v>
      </c>
      <c r="E2502">
        <v>0.017142591408357</v>
      </c>
      <c r="F2502">
        <v>0.04545454545454541</v>
      </c>
      <c r="G2502">
        <v>0.1043836287043816</v>
      </c>
      <c r="H2502">
        <v>0.32142358890671</v>
      </c>
      <c r="I2502">
        <v>135.216544</v>
      </c>
      <c r="J2502">
        <v>0</v>
      </c>
      <c r="K2502" t="s">
        <v>3219</v>
      </c>
      <c r="M2502">
        <v>20.85</v>
      </c>
      <c r="N2502">
        <v>15.95</v>
      </c>
    </row>
    <row r="2503" spans="1:14">
      <c r="A2503" s="1" t="s">
        <v>2515</v>
      </c>
      <c r="B2503">
        <f>HYPERLINK("https://www.suredividend.com/sure-analysis-research-database/","Sinclair Broadcast Group, Inc.")</f>
        <v>0</v>
      </c>
      <c r="C2503" t="s">
        <v>3228</v>
      </c>
      <c r="D2503">
        <v>22.87</v>
      </c>
      <c r="E2503">
        <v>0.036737690339214</v>
      </c>
      <c r="F2503">
        <v>0.25</v>
      </c>
      <c r="G2503">
        <v>0.06790716584560208</v>
      </c>
      <c r="H2503">
        <v>0.840190978057836</v>
      </c>
      <c r="I2503">
        <v>1103.756331</v>
      </c>
      <c r="J2503" t="s">
        <v>3219</v>
      </c>
      <c r="K2503" t="s">
        <v>3219</v>
      </c>
      <c r="L2503">
        <v>0.9427865143327151</v>
      </c>
      <c r="M2503">
        <v>34.85</v>
      </c>
      <c r="N2503">
        <v>22.25</v>
      </c>
    </row>
    <row r="2504" spans="1:14">
      <c r="A2504" s="1" t="s">
        <v>2516</v>
      </c>
      <c r="B2504">
        <f>HYPERLINK("https://www.suredividend.com/sure-analysis-research-database/","Sally Beauty Holdings Inc")</f>
        <v>0</v>
      </c>
      <c r="C2504" t="s">
        <v>3223</v>
      </c>
      <c r="D2504">
        <v>15.93</v>
      </c>
      <c r="E2504">
        <v>0</v>
      </c>
      <c r="H2504">
        <v>0</v>
      </c>
      <c r="I2504">
        <v>1800.824994</v>
      </c>
      <c r="J2504">
        <v>7.160195599570585</v>
      </c>
      <c r="K2504">
        <v>0</v>
      </c>
      <c r="L2504">
        <v>1.453216530318876</v>
      </c>
      <c r="M2504">
        <v>25.66</v>
      </c>
      <c r="N2504">
        <v>14.92</v>
      </c>
    </row>
    <row r="2505" spans="1:14">
      <c r="A2505" s="1" t="s">
        <v>2517</v>
      </c>
      <c r="B2505">
        <f>HYPERLINK("https://www.suredividend.com/sure-analysis-research-database/","Signature Bank")</f>
        <v>0</v>
      </c>
      <c r="C2505" t="s">
        <v>3221</v>
      </c>
      <c r="D2505">
        <v>265.91</v>
      </c>
      <c r="E2505">
        <v>0.00839927976862</v>
      </c>
      <c r="H2505">
        <v>2.233452483273984</v>
      </c>
      <c r="I2505">
        <v>16122.811209</v>
      </c>
      <c r="J2505">
        <v>18.30984949153601</v>
      </c>
      <c r="K2505">
        <v>0.1484021583570753</v>
      </c>
      <c r="L2505">
        <v>1.647300879887038</v>
      </c>
      <c r="M2505">
        <v>374.07</v>
      </c>
      <c r="N2505">
        <v>214.2</v>
      </c>
    </row>
    <row r="2506" spans="1:14">
      <c r="A2506" s="1" t="s">
        <v>2518</v>
      </c>
      <c r="B2506">
        <f>HYPERLINK("https://www.suredividend.com/sure-analysis-research-database/","SilverBow Resources Inc")</f>
        <v>0</v>
      </c>
      <c r="C2506" t="s">
        <v>3226</v>
      </c>
      <c r="D2506">
        <v>38.4</v>
      </c>
      <c r="E2506">
        <v>0</v>
      </c>
      <c r="H2506">
        <v>0</v>
      </c>
      <c r="I2506">
        <v>645.1931520000001</v>
      </c>
      <c r="J2506">
        <v>0</v>
      </c>
      <c r="K2506" t="s">
        <v>3219</v>
      </c>
      <c r="L2506">
        <v>0.8449987929248881</v>
      </c>
      <c r="M2506">
        <v>40.37</v>
      </c>
      <c r="N2506">
        <v>7.6</v>
      </c>
    </row>
    <row r="2507" spans="1:14">
      <c r="A2507" s="1" t="s">
        <v>2519</v>
      </c>
      <c r="B2507">
        <f>HYPERLINK("https://www.suredividend.com/sure-analysis-SBRA/","Sabra Healthcare REIT Inc")</f>
        <v>0</v>
      </c>
      <c r="C2507" t="s">
        <v>3224</v>
      </c>
      <c r="D2507">
        <v>12.96</v>
      </c>
      <c r="E2507">
        <v>0.09259259259259259</v>
      </c>
      <c r="F2507">
        <v>0</v>
      </c>
      <c r="G2507">
        <v>-0.03574909817526439</v>
      </c>
      <c r="H2507">
        <v>1.162543574489426</v>
      </c>
      <c r="I2507">
        <v>2992.518665</v>
      </c>
      <c r="J2507" t="s">
        <v>3219</v>
      </c>
      <c r="K2507" t="s">
        <v>3219</v>
      </c>
      <c r="L2507">
        <v>0.8356809560417531</v>
      </c>
      <c r="M2507">
        <v>17.88</v>
      </c>
      <c r="N2507">
        <v>12.03</v>
      </c>
    </row>
    <row r="2508" spans="1:14">
      <c r="A2508" s="1" t="s">
        <v>2520</v>
      </c>
      <c r="B2508">
        <f>HYPERLINK("https://www.suredividend.com/sure-analysis-SBSI/","Southside Bancshares Inc")</f>
        <v>0</v>
      </c>
      <c r="C2508" t="s">
        <v>3221</v>
      </c>
      <c r="D2508">
        <v>39.24</v>
      </c>
      <c r="E2508">
        <v>0.03465851172273191</v>
      </c>
      <c r="F2508">
        <v>0.03030303030303028</v>
      </c>
      <c r="G2508">
        <v>0.02534857565773274</v>
      </c>
      <c r="H2508">
        <v>1.31841950040466</v>
      </c>
      <c r="I2508">
        <v>1269.623228</v>
      </c>
      <c r="J2508">
        <v>11.19587329635541</v>
      </c>
      <c r="K2508">
        <v>0.3799479828255504</v>
      </c>
      <c r="L2508">
        <v>0.7005889538919561</v>
      </c>
      <c r="M2508">
        <v>44.94</v>
      </c>
      <c r="N2508">
        <v>33.9</v>
      </c>
    </row>
    <row r="2509" spans="1:14">
      <c r="A2509" s="1" t="s">
        <v>2521</v>
      </c>
      <c r="B2509">
        <f>HYPERLINK("https://www.suredividend.com/sure-analysis-research-database/","Sterling Bancorp Inc")</f>
        <v>0</v>
      </c>
      <c r="C2509" t="s">
        <v>3221</v>
      </c>
      <c r="D2509">
        <v>6.9</v>
      </c>
      <c r="E2509">
        <v>0</v>
      </c>
      <c r="H2509">
        <v>0</v>
      </c>
      <c r="I2509">
        <v>346.437608</v>
      </c>
      <c r="J2509">
        <v>0</v>
      </c>
      <c r="K2509" t="s">
        <v>3219</v>
      </c>
      <c r="L2509">
        <v>0.412775940148723</v>
      </c>
      <c r="M2509">
        <v>7.26</v>
      </c>
      <c r="N2509">
        <v>4.33</v>
      </c>
    </row>
    <row r="2510" spans="1:14">
      <c r="A2510" s="1" t="s">
        <v>2522</v>
      </c>
      <c r="B2510">
        <f>HYPERLINK("https://www.suredividend.com/sure-analysis-SBUX/","Starbucks Corp.")</f>
        <v>0</v>
      </c>
      <c r="C2510" t="s">
        <v>3223</v>
      </c>
      <c r="D2510">
        <v>79.5</v>
      </c>
      <c r="E2510">
        <v>0.02465408805031447</v>
      </c>
      <c r="F2510">
        <v>0.0888888888888888</v>
      </c>
      <c r="G2510">
        <v>0.144066355858723</v>
      </c>
      <c r="H2510">
        <v>1.867419500794282</v>
      </c>
      <c r="I2510">
        <v>91448.85000000001</v>
      </c>
      <c r="J2510">
        <v>20.81694741634418</v>
      </c>
      <c r="K2510">
        <v>0.5033475743380814</v>
      </c>
      <c r="L2510">
        <v>1.105896610588822</v>
      </c>
      <c r="M2510">
        <v>124.66</v>
      </c>
      <c r="N2510">
        <v>78.92</v>
      </c>
    </row>
    <row r="2511" spans="1:14">
      <c r="A2511" s="1" t="s">
        <v>2523</v>
      </c>
      <c r="B2511">
        <f>HYPERLINK("https://www.suredividend.com/sure-analysis-research-database/","Santander Consumer USA Holdings Inc")</f>
        <v>0</v>
      </c>
      <c r="C2511" t="s">
        <v>3221</v>
      </c>
      <c r="D2511">
        <v>41.6</v>
      </c>
      <c r="E2511">
        <v>0.021064617170041</v>
      </c>
      <c r="H2511">
        <v>0.876288074273708</v>
      </c>
      <c r="I2511">
        <v>12734.233366</v>
      </c>
      <c r="J2511">
        <v>4.128269460896921</v>
      </c>
      <c r="K2511">
        <v>0.08701966973919642</v>
      </c>
      <c r="L2511">
        <v>0.517602015906645</v>
      </c>
      <c r="M2511">
        <v>42.87</v>
      </c>
      <c r="N2511">
        <v>21.61</v>
      </c>
    </row>
    <row r="2512" spans="1:14">
      <c r="A2512" s="1" t="s">
        <v>2524</v>
      </c>
      <c r="B2512">
        <f>HYPERLINK("https://www.suredividend.com/sure-analysis-SCHL/","Scholastic Corp.")</f>
        <v>0</v>
      </c>
      <c r="C2512" t="s">
        <v>3228</v>
      </c>
      <c r="D2512">
        <v>39.69</v>
      </c>
      <c r="E2512">
        <v>0.01511715797430083</v>
      </c>
      <c r="F2512">
        <v>0</v>
      </c>
      <c r="G2512">
        <v>0</v>
      </c>
      <c r="H2512">
        <v>0.596400816018238</v>
      </c>
      <c r="I2512">
        <v>1300.384704</v>
      </c>
      <c r="J2512">
        <v>35.72485450961538</v>
      </c>
      <c r="K2512">
        <v>0.5680007771602267</v>
      </c>
      <c r="L2512">
        <v>0.6351817795572421</v>
      </c>
      <c r="M2512">
        <v>43.71</v>
      </c>
      <c r="N2512">
        <v>29.37</v>
      </c>
    </row>
    <row r="2513" spans="1:14">
      <c r="A2513" s="1" t="s">
        <v>2525</v>
      </c>
      <c r="B2513">
        <f>HYPERLINK("https://www.suredividend.com/sure-analysis-research-database/","Schnitzer Steel Industries, Inc.")</f>
        <v>0</v>
      </c>
      <c r="C2513" t="s">
        <v>3218</v>
      </c>
      <c r="D2513">
        <v>54.66</v>
      </c>
      <c r="E2513">
        <v>0.01363959478203</v>
      </c>
      <c r="F2513">
        <v>0</v>
      </c>
      <c r="G2513">
        <v>0</v>
      </c>
      <c r="H2513">
        <v>0.7455402507858001</v>
      </c>
      <c r="I2513">
        <v>1499.51347</v>
      </c>
      <c r="J2513">
        <v>7.88246827696416</v>
      </c>
      <c r="K2513">
        <v>0.1166729656941784</v>
      </c>
      <c r="L2513">
        <v>1.334762608020322</v>
      </c>
      <c r="M2513">
        <v>58.42</v>
      </c>
      <c r="N2513">
        <v>35.04</v>
      </c>
    </row>
    <row r="2514" spans="1:14">
      <c r="A2514" s="1" t="s">
        <v>2526</v>
      </c>
      <c r="B2514">
        <f>HYPERLINK("https://www.suredividend.com/sure-analysis-research-database/","Charles Schwab Corp.")</f>
        <v>0</v>
      </c>
      <c r="C2514" t="s">
        <v>3221</v>
      </c>
      <c r="D2514">
        <v>82.75</v>
      </c>
      <c r="E2514">
        <v>0.008913903169992</v>
      </c>
      <c r="F2514">
        <v>0.1111111111111112</v>
      </c>
      <c r="G2514">
        <v>0.2011244339814313</v>
      </c>
      <c r="H2514">
        <v>0.7376254873168671</v>
      </c>
      <c r="I2514">
        <v>155493.864704</v>
      </c>
      <c r="J2514">
        <v>29.01004938507463</v>
      </c>
      <c r="K2514">
        <v>0.2606450485218612</v>
      </c>
      <c r="L2514">
        <v>1.331125337143508</v>
      </c>
      <c r="M2514">
        <v>96.04000000000001</v>
      </c>
      <c r="N2514">
        <v>62.87</v>
      </c>
    </row>
    <row r="2515" spans="1:14">
      <c r="A2515" s="1" t="s">
        <v>2527</v>
      </c>
      <c r="B2515">
        <f>HYPERLINK("https://www.suredividend.com/sure-analysis-research-database/","Service Corp. International")</f>
        <v>0</v>
      </c>
      <c r="C2515" t="s">
        <v>3223</v>
      </c>
      <c r="D2515">
        <v>70.37</v>
      </c>
      <c r="E2515">
        <v>0.013002048945946</v>
      </c>
      <c r="F2515">
        <v>0.1904761904761905</v>
      </c>
      <c r="G2515">
        <v>0.1075663432482901</v>
      </c>
      <c r="H2515">
        <v>0.9149541843262201</v>
      </c>
      <c r="I2515">
        <v>11312.717581</v>
      </c>
      <c r="J2515">
        <v>14.08913700952376</v>
      </c>
      <c r="K2515">
        <v>0.1938462254928432</v>
      </c>
      <c r="L2515">
        <v>0.633659077351522</v>
      </c>
      <c r="M2515">
        <v>72.06999999999999</v>
      </c>
      <c r="N2515">
        <v>50.22</v>
      </c>
    </row>
    <row r="2516" spans="1:14">
      <c r="A2516" s="1" t="s">
        <v>2528</v>
      </c>
      <c r="B2516">
        <f>HYPERLINK("https://www.suredividend.com/sure-analysis-SCL/","Stepan Co.")</f>
        <v>0</v>
      </c>
      <c r="C2516" t="s">
        <v>3218</v>
      </c>
      <c r="D2516">
        <v>99.56</v>
      </c>
      <c r="E2516">
        <v>0.01345922057051025</v>
      </c>
      <c r="H2516">
        <v>1.274448255307302</v>
      </c>
      <c r="I2516">
        <v>2232.441447</v>
      </c>
      <c r="J2516">
        <v>16.20012079881571</v>
      </c>
      <c r="K2516">
        <v>0.2152784215046118</v>
      </c>
      <c r="L2516">
        <v>0.75920120673736</v>
      </c>
      <c r="M2516">
        <v>137.78</v>
      </c>
      <c r="N2516">
        <v>95.78</v>
      </c>
    </row>
    <row r="2517" spans="1:14">
      <c r="A2517" s="1" t="s">
        <v>2529</v>
      </c>
      <c r="B2517">
        <f>HYPERLINK("https://www.suredividend.com/sure-analysis-research-database/","Superconductor Technologies Inc.")</f>
        <v>0</v>
      </c>
      <c r="C2517" t="s">
        <v>3222</v>
      </c>
      <c r="D2517">
        <v>2.65</v>
      </c>
      <c r="E2517">
        <v>0</v>
      </c>
      <c r="H2517">
        <v>0</v>
      </c>
      <c r="I2517">
        <v>8.352217</v>
      </c>
      <c r="J2517">
        <v>0</v>
      </c>
      <c r="K2517" t="s">
        <v>3219</v>
      </c>
      <c r="M2517">
        <v>4</v>
      </c>
      <c r="N2517">
        <v>0.77</v>
      </c>
    </row>
    <row r="2518" spans="1:14">
      <c r="A2518" s="1" t="s">
        <v>2530</v>
      </c>
      <c r="B2518">
        <f>HYPERLINK("https://www.suredividend.com/sure-analysis-research-database/","Comscore Inc.")</f>
        <v>0</v>
      </c>
      <c r="C2518" t="s">
        <v>3228</v>
      </c>
      <c r="D2518">
        <v>2.51</v>
      </c>
      <c r="E2518">
        <v>0</v>
      </c>
      <c r="H2518">
        <v>0</v>
      </c>
      <c r="I2518">
        <v>227.000861</v>
      </c>
      <c r="J2518" t="s">
        <v>3219</v>
      </c>
      <c r="K2518">
        <v>-0</v>
      </c>
      <c r="L2518">
        <v>1.311814986836633</v>
      </c>
      <c r="M2518">
        <v>5.25</v>
      </c>
      <c r="N2518">
        <v>2.24</v>
      </c>
    </row>
    <row r="2519" spans="1:14">
      <c r="A2519" s="1" t="s">
        <v>2531</v>
      </c>
      <c r="B2519">
        <f>HYPERLINK("https://www.suredividend.com/sure-analysis-research-database/","Sciplay Corp")</f>
        <v>0</v>
      </c>
      <c r="C2519" t="s">
        <v>3228</v>
      </c>
      <c r="D2519">
        <v>13.45</v>
      </c>
      <c r="E2519">
        <v>0</v>
      </c>
      <c r="H2519">
        <v>0</v>
      </c>
      <c r="I2519">
        <v>330.349498</v>
      </c>
      <c r="J2519">
        <v>0</v>
      </c>
      <c r="K2519" t="s">
        <v>3219</v>
      </c>
      <c r="L2519">
        <v>1.231747410474123</v>
      </c>
      <c r="M2519">
        <v>22.29</v>
      </c>
      <c r="N2519">
        <v>10.75</v>
      </c>
    </row>
    <row r="2520" spans="1:14">
      <c r="A2520" s="1" t="s">
        <v>2532</v>
      </c>
      <c r="B2520">
        <f>HYPERLINK("https://www.suredividend.com/sure-analysis-research-database/","Steelcase, Inc.")</f>
        <v>0</v>
      </c>
      <c r="C2520" t="s">
        <v>3220</v>
      </c>
      <c r="D2520">
        <v>11.46</v>
      </c>
      <c r="E2520">
        <v>0.04968257327756501</v>
      </c>
      <c r="F2520">
        <v>0.4499999999999997</v>
      </c>
      <c r="G2520">
        <v>0.02605717935830687</v>
      </c>
      <c r="H2520">
        <v>0.5693622897609001</v>
      </c>
      <c r="I2520">
        <v>997.269037</v>
      </c>
      <c r="J2520">
        <v>79.78152298080001</v>
      </c>
      <c r="K2520">
        <v>5.209170080154621</v>
      </c>
      <c r="L2520">
        <v>0.9064752300172221</v>
      </c>
      <c r="M2520">
        <v>15.12</v>
      </c>
      <c r="N2520">
        <v>10.4</v>
      </c>
    </row>
    <row r="2521" spans="1:14">
      <c r="A2521" s="1" t="s">
        <v>2533</v>
      </c>
      <c r="B2521">
        <f>HYPERLINK("https://www.suredividend.com/sure-analysis-research-database/","Scansource, Inc.")</f>
        <v>0</v>
      </c>
      <c r="C2521" t="s">
        <v>3222</v>
      </c>
      <c r="D2521">
        <v>33.79</v>
      </c>
      <c r="E2521">
        <v>0</v>
      </c>
      <c r="H2521">
        <v>0</v>
      </c>
      <c r="I2521">
        <v>865.160174</v>
      </c>
      <c r="J2521">
        <v>10.53364876115569</v>
      </c>
      <c r="K2521">
        <v>0</v>
      </c>
      <c r="L2521">
        <v>1.197799011430184</v>
      </c>
      <c r="M2521">
        <v>40.83</v>
      </c>
      <c r="N2521">
        <v>24.89</v>
      </c>
    </row>
    <row r="2522" spans="1:14">
      <c r="A2522" s="1" t="s">
        <v>2534</v>
      </c>
      <c r="B2522">
        <f>HYPERLINK("https://www.suredividend.com/sure-analysis-research-database/","Shoe Carnival, Inc.")</f>
        <v>0</v>
      </c>
      <c r="C2522" t="s">
        <v>3223</v>
      </c>
      <c r="D2522">
        <v>31.39</v>
      </c>
      <c r="E2522">
        <v>0.009523664676192001</v>
      </c>
      <c r="F2522">
        <v>-0.3571428571428572</v>
      </c>
      <c r="G2522">
        <v>0.03713728933664817</v>
      </c>
      <c r="H2522">
        <v>0.298947834185695</v>
      </c>
      <c r="I2522">
        <v>884.227076</v>
      </c>
      <c r="J2522">
        <v>5.709073907774356</v>
      </c>
      <c r="K2522">
        <v>0.05515642697153045</v>
      </c>
      <c r="L2522">
        <v>1.550158126182644</v>
      </c>
      <c r="M2522">
        <v>45.98</v>
      </c>
      <c r="N2522">
        <v>27.5</v>
      </c>
    </row>
    <row r="2523" spans="1:14">
      <c r="A2523" s="1" t="s">
        <v>2535</v>
      </c>
      <c r="B2523">
        <f>HYPERLINK("https://www.suredividend.com/sure-analysis-research-database/","SecureWorks Corp")</f>
        <v>0</v>
      </c>
      <c r="C2523" t="s">
        <v>3222</v>
      </c>
      <c r="D2523">
        <v>13.24</v>
      </c>
      <c r="E2523">
        <v>0</v>
      </c>
      <c r="H2523">
        <v>0</v>
      </c>
      <c r="I2523">
        <v>191.629511</v>
      </c>
      <c r="J2523" t="s">
        <v>3219</v>
      </c>
      <c r="K2523">
        <v>-0</v>
      </c>
      <c r="L2523">
        <v>1.016341464076045</v>
      </c>
      <c r="M2523">
        <v>26.89</v>
      </c>
      <c r="N2523">
        <v>10.05</v>
      </c>
    </row>
    <row r="2524" spans="1:14">
      <c r="A2524" s="1" t="s">
        <v>2536</v>
      </c>
      <c r="B2524">
        <f>HYPERLINK("https://www.suredividend.com/sure-analysis-research-database/","L.S. Starrett Co.")</f>
        <v>0</v>
      </c>
      <c r="C2524" t="s">
        <v>3220</v>
      </c>
      <c r="D2524">
        <v>7.0817</v>
      </c>
      <c r="E2524">
        <v>0</v>
      </c>
      <c r="H2524">
        <v>0</v>
      </c>
      <c r="I2524">
        <v>46.940489</v>
      </c>
      <c r="J2524">
        <v>0</v>
      </c>
      <c r="K2524" t="s">
        <v>3219</v>
      </c>
      <c r="L2524">
        <v>0.784439662059164</v>
      </c>
      <c r="M2524">
        <v>13.9</v>
      </c>
      <c r="N2524">
        <v>5.96</v>
      </c>
    </row>
    <row r="2525" spans="1:14">
      <c r="A2525" s="1" t="s">
        <v>2537</v>
      </c>
      <c r="B2525">
        <f>HYPERLINK("https://www.suredividend.com/sure-analysis-research-database/","Scynexis Inc")</f>
        <v>0</v>
      </c>
      <c r="C2525" t="s">
        <v>3217</v>
      </c>
      <c r="D2525">
        <v>3.35</v>
      </c>
      <c r="E2525">
        <v>0</v>
      </c>
      <c r="H2525">
        <v>0</v>
      </c>
      <c r="I2525">
        <v>96.959177</v>
      </c>
      <c r="J2525">
        <v>0</v>
      </c>
      <c r="K2525" t="s">
        <v>3219</v>
      </c>
      <c r="L2525">
        <v>1.350320735617277</v>
      </c>
      <c r="M2525">
        <v>10.25</v>
      </c>
      <c r="N2525">
        <v>3.26</v>
      </c>
    </row>
    <row r="2526" spans="1:14">
      <c r="A2526" s="1" t="s">
        <v>2538</v>
      </c>
      <c r="B2526">
        <f>HYPERLINK("https://www.suredividend.com/sure-analysis-research-database/","Sandridge Energy Inc")</f>
        <v>0</v>
      </c>
      <c r="C2526" t="s">
        <v>3226</v>
      </c>
      <c r="D2526">
        <v>18.81</v>
      </c>
      <c r="E2526">
        <v>0</v>
      </c>
      <c r="H2526">
        <v>0</v>
      </c>
      <c r="I2526">
        <v>690.261522</v>
      </c>
      <c r="J2526">
        <v>0</v>
      </c>
      <c r="K2526" t="s">
        <v>3219</v>
      </c>
      <c r="L2526">
        <v>1.090278667386541</v>
      </c>
      <c r="M2526">
        <v>19.22</v>
      </c>
      <c r="N2526">
        <v>3.57</v>
      </c>
    </row>
    <row r="2527" spans="1:14">
      <c r="A2527" s="1" t="s">
        <v>2539</v>
      </c>
      <c r="B2527">
        <f>HYPERLINK("https://www.suredividend.com/sure-analysis-research-database/","Superior Drilling Products Inc")</f>
        <v>0</v>
      </c>
      <c r="C2527" t="s">
        <v>3226</v>
      </c>
      <c r="D2527">
        <v>1.04</v>
      </c>
      <c r="E2527">
        <v>0</v>
      </c>
      <c r="H2527">
        <v>0</v>
      </c>
      <c r="I2527">
        <v>29.364401</v>
      </c>
      <c r="J2527">
        <v>0</v>
      </c>
      <c r="K2527" t="s">
        <v>3219</v>
      </c>
      <c r="L2527">
        <v>-0.459019018924497</v>
      </c>
      <c r="M2527">
        <v>2.38</v>
      </c>
      <c r="N2527">
        <v>0.6452</v>
      </c>
    </row>
    <row r="2528" spans="1:14">
      <c r="A2528" s="1" t="s">
        <v>2540</v>
      </c>
      <c r="B2528">
        <f>HYPERLINK("https://www.suredividend.com/sure-analysis-research-database/","Seachange International Inc.")</f>
        <v>0</v>
      </c>
      <c r="C2528" t="s">
        <v>3222</v>
      </c>
      <c r="D2528">
        <v>1.17</v>
      </c>
      <c r="E2528">
        <v>0</v>
      </c>
      <c r="H2528">
        <v>0</v>
      </c>
      <c r="I2528">
        <v>57.618757</v>
      </c>
      <c r="J2528" t="s">
        <v>3219</v>
      </c>
      <c r="K2528">
        <v>-0</v>
      </c>
      <c r="L2528">
        <v>0.6205496929083181</v>
      </c>
      <c r="M2528">
        <v>3.44</v>
      </c>
      <c r="N2528">
        <v>0.657</v>
      </c>
    </row>
    <row r="2529" spans="1:14">
      <c r="A2529" s="1" t="s">
        <v>2541</v>
      </c>
      <c r="B2529">
        <f>HYPERLINK("https://www.suredividend.com/sure-analysis-research-database/","SeaWorld Entertainment Inc")</f>
        <v>0</v>
      </c>
      <c r="C2529" t="s">
        <v>3223</v>
      </c>
      <c r="D2529">
        <v>73.08</v>
      </c>
      <c r="E2529">
        <v>0</v>
      </c>
      <c r="H2529">
        <v>0</v>
      </c>
      <c r="I2529">
        <v>5528.453913</v>
      </c>
      <c r="J2529">
        <v>21.55233424177332</v>
      </c>
      <c r="K2529">
        <v>0</v>
      </c>
      <c r="L2529">
        <v>1.445481398160401</v>
      </c>
      <c r="M2529">
        <v>76</v>
      </c>
      <c r="N2529">
        <v>41.94</v>
      </c>
    </row>
    <row r="2530" spans="1:14">
      <c r="A2530" s="1" t="s">
        <v>2542</v>
      </c>
      <c r="B2530">
        <f>HYPERLINK("https://www.suredividend.com/sure-analysis-research-database/","Seaboard Corp.")</f>
        <v>0</v>
      </c>
      <c r="C2530" t="s">
        <v>3220</v>
      </c>
      <c r="D2530">
        <v>4197.34</v>
      </c>
      <c r="E2530">
        <v>0.002142347523638</v>
      </c>
      <c r="F2530">
        <v>0</v>
      </c>
      <c r="G2530">
        <v>0.08447177119769855</v>
      </c>
      <c r="H2530">
        <v>8.992160954870256</v>
      </c>
      <c r="I2530">
        <v>4872.184128</v>
      </c>
      <c r="J2530">
        <v>8.547691452385966</v>
      </c>
      <c r="K2530">
        <v>0.01831210865465891</v>
      </c>
      <c r="L2530">
        <v>0.172493264779388</v>
      </c>
      <c r="M2530">
        <v>4394.87</v>
      </c>
      <c r="N2530">
        <v>3526.82</v>
      </c>
    </row>
    <row r="2531" spans="1:14">
      <c r="A2531" s="1" t="s">
        <v>2543</v>
      </c>
      <c r="B2531">
        <f>HYPERLINK("https://www.suredividend.com/sure-analysis-research-database/","Solaredge Technologies Inc")</f>
        <v>0</v>
      </c>
      <c r="C2531" t="s">
        <v>3222</v>
      </c>
      <c r="D2531">
        <v>300.66</v>
      </c>
      <c r="E2531">
        <v>0</v>
      </c>
      <c r="H2531">
        <v>0</v>
      </c>
      <c r="I2531">
        <v>15880.456812</v>
      </c>
      <c r="J2531">
        <v>93.87277184075192</v>
      </c>
      <c r="K2531">
        <v>0</v>
      </c>
      <c r="L2531">
        <v>1.577665006618987</v>
      </c>
      <c r="M2531">
        <v>389.71</v>
      </c>
      <c r="N2531">
        <v>199.33</v>
      </c>
    </row>
    <row r="2532" spans="1:14">
      <c r="A2532" s="1" t="s">
        <v>2544</v>
      </c>
      <c r="B2532">
        <f>HYPERLINK("https://www.suredividend.com/sure-analysis-research-database/","Sealed Air Corp.")</f>
        <v>0</v>
      </c>
      <c r="C2532" t="s">
        <v>3223</v>
      </c>
      <c r="D2532">
        <v>67.42</v>
      </c>
      <c r="E2532">
        <v>0.011809250828391</v>
      </c>
      <c r="F2532">
        <v>0.25</v>
      </c>
      <c r="G2532">
        <v>0.04563955259127317</v>
      </c>
      <c r="H2532">
        <v>0.796179690850182</v>
      </c>
      <c r="I2532">
        <v>9988.822001</v>
      </c>
      <c r="J2532">
        <v>19.7095935301105</v>
      </c>
      <c r="K2532">
        <v>0.2390930002553099</v>
      </c>
      <c r="L2532">
        <v>0.7171676115396151</v>
      </c>
      <c r="M2532">
        <v>70.72</v>
      </c>
      <c r="N2532">
        <v>47.05</v>
      </c>
    </row>
    <row r="2533" spans="1:14">
      <c r="A2533" s="1" t="s">
        <v>2545</v>
      </c>
      <c r="B2533">
        <f>HYPERLINK("https://www.suredividend.com/sure-analysis-research-database/","Seelos Therapeutics Inc")</f>
        <v>0</v>
      </c>
      <c r="C2533" t="s">
        <v>3217</v>
      </c>
      <c r="D2533">
        <v>0.796</v>
      </c>
      <c r="E2533">
        <v>0</v>
      </c>
      <c r="H2533">
        <v>0</v>
      </c>
      <c r="I2533">
        <v>84.05025500000001</v>
      </c>
      <c r="J2533">
        <v>0</v>
      </c>
      <c r="K2533" t="s">
        <v>3219</v>
      </c>
      <c r="L2533">
        <v>1.868243773822734</v>
      </c>
      <c r="M2533">
        <v>6.6</v>
      </c>
      <c r="N2533">
        <v>0.762</v>
      </c>
    </row>
    <row r="2534" spans="1:14">
      <c r="A2534" s="1" t="s">
        <v>2546</v>
      </c>
      <c r="B2534">
        <f>HYPERLINK("https://www.suredividend.com/sure-analysis-SEIC/","SEI Investments Co.")</f>
        <v>0</v>
      </c>
      <c r="C2534" t="s">
        <v>3221</v>
      </c>
      <c r="D2534">
        <v>57.61</v>
      </c>
      <c r="E2534">
        <v>0.0138864780420066</v>
      </c>
      <c r="H2534">
        <v>0.767546531603696</v>
      </c>
      <c r="I2534">
        <v>7970.576878</v>
      </c>
      <c r="J2534">
        <v>14.58228860982486</v>
      </c>
      <c r="K2534">
        <v>0.2014557825731486</v>
      </c>
      <c r="L2534">
        <v>1.084122779636902</v>
      </c>
      <c r="M2534">
        <v>64.79000000000001</v>
      </c>
      <c r="N2534">
        <v>54.03</v>
      </c>
    </row>
    <row r="2535" spans="1:14">
      <c r="A2535" s="1" t="s">
        <v>2547</v>
      </c>
      <c r="B2535">
        <f>HYPERLINK("https://www.suredividend.com/sure-analysis-research-database/","Selecta Biosciences Inc")</f>
        <v>0</v>
      </c>
      <c r="C2535" t="s">
        <v>3217</v>
      </c>
      <c r="D2535">
        <v>1.03</v>
      </c>
      <c r="E2535">
        <v>0</v>
      </c>
      <c r="H2535">
        <v>0</v>
      </c>
      <c r="I2535">
        <v>128.017516</v>
      </c>
      <c r="J2535">
        <v>0</v>
      </c>
      <c r="K2535" t="s">
        <v>3219</v>
      </c>
      <c r="L2535">
        <v>1.691406925524095</v>
      </c>
      <c r="M2535">
        <v>5.28</v>
      </c>
      <c r="N2535">
        <v>0.9951000000000001</v>
      </c>
    </row>
    <row r="2536" spans="1:14">
      <c r="A2536" s="1" t="s">
        <v>2548</v>
      </c>
      <c r="B2536">
        <f>HYPERLINK("https://www.suredividend.com/sure-analysis-research-database/","Global Self Storage Inc")</f>
        <v>0</v>
      </c>
      <c r="C2536" t="s">
        <v>3224</v>
      </c>
      <c r="D2536">
        <v>5.8</v>
      </c>
      <c r="E2536">
        <v>0.044032359482303</v>
      </c>
      <c r="F2536">
        <v>0</v>
      </c>
      <c r="G2536">
        <v>0</v>
      </c>
      <c r="H2536">
        <v>0.255387684997361</v>
      </c>
      <c r="I2536">
        <v>62.109955</v>
      </c>
      <c r="J2536">
        <v>0</v>
      </c>
      <c r="K2536" t="s">
        <v>3219</v>
      </c>
      <c r="L2536">
        <v>0.500375647263244</v>
      </c>
      <c r="M2536">
        <v>6.56</v>
      </c>
      <c r="N2536">
        <v>4.58</v>
      </c>
    </row>
    <row r="2537" spans="1:14">
      <c r="A2537" s="1" t="s">
        <v>2549</v>
      </c>
      <c r="B2537">
        <f>HYPERLINK("https://www.suredividend.com/sure-analysis-research-database/","Select Medical Holdings Corporation")</f>
        <v>0</v>
      </c>
      <c r="C2537" t="s">
        <v>3217</v>
      </c>
      <c r="D2537">
        <v>24.65</v>
      </c>
      <c r="E2537">
        <v>0.020150179520661</v>
      </c>
      <c r="H2537">
        <v>0.4967019251843061</v>
      </c>
      <c r="I2537">
        <v>3296.870477</v>
      </c>
      <c r="J2537">
        <v>8.479823237866199</v>
      </c>
      <c r="K2537">
        <v>0.1666784983839953</v>
      </c>
      <c r="L2537">
        <v>1.131843346723211</v>
      </c>
      <c r="M2537">
        <v>43.06</v>
      </c>
      <c r="N2537">
        <v>21.37</v>
      </c>
    </row>
    <row r="2538" spans="1:14">
      <c r="A2538" s="1" t="s">
        <v>2550</v>
      </c>
      <c r="B2538">
        <f>HYPERLINK("https://www.suredividend.com/sure-analysis-research-database/","Seneca Foods Corp.")</f>
        <v>0</v>
      </c>
      <c r="C2538" t="s">
        <v>3225</v>
      </c>
      <c r="D2538">
        <v>55.2</v>
      </c>
      <c r="E2538">
        <v>0</v>
      </c>
      <c r="H2538">
        <v>0</v>
      </c>
      <c r="I2538">
        <v>463.950446</v>
      </c>
      <c r="J2538">
        <v>7.88106552514906</v>
      </c>
      <c r="K2538">
        <v>0</v>
      </c>
      <c r="L2538">
        <v>0.507103363198965</v>
      </c>
      <c r="M2538">
        <v>56.65</v>
      </c>
      <c r="N2538">
        <v>41.54</v>
      </c>
    </row>
    <row r="2539" spans="1:14">
      <c r="A2539" s="1" t="s">
        <v>2551</v>
      </c>
      <c r="B2539">
        <f>HYPERLINK("https://www.suredividend.com/sure-analysis-research-database/","Seneca Foods Corp.")</f>
        <v>0</v>
      </c>
      <c r="C2539" t="s">
        <v>3225</v>
      </c>
      <c r="D2539">
        <v>54</v>
      </c>
      <c r="E2539">
        <v>0</v>
      </c>
      <c r="H2539">
        <v>0</v>
      </c>
      <c r="I2539">
        <v>463.950446</v>
      </c>
      <c r="J2539">
        <v>0</v>
      </c>
      <c r="K2539" t="s">
        <v>3219</v>
      </c>
      <c r="M2539">
        <v>57.62</v>
      </c>
      <c r="N2539">
        <v>44</v>
      </c>
    </row>
    <row r="2540" spans="1:14">
      <c r="A2540" s="1" t="s">
        <v>2552</v>
      </c>
      <c r="B2540">
        <f>HYPERLINK("https://www.suredividend.com/sure-analysis-research-database/","Senseonics Holdings Inc")</f>
        <v>0</v>
      </c>
      <c r="C2540" t="s">
        <v>3217</v>
      </c>
      <c r="D2540">
        <v>1.72</v>
      </c>
      <c r="E2540">
        <v>0</v>
      </c>
      <c r="H2540">
        <v>0</v>
      </c>
      <c r="I2540">
        <v>796.610912</v>
      </c>
      <c r="J2540">
        <v>0</v>
      </c>
      <c r="K2540" t="s">
        <v>3219</v>
      </c>
      <c r="L2540">
        <v>2.389194645619859</v>
      </c>
      <c r="M2540">
        <v>4.58</v>
      </c>
      <c r="N2540">
        <v>1.4</v>
      </c>
    </row>
    <row r="2541" spans="1:14">
      <c r="A2541" s="1" t="s">
        <v>2553</v>
      </c>
      <c r="B2541">
        <f>HYPERLINK("https://www.suredividend.com/sure-analysis-research-database/","SES AI Corporation")</f>
        <v>0</v>
      </c>
      <c r="C2541" t="s">
        <v>3226</v>
      </c>
      <c r="D2541">
        <v>8.949999999999999</v>
      </c>
      <c r="E2541">
        <v>0</v>
      </c>
      <c r="H2541">
        <v>0</v>
      </c>
      <c r="I2541">
        <v>2720.988048</v>
      </c>
      <c r="J2541">
        <v>0</v>
      </c>
      <c r="K2541" t="s">
        <v>3219</v>
      </c>
      <c r="L2541">
        <v>0.09745189899511501</v>
      </c>
      <c r="M2541">
        <v>11.47</v>
      </c>
      <c r="N2541">
        <v>4.3</v>
      </c>
    </row>
    <row r="2542" spans="1:14">
      <c r="A2542" s="1" t="s">
        <v>2554</v>
      </c>
      <c r="B2542">
        <f>HYPERLINK("https://www.suredividend.com/sure-analysis-research-database/","Sesen Bio Inc.")</f>
        <v>0</v>
      </c>
      <c r="C2542" t="s">
        <v>3217</v>
      </c>
      <c r="D2542">
        <v>0.5074000000000001</v>
      </c>
      <c r="E2542">
        <v>0</v>
      </c>
      <c r="H2542">
        <v>0</v>
      </c>
      <c r="I2542">
        <v>101.207853</v>
      </c>
      <c r="J2542">
        <v>0</v>
      </c>
      <c r="K2542" t="s">
        <v>3219</v>
      </c>
      <c r="L2542">
        <v>1.405807981111042</v>
      </c>
      <c r="M2542">
        <v>6.04</v>
      </c>
      <c r="N2542">
        <v>0.5</v>
      </c>
    </row>
    <row r="2543" spans="1:14">
      <c r="A2543" s="1" t="s">
        <v>2555</v>
      </c>
      <c r="B2543">
        <f>HYPERLINK("https://www.suredividend.com/sure-analysis-research-database/","Stifel Financial Corp.")</f>
        <v>0</v>
      </c>
      <c r="C2543" t="s">
        <v>3221</v>
      </c>
      <c r="D2543">
        <v>65.31</v>
      </c>
      <c r="E2543">
        <v>0.011441649970266</v>
      </c>
      <c r="H2543">
        <v>0.7472541595580781</v>
      </c>
      <c r="I2543">
        <v>6950.340881</v>
      </c>
      <c r="J2543">
        <v>8.806025915762774</v>
      </c>
      <c r="K2543">
        <v>0.1122003242579697</v>
      </c>
      <c r="L2543">
        <v>1.435619261092207</v>
      </c>
      <c r="M2543">
        <v>82.94</v>
      </c>
      <c r="N2543">
        <v>59.91</v>
      </c>
    </row>
    <row r="2544" spans="1:14">
      <c r="A2544" s="1" t="s">
        <v>2556</v>
      </c>
      <c r="B2544">
        <f>HYPERLINK("https://www.suredividend.com/sure-analysis-research-database/","Sound Financial Bancorp Inc")</f>
        <v>0</v>
      </c>
      <c r="C2544" t="s">
        <v>3221</v>
      </c>
      <c r="D2544">
        <v>38.9</v>
      </c>
      <c r="E2544">
        <v>0.013058067921712</v>
      </c>
      <c r="F2544">
        <v>-0.4117647058823529</v>
      </c>
      <c r="G2544">
        <v>-0.03580749599737276</v>
      </c>
      <c r="H2544">
        <v>0.5079588421546151</v>
      </c>
      <c r="I2544">
        <v>102.052827</v>
      </c>
      <c r="J2544">
        <v>0</v>
      </c>
      <c r="K2544" t="s">
        <v>3219</v>
      </c>
      <c r="M2544">
        <v>48</v>
      </c>
      <c r="N2544">
        <v>37.17</v>
      </c>
    </row>
    <row r="2545" spans="1:14">
      <c r="A2545" s="1" t="s">
        <v>2557</v>
      </c>
      <c r="B2545">
        <f>HYPERLINK("https://www.suredividend.com/sure-analysis-research-database/","ServisFirst Bancshares Inc")</f>
        <v>0</v>
      </c>
      <c r="C2545" t="s">
        <v>3221</v>
      </c>
      <c r="D2545">
        <v>83.09999999999999</v>
      </c>
      <c r="E2545">
        <v>0.010312005691753</v>
      </c>
      <c r="F2545">
        <v>0.1499999999999999</v>
      </c>
      <c r="G2545">
        <v>0.356911634828607</v>
      </c>
      <c r="H2545">
        <v>0.856927672984742</v>
      </c>
      <c r="I2545">
        <v>4510.093862</v>
      </c>
      <c r="J2545">
        <v>21.71739022159944</v>
      </c>
      <c r="K2545">
        <v>0.2243266159645921</v>
      </c>
      <c r="M2545">
        <v>97.25</v>
      </c>
      <c r="N2545">
        <v>58.87</v>
      </c>
    </row>
    <row r="2546" spans="1:14">
      <c r="A2546" s="1" t="s">
        <v>2558</v>
      </c>
      <c r="B2546">
        <f>HYPERLINK("https://www.suredividend.com/sure-analysis-research-database/","Safeguard Scientifics, Inc.")</f>
        <v>0</v>
      </c>
      <c r="C2546" t="s">
        <v>3221</v>
      </c>
      <c r="D2546">
        <v>4.92</v>
      </c>
      <c r="E2546">
        <v>0</v>
      </c>
      <c r="H2546">
        <v>0</v>
      </c>
      <c r="I2546">
        <v>81.806326</v>
      </c>
      <c r="J2546">
        <v>0</v>
      </c>
      <c r="K2546" t="s">
        <v>3219</v>
      </c>
      <c r="L2546">
        <v>0.8471981170180911</v>
      </c>
      <c r="M2546">
        <v>8.98</v>
      </c>
      <c r="N2546">
        <v>4.81</v>
      </c>
    </row>
    <row r="2547" spans="1:14">
      <c r="A2547" s="1" t="s">
        <v>2559</v>
      </c>
      <c r="B2547">
        <f>HYPERLINK("https://www.suredividend.com/sure-analysis-research-database/","Stitch Fix Inc")</f>
        <v>0</v>
      </c>
      <c r="C2547" t="s">
        <v>3223</v>
      </c>
      <c r="D2547">
        <v>9.69</v>
      </c>
      <c r="E2547">
        <v>0</v>
      </c>
      <c r="H2547">
        <v>0</v>
      </c>
      <c r="I2547">
        <v>803.985831</v>
      </c>
      <c r="J2547" t="s">
        <v>3219</v>
      </c>
      <c r="K2547">
        <v>-0</v>
      </c>
      <c r="L2547">
        <v>1.870464649983756</v>
      </c>
      <c r="M2547">
        <v>69.2</v>
      </c>
      <c r="N2547">
        <v>8.75</v>
      </c>
    </row>
    <row r="2548" spans="1:14">
      <c r="A2548" s="1" t="s">
        <v>2560</v>
      </c>
      <c r="B2548">
        <f>HYPERLINK("https://www.suredividend.com/sure-analysis-research-database/","Sprouts Farmers Market Inc")</f>
        <v>0</v>
      </c>
      <c r="C2548" t="s">
        <v>3225</v>
      </c>
      <c r="D2548">
        <v>32.1</v>
      </c>
      <c r="E2548">
        <v>0</v>
      </c>
      <c r="H2548">
        <v>0</v>
      </c>
      <c r="I2548">
        <v>3545.530932</v>
      </c>
      <c r="J2548">
        <v>14.52152070880622</v>
      </c>
      <c r="K2548">
        <v>0</v>
      </c>
      <c r="L2548">
        <v>0.120825721660649</v>
      </c>
      <c r="M2548">
        <v>35.34</v>
      </c>
      <c r="N2548">
        <v>21.18</v>
      </c>
    </row>
    <row r="2549" spans="1:14">
      <c r="A2549" s="1" t="s">
        <v>2561</v>
      </c>
      <c r="B2549">
        <f>HYPERLINK("https://www.suredividend.com/sure-analysis-research-database/","Simmons First National Corp.")</f>
        <v>0</v>
      </c>
      <c r="C2549" t="s">
        <v>3221</v>
      </c>
      <c r="D2549">
        <v>24.88</v>
      </c>
      <c r="E2549">
        <v>0.029063531567827</v>
      </c>
      <c r="F2549">
        <v>0.05555555555555558</v>
      </c>
      <c r="G2549">
        <v>-0.05340824260701438</v>
      </c>
      <c r="H2549">
        <v>0.723100665407547</v>
      </c>
      <c r="I2549">
        <v>2795.886591</v>
      </c>
      <c r="J2549">
        <v>10.31277674824517</v>
      </c>
      <c r="K2549">
        <v>0.2939433599217671</v>
      </c>
      <c r="L2549">
        <v>0.8800415662937111</v>
      </c>
      <c r="M2549">
        <v>32.34</v>
      </c>
      <c r="N2549">
        <v>24.76</v>
      </c>
    </row>
    <row r="2550" spans="1:14">
      <c r="A2550" s="1" t="s">
        <v>2562</v>
      </c>
      <c r="B2550">
        <f>HYPERLINK("https://www.suredividend.com/sure-analysis-research-database/","Southern First Bancshares Inc")</f>
        <v>0</v>
      </c>
      <c r="C2550" t="s">
        <v>3221</v>
      </c>
      <c r="D2550">
        <v>48.09</v>
      </c>
      <c r="E2550">
        <v>0</v>
      </c>
      <c r="H2550">
        <v>0</v>
      </c>
      <c r="I2550">
        <v>383.679765</v>
      </c>
      <c r="J2550">
        <v>0</v>
      </c>
      <c r="K2550" t="s">
        <v>3219</v>
      </c>
      <c r="L2550">
        <v>0.6975790094008281</v>
      </c>
      <c r="M2550">
        <v>65.59</v>
      </c>
      <c r="N2550">
        <v>45.74</v>
      </c>
    </row>
    <row r="2551" spans="1:14">
      <c r="A2551" s="1" t="s">
        <v>2563</v>
      </c>
      <c r="B2551">
        <f>HYPERLINK("https://www.suredividend.com/sure-analysis-research-database/","Saga Communications, Inc.")</f>
        <v>0</v>
      </c>
      <c r="C2551" t="s">
        <v>3228</v>
      </c>
      <c r="D2551">
        <v>22.78</v>
      </c>
      <c r="E2551">
        <v>0.027613426665298</v>
      </c>
      <c r="F2551">
        <v>0</v>
      </c>
      <c r="G2551">
        <v>-0.1181397937782795</v>
      </c>
      <c r="H2551">
        <v>0.629033859435507</v>
      </c>
      <c r="I2551">
        <v>115.897647</v>
      </c>
      <c r="J2551">
        <v>10.56785324519012</v>
      </c>
      <c r="K2551">
        <v>0.3400183023975714</v>
      </c>
      <c r="M2551">
        <v>27.4</v>
      </c>
      <c r="N2551">
        <v>19.22</v>
      </c>
    </row>
    <row r="2552" spans="1:14">
      <c r="A2552" s="1" t="s">
        <v>2564</v>
      </c>
      <c r="B2552">
        <f>HYPERLINK("https://www.suredividend.com/sure-analysis-research-database/","Superior Group of Companies Inc..")</f>
        <v>0</v>
      </c>
      <c r="C2552" t="s">
        <v>3223</v>
      </c>
      <c r="D2552">
        <v>16.78</v>
      </c>
      <c r="E2552">
        <v>0.028372957537668</v>
      </c>
      <c r="F2552">
        <v>0.2</v>
      </c>
      <c r="G2552">
        <v>0.06520853753344791</v>
      </c>
      <c r="H2552">
        <v>0.476098227482076</v>
      </c>
      <c r="I2552">
        <v>270.234081</v>
      </c>
      <c r="J2552">
        <v>0</v>
      </c>
      <c r="K2552" t="s">
        <v>3219</v>
      </c>
      <c r="L2552">
        <v>0.9659899915819801</v>
      </c>
      <c r="M2552">
        <v>26.96</v>
      </c>
      <c r="N2552">
        <v>16.5</v>
      </c>
    </row>
    <row r="2553" spans="1:14">
      <c r="A2553" s="1" t="s">
        <v>2565</v>
      </c>
      <c r="B2553">
        <f>HYPERLINK("https://www.suredividend.com/sure-analysis-research-database/","Seagen Inc")</f>
        <v>0</v>
      </c>
      <c r="C2553" t="s">
        <v>3217</v>
      </c>
      <c r="D2553">
        <v>149.72</v>
      </c>
      <c r="E2553">
        <v>0</v>
      </c>
      <c r="H2553">
        <v>0</v>
      </c>
      <c r="I2553">
        <v>27521.408528</v>
      </c>
      <c r="J2553" t="s">
        <v>3219</v>
      </c>
      <c r="K2553">
        <v>-0</v>
      </c>
      <c r="L2553">
        <v>0.7421462662887811</v>
      </c>
      <c r="M2553">
        <v>192.79</v>
      </c>
      <c r="N2553">
        <v>117.46</v>
      </c>
    </row>
    <row r="2554" spans="1:14">
      <c r="A2554" s="1" t="s">
        <v>2566</v>
      </c>
      <c r="B2554">
        <f>HYPERLINK("https://www.suredividend.com/sure-analysis-research-database/","SMART Global Holdings Inc")</f>
        <v>0</v>
      </c>
      <c r="C2554" t="s">
        <v>3222</v>
      </c>
      <c r="D2554">
        <v>23.45</v>
      </c>
      <c r="E2554">
        <v>0</v>
      </c>
      <c r="H2554">
        <v>0</v>
      </c>
      <c r="I2554">
        <v>1166.981019</v>
      </c>
      <c r="J2554">
        <v>32.48471826773188</v>
      </c>
      <c r="K2554">
        <v>0</v>
      </c>
      <c r="L2554">
        <v>1.669142130136824</v>
      </c>
      <c r="M2554">
        <v>37.25</v>
      </c>
      <c r="N2554">
        <v>20.3</v>
      </c>
    </row>
    <row r="2555" spans="1:14">
      <c r="A2555" s="1" t="s">
        <v>2567</v>
      </c>
      <c r="B2555">
        <f>HYPERLINK("https://www.suredividend.com/sure-analysis-research-database/","Sigmatron International Inc.")</f>
        <v>0</v>
      </c>
      <c r="C2555" t="s">
        <v>3222</v>
      </c>
      <c r="D2555">
        <v>6.09</v>
      </c>
      <c r="E2555">
        <v>0</v>
      </c>
      <c r="H2555">
        <v>0</v>
      </c>
      <c r="I2555">
        <v>36.67208</v>
      </c>
      <c r="J2555">
        <v>0</v>
      </c>
      <c r="K2555" t="s">
        <v>3219</v>
      </c>
      <c r="L2555">
        <v>1.91795001126594</v>
      </c>
      <c r="M2555">
        <v>17.3</v>
      </c>
      <c r="N2555">
        <v>4.58</v>
      </c>
    </row>
    <row r="2556" spans="1:14">
      <c r="A2556" s="1" t="s">
        <v>2568</v>
      </c>
      <c r="B2556">
        <f>HYPERLINK("https://www.suredividend.com/sure-analysis-research-database/","Sangamo Therapeutics Inc")</f>
        <v>0</v>
      </c>
      <c r="C2556" t="s">
        <v>3217</v>
      </c>
      <c r="D2556">
        <v>5.26</v>
      </c>
      <c r="E2556">
        <v>0</v>
      </c>
      <c r="H2556">
        <v>0</v>
      </c>
      <c r="I2556">
        <v>771.456638</v>
      </c>
      <c r="J2556" t="s">
        <v>3219</v>
      </c>
      <c r="K2556">
        <v>-0</v>
      </c>
      <c r="L2556">
        <v>1.533722180049959</v>
      </c>
      <c r="M2556">
        <v>12.83</v>
      </c>
      <c r="N2556">
        <v>5.1</v>
      </c>
    </row>
    <row r="2557" spans="1:14">
      <c r="A2557" s="1" t="s">
        <v>2569</v>
      </c>
      <c r="B2557">
        <f>HYPERLINK("https://www.suredividend.com/sure-analysis-research-database/","Scientific Games Corporation")</f>
        <v>0</v>
      </c>
      <c r="C2557" t="s">
        <v>3223</v>
      </c>
      <c r="D2557">
        <v>59.59</v>
      </c>
      <c r="E2557">
        <v>0</v>
      </c>
      <c r="H2557">
        <v>0</v>
      </c>
      <c r="I2557">
        <v>5760.947331</v>
      </c>
      <c r="J2557">
        <v>15.52815992315364</v>
      </c>
      <c r="K2557">
        <v>0</v>
      </c>
      <c r="L2557">
        <v>1.771272793220228</v>
      </c>
      <c r="M2557">
        <v>90.2</v>
      </c>
      <c r="N2557">
        <v>41.83</v>
      </c>
    </row>
    <row r="2558" spans="1:14">
      <c r="A2558" s="1" t="s">
        <v>2570</v>
      </c>
      <c r="B2558">
        <f>HYPERLINK("https://www.suredividend.com/sure-analysis-research-database/","Spar Group, Inc.")</f>
        <v>0</v>
      </c>
      <c r="C2558" t="s">
        <v>3220</v>
      </c>
      <c r="D2558">
        <v>1.3</v>
      </c>
      <c r="E2558">
        <v>0</v>
      </c>
      <c r="H2558">
        <v>0</v>
      </c>
      <c r="I2558">
        <v>27.716538</v>
      </c>
      <c r="J2558">
        <v>0</v>
      </c>
      <c r="K2558" t="s">
        <v>3219</v>
      </c>
      <c r="L2558">
        <v>0.9534237683933201</v>
      </c>
      <c r="M2558">
        <v>3.86</v>
      </c>
      <c r="N2558">
        <v>1.01</v>
      </c>
    </row>
    <row r="2559" spans="1:14">
      <c r="A2559" s="1" t="s">
        <v>2571</v>
      </c>
      <c r="B2559">
        <f>HYPERLINK("https://www.suredividend.com/sure-analysis-research-database/","Surgery Partners Inc")</f>
        <v>0</v>
      </c>
      <c r="C2559" t="s">
        <v>3217</v>
      </c>
      <c r="D2559">
        <v>55.85</v>
      </c>
      <c r="E2559">
        <v>0</v>
      </c>
      <c r="H2559">
        <v>0</v>
      </c>
      <c r="I2559">
        <v>5021.189391</v>
      </c>
      <c r="J2559">
        <v>0</v>
      </c>
      <c r="K2559" t="s">
        <v>3219</v>
      </c>
      <c r="L2559">
        <v>1.957097069881783</v>
      </c>
      <c r="M2559">
        <v>69.58</v>
      </c>
      <c r="N2559">
        <v>37.63</v>
      </c>
    </row>
    <row r="2560" spans="1:14">
      <c r="A2560" s="1" t="s">
        <v>2572</v>
      </c>
      <c r="B2560">
        <f>HYPERLINK("https://www.suredividend.com/sure-analysis-research-database/","Shake Shack Inc")</f>
        <v>0</v>
      </c>
      <c r="C2560" t="s">
        <v>3223</v>
      </c>
      <c r="D2560">
        <v>62.03</v>
      </c>
      <c r="E2560">
        <v>0</v>
      </c>
      <c r="H2560">
        <v>0</v>
      </c>
      <c r="I2560">
        <v>2428.06045</v>
      </c>
      <c r="J2560" t="s">
        <v>3219</v>
      </c>
      <c r="K2560">
        <v>-0</v>
      </c>
      <c r="L2560">
        <v>1.634626953248488</v>
      </c>
      <c r="M2560">
        <v>116.32</v>
      </c>
      <c r="N2560">
        <v>58.19</v>
      </c>
    </row>
    <row r="2561" spans="1:14">
      <c r="A2561" s="1" t="s">
        <v>2573</v>
      </c>
      <c r="B2561">
        <f>HYPERLINK("https://www.suredividend.com/sure-analysis-research-database/","Shore Bancshares Inc.")</f>
        <v>0</v>
      </c>
      <c r="C2561" t="s">
        <v>3221</v>
      </c>
      <c r="D2561">
        <v>19.63</v>
      </c>
      <c r="E2561">
        <v>0.024233820060578</v>
      </c>
      <c r="F2561">
        <v>0</v>
      </c>
      <c r="G2561">
        <v>0.1913578981670916</v>
      </c>
      <c r="H2561">
        <v>0.47570988778916</v>
      </c>
      <c r="I2561">
        <v>389.52553</v>
      </c>
      <c r="J2561">
        <v>25.34653369143675</v>
      </c>
      <c r="K2561">
        <v>0.4065896476830428</v>
      </c>
      <c r="L2561">
        <v>0.4516590286360571</v>
      </c>
      <c r="M2561">
        <v>22.92</v>
      </c>
      <c r="N2561">
        <v>15.69</v>
      </c>
    </row>
    <row r="2562" spans="1:14">
      <c r="A2562" s="1" t="s">
        <v>2574</v>
      </c>
      <c r="B2562">
        <f>HYPERLINK("https://www.suredividend.com/sure-analysis-research-database/","Shenandoah Telecommunications Co.")</f>
        <v>0</v>
      </c>
      <c r="C2562" t="s">
        <v>3228</v>
      </c>
      <c r="D2562">
        <v>23.77</v>
      </c>
      <c r="E2562">
        <v>0.002944888527472</v>
      </c>
      <c r="H2562">
        <v>0.070000000298023</v>
      </c>
      <c r="I2562">
        <v>1189.656434</v>
      </c>
      <c r="J2562">
        <v>1.19104877028246</v>
      </c>
      <c r="K2562">
        <v>0.003514056239860592</v>
      </c>
      <c r="L2562">
        <v>0.385337745709483</v>
      </c>
      <c r="M2562">
        <v>38.62</v>
      </c>
      <c r="N2562">
        <v>18.77</v>
      </c>
    </row>
    <row r="2563" spans="1:14">
      <c r="A2563" s="1" t="s">
        <v>2575</v>
      </c>
      <c r="B2563">
        <f>HYPERLINK("https://www.suredividend.com/sure-analysis-research-database/","Sunstone Hotel Investors Inc")</f>
        <v>0</v>
      </c>
      <c r="C2563" t="s">
        <v>3224</v>
      </c>
      <c r="D2563">
        <v>11.91</v>
      </c>
      <c r="E2563">
        <v>0</v>
      </c>
      <c r="H2563">
        <v>0</v>
      </c>
      <c r="I2563">
        <v>2614.131962</v>
      </c>
      <c r="J2563">
        <v>192.6689241000884</v>
      </c>
      <c r="K2563">
        <v>0</v>
      </c>
      <c r="L2563">
        <v>1.233553083695181</v>
      </c>
      <c r="M2563">
        <v>13.91</v>
      </c>
      <c r="N2563">
        <v>9.93</v>
      </c>
    </row>
    <row r="2564" spans="1:14">
      <c r="A2564" s="1" t="s">
        <v>2576</v>
      </c>
      <c r="B2564">
        <f>HYPERLINK("https://www.suredividend.com/sure-analysis-research-database/","Steven Madden Ltd.")</f>
        <v>0</v>
      </c>
      <c r="C2564" t="s">
        <v>3223</v>
      </c>
      <c r="D2564">
        <v>40.83</v>
      </c>
      <c r="E2564">
        <v>0.016068699560595</v>
      </c>
      <c r="H2564">
        <v>0.656085003059105</v>
      </c>
      <c r="I2564">
        <v>3260.785916</v>
      </c>
      <c r="J2564">
        <v>17.10100754061821</v>
      </c>
      <c r="K2564">
        <v>0.280378206435515</v>
      </c>
      <c r="L2564">
        <v>1.265194100051574</v>
      </c>
      <c r="M2564">
        <v>51.12</v>
      </c>
      <c r="N2564">
        <v>36.77</v>
      </c>
    </row>
    <row r="2565" spans="1:14">
      <c r="A2565" s="1" t="s">
        <v>2577</v>
      </c>
      <c r="B2565">
        <f>HYPERLINK("https://www.suredividend.com/sure-analysis-research-database/","SharpSpring Inc")</f>
        <v>0</v>
      </c>
      <c r="C2565" t="s">
        <v>3222</v>
      </c>
      <c r="D2565">
        <v>17.1</v>
      </c>
      <c r="E2565">
        <v>0</v>
      </c>
      <c r="H2565">
        <v>0</v>
      </c>
      <c r="I2565">
        <v>0</v>
      </c>
      <c r="J2565">
        <v>0</v>
      </c>
      <c r="K2565" t="s">
        <v>3219</v>
      </c>
    </row>
    <row r="2566" spans="1:14">
      <c r="A2566" s="1" t="s">
        <v>2578</v>
      </c>
      <c r="B2566">
        <f>HYPERLINK("https://www.suredividend.com/sure-analysis-SHW/","Sherwin-Williams Co.")</f>
        <v>0</v>
      </c>
      <c r="C2566" t="s">
        <v>3218</v>
      </c>
      <c r="D2566">
        <v>252.9</v>
      </c>
      <c r="E2566">
        <v>0.009489916963226571</v>
      </c>
      <c r="F2566">
        <v>-0.6363636363636362</v>
      </c>
      <c r="G2566">
        <v>-0.0672903610593466</v>
      </c>
      <c r="H2566">
        <v>2.24336431608062</v>
      </c>
      <c r="I2566">
        <v>65892.49765</v>
      </c>
      <c r="J2566">
        <v>35.3424681668097</v>
      </c>
      <c r="K2566">
        <v>0.3213988991519513</v>
      </c>
      <c r="L2566">
        <v>0.8092495431602471</v>
      </c>
      <c r="M2566">
        <v>353.33</v>
      </c>
      <c r="N2566">
        <v>233.32</v>
      </c>
    </row>
    <row r="2567" spans="1:14">
      <c r="A2567" s="1" t="s">
        <v>2579</v>
      </c>
      <c r="B2567">
        <f>HYPERLINK("https://www.suredividend.com/sure-analysis-research-database/","SI-BONE Inc")</f>
        <v>0</v>
      </c>
      <c r="C2567" t="s">
        <v>3217</v>
      </c>
      <c r="D2567">
        <v>21.08</v>
      </c>
      <c r="E2567">
        <v>0</v>
      </c>
      <c r="H2567">
        <v>0</v>
      </c>
      <c r="I2567">
        <v>705.96452</v>
      </c>
      <c r="J2567">
        <v>0</v>
      </c>
      <c r="K2567" t="s">
        <v>3219</v>
      </c>
      <c r="L2567">
        <v>1.424558528610424</v>
      </c>
      <c r="M2567">
        <v>37.21</v>
      </c>
      <c r="N2567">
        <v>17.96</v>
      </c>
    </row>
    <row r="2568" spans="1:14">
      <c r="A2568" s="1" t="s">
        <v>2580</v>
      </c>
      <c r="B2568">
        <f>HYPERLINK("https://www.suredividend.com/sure-analysis-research-database/","Siebert Financial Corp.")</f>
        <v>0</v>
      </c>
      <c r="C2568" t="s">
        <v>3221</v>
      </c>
      <c r="D2568">
        <v>2.07</v>
      </c>
      <c r="E2568">
        <v>0</v>
      </c>
      <c r="H2568">
        <v>0</v>
      </c>
      <c r="I2568">
        <v>67.074696</v>
      </c>
      <c r="J2568">
        <v>0</v>
      </c>
      <c r="K2568" t="s">
        <v>3219</v>
      </c>
      <c r="L2568">
        <v>0.6874979426955421</v>
      </c>
      <c r="M2568">
        <v>6.39</v>
      </c>
      <c r="N2568">
        <v>1.88</v>
      </c>
    </row>
    <row r="2569" spans="1:14">
      <c r="A2569" s="1" t="s">
        <v>2581</v>
      </c>
      <c r="B2569">
        <f>HYPERLINK("https://www.suredividend.com/sure-analysis-research-database/","Sientra Inc")</f>
        <v>0</v>
      </c>
      <c r="C2569" t="s">
        <v>3217</v>
      </c>
      <c r="D2569">
        <v>1.99</v>
      </c>
      <c r="E2569">
        <v>0</v>
      </c>
      <c r="H2569">
        <v>0</v>
      </c>
      <c r="I2569">
        <v>124.102885</v>
      </c>
      <c r="J2569">
        <v>0</v>
      </c>
      <c r="K2569" t="s">
        <v>3219</v>
      </c>
      <c r="L2569">
        <v>1.739810867157834</v>
      </c>
      <c r="M2569">
        <v>9.140000000000001</v>
      </c>
      <c r="N2569">
        <v>1.98</v>
      </c>
    </row>
    <row r="2570" spans="1:14">
      <c r="A2570" s="1" t="s">
        <v>2582</v>
      </c>
      <c r="B2570">
        <f>HYPERLINK("https://www.suredividend.com/sure-analysis-research-database/","SIFCO Industries Inc.")</f>
        <v>0</v>
      </c>
      <c r="C2570" t="s">
        <v>3220</v>
      </c>
      <c r="D2570">
        <v>4.335</v>
      </c>
      <c r="E2570">
        <v>0</v>
      </c>
      <c r="H2570">
        <v>0</v>
      </c>
      <c r="I2570">
        <v>26.024223</v>
      </c>
      <c r="J2570">
        <v>0</v>
      </c>
      <c r="K2570" t="s">
        <v>3219</v>
      </c>
      <c r="L2570">
        <v>-0.078901047148988</v>
      </c>
      <c r="M2570">
        <v>15.76</v>
      </c>
      <c r="N2570">
        <v>4.11</v>
      </c>
    </row>
    <row r="2571" spans="1:14">
      <c r="A2571" s="1" t="s">
        <v>2583</v>
      </c>
      <c r="B2571">
        <f>HYPERLINK("https://www.suredividend.com/sure-analysis-research-database/","Signet Jewelers Ltd")</f>
        <v>0</v>
      </c>
      <c r="C2571" t="s">
        <v>3223</v>
      </c>
      <c r="D2571">
        <v>77.55</v>
      </c>
      <c r="E2571">
        <v>0.006947989557904001</v>
      </c>
      <c r="H2571">
        <v>0.538816590215505</v>
      </c>
      <c r="I2571">
        <v>3867.690778</v>
      </c>
      <c r="J2571">
        <v>5.259302118642915</v>
      </c>
      <c r="K2571">
        <v>0.04617108742206555</v>
      </c>
      <c r="L2571">
        <v>1.789462408510829</v>
      </c>
      <c r="M2571">
        <v>111.67</v>
      </c>
      <c r="N2571">
        <v>54.98</v>
      </c>
    </row>
    <row r="2572" spans="1:14">
      <c r="A2572" s="1" t="s">
        <v>2584</v>
      </c>
      <c r="B2572">
        <f>HYPERLINK("https://www.suredividend.com/sure-analysis-research-database/","SIGA Technologies Inc")</f>
        <v>0</v>
      </c>
      <c r="C2572" t="s">
        <v>3217</v>
      </c>
      <c r="D2572">
        <v>6.88</v>
      </c>
      <c r="E2572">
        <v>0</v>
      </c>
      <c r="H2572">
        <v>0</v>
      </c>
      <c r="I2572">
        <v>502.445726</v>
      </c>
      <c r="J2572">
        <v>7.234559886063748</v>
      </c>
      <c r="K2572">
        <v>0</v>
      </c>
      <c r="L2572">
        <v>0.748620209920383</v>
      </c>
      <c r="M2572">
        <v>9.82</v>
      </c>
      <c r="N2572">
        <v>5.66</v>
      </c>
    </row>
    <row r="2573" spans="1:14">
      <c r="A2573" s="1" t="s">
        <v>2585</v>
      </c>
      <c r="B2573">
        <f>HYPERLINK("https://www.suredividend.com/sure-analysis-research-database/","Selective Insurance Group Inc.")</f>
        <v>0</v>
      </c>
      <c r="C2573" t="s">
        <v>3221</v>
      </c>
      <c r="D2573">
        <v>85.79000000000001</v>
      </c>
      <c r="E2573">
        <v>0.012293628394309</v>
      </c>
      <c r="F2573">
        <v>0.1200000000000001</v>
      </c>
      <c r="G2573">
        <v>0.1184269147201447</v>
      </c>
      <c r="H2573">
        <v>1.054670379947814</v>
      </c>
      <c r="I2573">
        <v>5176.124294</v>
      </c>
      <c r="J2573">
        <v>13.12125281022804</v>
      </c>
      <c r="K2573">
        <v>0.1622569815304329</v>
      </c>
      <c r="L2573">
        <v>0.8349149483094611</v>
      </c>
      <c r="M2573">
        <v>94.34999999999999</v>
      </c>
      <c r="N2573">
        <v>72.43000000000001</v>
      </c>
    </row>
    <row r="2574" spans="1:14">
      <c r="A2574" s="1" t="s">
        <v>2586</v>
      </c>
      <c r="B2574">
        <f>HYPERLINK("https://www.suredividend.com/sure-analysis-research-database/","Silk Road Medical Inc")</f>
        <v>0</v>
      </c>
      <c r="C2574" t="s">
        <v>3217</v>
      </c>
      <c r="D2574">
        <v>43.51</v>
      </c>
      <c r="E2574">
        <v>0</v>
      </c>
      <c r="H2574">
        <v>0</v>
      </c>
      <c r="I2574">
        <v>1518.342756</v>
      </c>
      <c r="J2574">
        <v>0</v>
      </c>
      <c r="K2574" t="s">
        <v>3219</v>
      </c>
      <c r="L2574">
        <v>1.710748917146956</v>
      </c>
      <c r="M2574">
        <v>67.48999999999999</v>
      </c>
      <c r="N2574">
        <v>27.21</v>
      </c>
    </row>
    <row r="2575" spans="1:14">
      <c r="A2575" s="1" t="s">
        <v>2587</v>
      </c>
      <c r="B2575">
        <f>HYPERLINK("https://www.suredividend.com/sure-analysis-research-database/","SINTX Technologies Inc")</f>
        <v>0</v>
      </c>
      <c r="C2575" t="s">
        <v>3217</v>
      </c>
      <c r="D2575">
        <v>0.6247</v>
      </c>
      <c r="E2575">
        <v>0</v>
      </c>
      <c r="H2575">
        <v>0</v>
      </c>
      <c r="I2575">
        <v>15.43857</v>
      </c>
      <c r="J2575">
        <v>0</v>
      </c>
      <c r="K2575" t="s">
        <v>3219</v>
      </c>
      <c r="L2575">
        <v>1.042869580533009</v>
      </c>
      <c r="M2575">
        <v>2.06</v>
      </c>
      <c r="N2575">
        <v>0.4</v>
      </c>
    </row>
    <row r="2576" spans="1:14">
      <c r="A2576" s="1" t="s">
        <v>2588</v>
      </c>
      <c r="B2576">
        <f>HYPERLINK("https://www.suredividend.com/sure-analysis-research-database/","Sirius XM Holdings Inc")</f>
        <v>0</v>
      </c>
      <c r="C2576" t="s">
        <v>3228</v>
      </c>
      <c r="D2576">
        <v>6.46</v>
      </c>
      <c r="E2576">
        <v>0.01128622556691</v>
      </c>
      <c r="F2576">
        <v>16.07533638412677</v>
      </c>
      <c r="G2576">
        <v>0.9036539387158786</v>
      </c>
      <c r="H2576">
        <v>0.072909017162241</v>
      </c>
      <c r="I2576">
        <v>25503.611023</v>
      </c>
      <c r="J2576">
        <v>19.40914080926941</v>
      </c>
      <c r="K2576">
        <v>0.2298518826047951</v>
      </c>
      <c r="L2576">
        <v>0.570055814244352</v>
      </c>
      <c r="M2576">
        <v>7.23</v>
      </c>
      <c r="N2576">
        <v>5.7</v>
      </c>
    </row>
    <row r="2577" spans="1:14">
      <c r="A2577" s="1" t="s">
        <v>2589</v>
      </c>
      <c r="B2577">
        <f>HYPERLINK("https://www.suredividend.com/sure-analysis-research-database/","SITE Centers Corp")</f>
        <v>0</v>
      </c>
      <c r="C2577" t="s">
        <v>3224</v>
      </c>
      <c r="D2577">
        <v>16.41</v>
      </c>
      <c r="E2577">
        <v>0.029517707742039</v>
      </c>
      <c r="H2577">
        <v>0.484385584046866</v>
      </c>
      <c r="I2577">
        <v>3466.487111</v>
      </c>
      <c r="J2577">
        <v>32.84182159515306</v>
      </c>
      <c r="K2577">
        <v>0.9597495225814663</v>
      </c>
      <c r="L2577">
        <v>1.012800394029958</v>
      </c>
      <c r="M2577">
        <v>17.34</v>
      </c>
      <c r="N2577">
        <v>13.36</v>
      </c>
    </row>
    <row r="2578" spans="1:14">
      <c r="A2578" s="1" t="s">
        <v>2590</v>
      </c>
      <c r="B2578">
        <f>HYPERLINK("https://www.suredividend.com/sure-analysis-research-database/","SiteOne Landscape Supply Inc")</f>
        <v>0</v>
      </c>
      <c r="C2578" t="s">
        <v>3220</v>
      </c>
      <c r="D2578">
        <v>147</v>
      </c>
      <c r="E2578">
        <v>0</v>
      </c>
      <c r="H2578">
        <v>0</v>
      </c>
      <c r="I2578">
        <v>6596.346288</v>
      </c>
      <c r="J2578">
        <v>27.66923778523491</v>
      </c>
      <c r="K2578">
        <v>0</v>
      </c>
      <c r="L2578">
        <v>1.513780222882829</v>
      </c>
      <c r="M2578">
        <v>260</v>
      </c>
      <c r="N2578">
        <v>146.15</v>
      </c>
    </row>
    <row r="2579" spans="1:14">
      <c r="A2579" s="1" t="s">
        <v>2591</v>
      </c>
      <c r="B2579">
        <f>HYPERLINK("https://www.suredividend.com/sure-analysis-research-database/","SVB Financial Group")</f>
        <v>0</v>
      </c>
      <c r="C2579" t="s">
        <v>3221</v>
      </c>
      <c r="D2579">
        <v>507.06</v>
      </c>
      <c r="E2579">
        <v>0</v>
      </c>
      <c r="H2579">
        <v>0</v>
      </c>
      <c r="I2579">
        <v>29819.986649</v>
      </c>
      <c r="J2579">
        <v>16.84745008413559</v>
      </c>
      <c r="K2579">
        <v>0</v>
      </c>
      <c r="L2579">
        <v>1.975403804885543</v>
      </c>
      <c r="M2579">
        <v>763.22</v>
      </c>
      <c r="N2579">
        <v>486.74</v>
      </c>
    </row>
    <row r="2580" spans="1:14">
      <c r="A2580" s="1" t="s">
        <v>2592</v>
      </c>
      <c r="B2580">
        <f>HYPERLINK("https://www.suredividend.com/sure-analysis-research-database/","Six Flags Entertainment Corp")</f>
        <v>0</v>
      </c>
      <c r="C2580" t="s">
        <v>3223</v>
      </c>
      <c r="D2580">
        <v>41.37</v>
      </c>
      <c r="E2580">
        <v>0</v>
      </c>
      <c r="H2580">
        <v>0</v>
      </c>
      <c r="I2580">
        <v>3567.942412</v>
      </c>
      <c r="J2580">
        <v>27.4619767985653</v>
      </c>
      <c r="K2580">
        <v>0</v>
      </c>
      <c r="L2580">
        <v>1.425995001324251</v>
      </c>
      <c r="M2580">
        <v>50.56</v>
      </c>
      <c r="N2580">
        <v>35.75</v>
      </c>
    </row>
    <row r="2581" spans="1:14">
      <c r="A2581" s="1" t="s">
        <v>2593</v>
      </c>
      <c r="B2581">
        <f>HYPERLINK("https://www.suredividend.com/sure-analysis-SJI/","South Jersey Industries Inc.")</f>
        <v>0</v>
      </c>
      <c r="C2581" t="s">
        <v>3227</v>
      </c>
      <c r="D2581">
        <v>34.56</v>
      </c>
      <c r="E2581">
        <v>0.03616898148148148</v>
      </c>
      <c r="F2581">
        <v>0.02479338842975198</v>
      </c>
      <c r="G2581">
        <v>0.02612209092834372</v>
      </c>
      <c r="H2581">
        <v>1.205731232670689</v>
      </c>
      <c r="I2581">
        <v>4230.400677</v>
      </c>
      <c r="J2581">
        <v>48.02307474225517</v>
      </c>
      <c r="K2581">
        <v>1.507164040838361</v>
      </c>
      <c r="L2581">
        <v>0.6912734955520701</v>
      </c>
      <c r="M2581">
        <v>35.03</v>
      </c>
      <c r="N2581">
        <v>20.31</v>
      </c>
    </row>
    <row r="2582" spans="1:14">
      <c r="A2582" s="1" t="s">
        <v>2594</v>
      </c>
      <c r="B2582">
        <f>HYPERLINK("https://www.suredividend.com/sure-analysis-SJM/","J.M. Smucker Co.")</f>
        <v>0</v>
      </c>
      <c r="C2582" t="s">
        <v>3225</v>
      </c>
      <c r="D2582">
        <v>139.69</v>
      </c>
      <c r="E2582">
        <v>0.02834848593313766</v>
      </c>
      <c r="F2582">
        <v>0.09999999999999987</v>
      </c>
      <c r="G2582">
        <v>0.05709686837461603</v>
      </c>
      <c r="H2582">
        <v>3.827987821002066</v>
      </c>
      <c r="I2582">
        <v>15150.553058</v>
      </c>
      <c r="J2582">
        <v>26.35795591137787</v>
      </c>
      <c r="K2582">
        <v>0.7209016612056622</v>
      </c>
      <c r="L2582">
        <v>0.070200081288134</v>
      </c>
      <c r="M2582">
        <v>144.76</v>
      </c>
      <c r="N2582">
        <v>116.78</v>
      </c>
    </row>
    <row r="2583" spans="1:14">
      <c r="A2583" s="1" t="s">
        <v>2595</v>
      </c>
      <c r="B2583">
        <f>HYPERLINK("https://www.suredividend.com/sure-analysis-SJW/","SJW Group")</f>
        <v>0</v>
      </c>
      <c r="C2583" t="s">
        <v>3227</v>
      </c>
      <c r="D2583">
        <v>63.83</v>
      </c>
      <c r="E2583">
        <v>0.02255992480025067</v>
      </c>
      <c r="F2583">
        <v>0.0588235294117645</v>
      </c>
      <c r="G2583">
        <v>0.1060344337270704</v>
      </c>
      <c r="H2583">
        <v>1.369705090367621</v>
      </c>
      <c r="I2583">
        <v>1929.99905</v>
      </c>
      <c r="J2583">
        <v>31.91241526389761</v>
      </c>
      <c r="K2583">
        <v>0.6747315716096657</v>
      </c>
      <c r="L2583">
        <v>0.317211535078631</v>
      </c>
      <c r="M2583">
        <v>73.3</v>
      </c>
      <c r="N2583">
        <v>60.13</v>
      </c>
    </row>
    <row r="2584" spans="1:14">
      <c r="A2584" s="1" t="s">
        <v>2596</v>
      </c>
      <c r="B2584">
        <f>HYPERLINK("https://www.suredividend.com/sure-analysis-SKT/","Tanger Factory Outlet Centers, Inc.")</f>
        <v>0</v>
      </c>
      <c r="C2584" t="s">
        <v>3224</v>
      </c>
      <c r="D2584">
        <v>17.43</v>
      </c>
      <c r="E2584">
        <v>0.04188181296615032</v>
      </c>
      <c r="H2584">
        <v>0.708495432249856</v>
      </c>
      <c r="I2584">
        <v>1820.895733</v>
      </c>
      <c r="J2584">
        <v>219.0156041893192</v>
      </c>
      <c r="K2584">
        <v>8.693195487728294</v>
      </c>
      <c r="L2584">
        <v>1.277106744972232</v>
      </c>
      <c r="M2584">
        <v>22.26</v>
      </c>
      <c r="N2584">
        <v>14.96</v>
      </c>
    </row>
    <row r="2585" spans="1:14">
      <c r="A2585" s="1" t="s">
        <v>2597</v>
      </c>
      <c r="B2585">
        <f>HYPERLINK("https://www.suredividend.com/sure-analysis-research-database/","Skechers U S A, Inc.")</f>
        <v>0</v>
      </c>
      <c r="C2585" t="s">
        <v>3223</v>
      </c>
      <c r="D2585">
        <v>39.77</v>
      </c>
      <c r="E2585">
        <v>0</v>
      </c>
      <c r="H2585">
        <v>0</v>
      </c>
      <c r="I2585">
        <v>5373.215889</v>
      </c>
      <c r="J2585">
        <v>7.246384558498079</v>
      </c>
      <c r="K2585">
        <v>0</v>
      </c>
      <c r="L2585">
        <v>1.543145728711473</v>
      </c>
      <c r="M2585">
        <v>55.87</v>
      </c>
      <c r="N2585">
        <v>33.5</v>
      </c>
    </row>
    <row r="2586" spans="1:14">
      <c r="A2586" s="1" t="s">
        <v>2598</v>
      </c>
      <c r="B2586">
        <f>HYPERLINK("https://www.suredividend.com/sure-analysis-research-database/","Skyline Champion Corp")</f>
        <v>0</v>
      </c>
      <c r="C2586" t="s">
        <v>3223</v>
      </c>
      <c r="D2586">
        <v>51.37</v>
      </c>
      <c r="E2586">
        <v>0</v>
      </c>
      <c r="H2586">
        <v>0</v>
      </c>
      <c r="I2586">
        <v>2919.209771</v>
      </c>
      <c r="J2586">
        <v>14.96232660960308</v>
      </c>
      <c r="K2586">
        <v>0</v>
      </c>
      <c r="L2586">
        <v>1.729065051212986</v>
      </c>
      <c r="M2586">
        <v>85.92</v>
      </c>
      <c r="N2586">
        <v>38.96</v>
      </c>
    </row>
    <row r="2587" spans="1:14">
      <c r="A2587" s="1" t="s">
        <v>2599</v>
      </c>
      <c r="B2587">
        <f>HYPERLINK("https://www.suredividend.com/sure-analysis-research-database/","Skywest Inc.")</f>
        <v>0</v>
      </c>
      <c r="C2587" t="s">
        <v>3220</v>
      </c>
      <c r="D2587">
        <v>29.51</v>
      </c>
      <c r="E2587">
        <v>0</v>
      </c>
      <c r="H2587">
        <v>0</v>
      </c>
      <c r="I2587">
        <v>1490.898082</v>
      </c>
      <c r="J2587">
        <v>13.3222954331159</v>
      </c>
      <c r="K2587">
        <v>0</v>
      </c>
      <c r="L2587">
        <v>1.440939027294536</v>
      </c>
      <c r="M2587">
        <v>53.5</v>
      </c>
      <c r="N2587">
        <v>22.78</v>
      </c>
    </row>
    <row r="2588" spans="1:14">
      <c r="A2588" s="1" t="s">
        <v>2600</v>
      </c>
      <c r="B2588">
        <f>HYPERLINK("https://www.suredividend.com/sure-analysis-research-database/","Silicon Laboratories Inc")</f>
        <v>0</v>
      </c>
      <c r="C2588" t="s">
        <v>3222</v>
      </c>
      <c r="D2588">
        <v>132.73</v>
      </c>
      <c r="E2588">
        <v>0</v>
      </c>
      <c r="H2588">
        <v>0</v>
      </c>
      <c r="I2588">
        <v>5064.940565</v>
      </c>
      <c r="J2588">
        <v>2.392057691871017</v>
      </c>
      <c r="K2588">
        <v>0</v>
      </c>
      <c r="L2588">
        <v>1.552771304944387</v>
      </c>
      <c r="M2588">
        <v>211.98</v>
      </c>
      <c r="N2588">
        <v>120.15</v>
      </c>
    </row>
    <row r="2589" spans="1:14">
      <c r="A2589" s="1" t="s">
        <v>2601</v>
      </c>
      <c r="B2589">
        <f>HYPERLINK("https://www.suredividend.com/sure-analysis-SLB/","Schlumberger Ltd.")</f>
        <v>0</v>
      </c>
      <c r="C2589" t="s">
        <v>3226</v>
      </c>
      <c r="D2589">
        <v>43.25</v>
      </c>
      <c r="E2589">
        <v>0.0115606936416185</v>
      </c>
      <c r="F2589">
        <v>0</v>
      </c>
      <c r="G2589">
        <v>-0.242141716744801</v>
      </c>
      <c r="H2589">
        <v>0.497236858840387</v>
      </c>
      <c r="I2589">
        <v>61113.085417</v>
      </c>
      <c r="J2589">
        <v>32.48967858426369</v>
      </c>
      <c r="K2589">
        <v>0.3766945900305962</v>
      </c>
      <c r="L2589">
        <v>0.589278316621583</v>
      </c>
      <c r="M2589">
        <v>46.27</v>
      </c>
      <c r="N2589">
        <v>24.23</v>
      </c>
    </row>
    <row r="2590" spans="1:14">
      <c r="A2590" s="1" t="s">
        <v>2602</v>
      </c>
      <c r="B2590">
        <f>HYPERLINK("https://www.suredividend.com/sure-analysis-research-database/","U.S. Silica Holdings Inc")</f>
        <v>0</v>
      </c>
      <c r="C2590" t="s">
        <v>3226</v>
      </c>
      <c r="D2590">
        <v>20.43</v>
      </c>
      <c r="E2590">
        <v>0</v>
      </c>
      <c r="H2590">
        <v>0</v>
      </c>
      <c r="I2590">
        <v>1541.127918</v>
      </c>
      <c r="J2590" t="s">
        <v>3219</v>
      </c>
      <c r="K2590">
        <v>-0</v>
      </c>
      <c r="L2590">
        <v>1.301892283895145</v>
      </c>
      <c r="M2590">
        <v>20.8</v>
      </c>
      <c r="N2590">
        <v>7.23</v>
      </c>
    </row>
    <row r="2591" spans="1:14">
      <c r="A2591" s="1" t="s">
        <v>2603</v>
      </c>
      <c r="B2591">
        <f>HYPERLINK("https://www.suredividend.com/sure-analysis-research-database/","Select Bancorp Inc")</f>
        <v>0</v>
      </c>
      <c r="C2591" t="s">
        <v>3221</v>
      </c>
      <c r="D2591">
        <v>18.88</v>
      </c>
      <c r="E2591">
        <v>0</v>
      </c>
      <c r="H2591">
        <v>0</v>
      </c>
      <c r="I2591">
        <v>0</v>
      </c>
      <c r="J2591">
        <v>0</v>
      </c>
      <c r="K2591" t="s">
        <v>3219</v>
      </c>
    </row>
    <row r="2592" spans="1:14">
      <c r="A2592" s="1" t="s">
        <v>2604</v>
      </c>
      <c r="B2592">
        <f>HYPERLINK("https://www.suredividend.com/sure-analysis-research-database/","Solid Biosciences Inc")</f>
        <v>0</v>
      </c>
      <c r="C2592" t="s">
        <v>3217</v>
      </c>
      <c r="D2592">
        <v>1.05</v>
      </c>
      <c r="E2592">
        <v>0</v>
      </c>
      <c r="H2592">
        <v>0</v>
      </c>
      <c r="I2592">
        <v>115.99661</v>
      </c>
      <c r="J2592">
        <v>0</v>
      </c>
      <c r="K2592" t="s">
        <v>3219</v>
      </c>
      <c r="L2592">
        <v>1.242551067789782</v>
      </c>
      <c r="M2592">
        <v>5.46</v>
      </c>
      <c r="N2592">
        <v>0.721</v>
      </c>
    </row>
    <row r="2593" spans="1:14">
      <c r="A2593" s="1" t="s">
        <v>2605</v>
      </c>
      <c r="B2593">
        <f>HYPERLINK("https://www.suredividend.com/sure-analysis-SLG/","SL Green Realty Corp.")</f>
        <v>0</v>
      </c>
      <c r="C2593" t="s">
        <v>3224</v>
      </c>
      <c r="D2593">
        <v>74.73</v>
      </c>
      <c r="E2593">
        <v>0.0499130202060752</v>
      </c>
      <c r="F2593">
        <v>-0.8725811741554608</v>
      </c>
      <c r="G2593">
        <v>0.0104894853668771</v>
      </c>
      <c r="H2593">
        <v>3.598688700967766</v>
      </c>
      <c r="I2593">
        <v>4840.316653</v>
      </c>
      <c r="J2593">
        <v>11.19888909868722</v>
      </c>
      <c r="K2593">
        <v>0.5889834207803217</v>
      </c>
      <c r="L2593">
        <v>1.006115229695419</v>
      </c>
      <c r="M2593">
        <v>84.12</v>
      </c>
      <c r="N2593">
        <v>64.62</v>
      </c>
    </row>
    <row r="2594" spans="1:14">
      <c r="A2594" s="1" t="s">
        <v>2606</v>
      </c>
      <c r="B2594">
        <f>HYPERLINK("https://www.suredividend.com/sure-analysis-SLGN/","Silgan Holdings Inc.")</f>
        <v>0</v>
      </c>
      <c r="C2594" t="s">
        <v>3223</v>
      </c>
      <c r="D2594">
        <v>45.44</v>
      </c>
      <c r="E2594">
        <v>0.01408450704225352</v>
      </c>
      <c r="F2594">
        <v>0.1428571428571428</v>
      </c>
      <c r="G2594">
        <v>0.1219551454461996</v>
      </c>
      <c r="H2594">
        <v>0.577119541481751</v>
      </c>
      <c r="I2594">
        <v>5017.040806</v>
      </c>
      <c r="J2594">
        <v>13.97189159482122</v>
      </c>
      <c r="K2594">
        <v>0.178674780644505</v>
      </c>
      <c r="L2594">
        <v>0.332324778303521</v>
      </c>
      <c r="M2594">
        <v>46.98</v>
      </c>
      <c r="N2594">
        <v>36.85</v>
      </c>
    </row>
    <row r="2595" spans="1:14">
      <c r="A2595" s="1" t="s">
        <v>2607</v>
      </c>
      <c r="B2595">
        <f>HYPERLINK("https://www.suredividend.com/sure-analysis-research-database/","SLM Corp.")</f>
        <v>0</v>
      </c>
      <c r="C2595" t="s">
        <v>3221</v>
      </c>
      <c r="D2595">
        <v>16.81</v>
      </c>
      <c r="E2595">
        <v>0.016574774765608</v>
      </c>
      <c r="H2595">
        <v>0.278621963809878</v>
      </c>
      <c r="I2595">
        <v>4696.595473</v>
      </c>
      <c r="J2595">
        <v>4.063582743634801</v>
      </c>
      <c r="K2595">
        <v>0.07718059939331802</v>
      </c>
      <c r="L2595">
        <v>1.202345429845578</v>
      </c>
      <c r="M2595">
        <v>21.11</v>
      </c>
      <c r="N2595">
        <v>16.27</v>
      </c>
    </row>
    <row r="2596" spans="1:14">
      <c r="A2596" s="1" t="s">
        <v>2608</v>
      </c>
      <c r="B2596">
        <f>HYPERLINK("https://www.suredividend.com/sure-analysis-research-database/","Stabilis Solutions Inc")</f>
        <v>0</v>
      </c>
      <c r="C2596" t="s">
        <v>3226</v>
      </c>
      <c r="D2596">
        <v>5.11</v>
      </c>
      <c r="E2596">
        <v>0</v>
      </c>
      <c r="H2596">
        <v>0</v>
      </c>
      <c r="I2596">
        <v>92.964196</v>
      </c>
      <c r="J2596">
        <v>0</v>
      </c>
      <c r="K2596" t="s">
        <v>3219</v>
      </c>
      <c r="M2596">
        <v>10.47</v>
      </c>
      <c r="N2596">
        <v>2.98</v>
      </c>
    </row>
    <row r="2597" spans="1:14">
      <c r="A2597" s="1" t="s">
        <v>2609</v>
      </c>
      <c r="B2597">
        <f>HYPERLINK("https://www.suredividend.com/sure-analysis-research-database/","Soleno Therapeutics Inc")</f>
        <v>0</v>
      </c>
      <c r="C2597" t="s">
        <v>3217</v>
      </c>
      <c r="D2597">
        <v>0.2176</v>
      </c>
      <c r="E2597">
        <v>0</v>
      </c>
      <c r="H2597">
        <v>0</v>
      </c>
      <c r="I2597">
        <v>17.427326</v>
      </c>
      <c r="J2597">
        <v>0</v>
      </c>
      <c r="K2597" t="s">
        <v>3219</v>
      </c>
      <c r="L2597">
        <v>0.9203248959171311</v>
      </c>
      <c r="M2597">
        <v>1.67</v>
      </c>
      <c r="N2597">
        <v>0.1958</v>
      </c>
    </row>
    <row r="2598" spans="1:14">
      <c r="A2598" s="1" t="s">
        <v>2610</v>
      </c>
      <c r="B2598">
        <f>HYPERLINK("https://www.suredividend.com/sure-analysis-research-database/","Simulations Plus Inc.")</f>
        <v>0</v>
      </c>
      <c r="C2598" t="s">
        <v>3217</v>
      </c>
      <c r="D2598">
        <v>50.93</v>
      </c>
      <c r="E2598">
        <v>0.004701703294596</v>
      </c>
      <c r="F2598">
        <v>0</v>
      </c>
      <c r="G2598">
        <v>0.03713728933664817</v>
      </c>
      <c r="H2598">
        <v>0.239457748793821</v>
      </c>
      <c r="I2598">
        <v>1029.119592</v>
      </c>
      <c r="J2598">
        <v>0</v>
      </c>
      <c r="K2598" t="s">
        <v>3219</v>
      </c>
      <c r="L2598">
        <v>1.048116037923065</v>
      </c>
      <c r="M2598">
        <v>70.19</v>
      </c>
      <c r="N2598">
        <v>35.18</v>
      </c>
    </row>
    <row r="2599" spans="1:14">
      <c r="A2599" s="1" t="s">
        <v>2611</v>
      </c>
      <c r="B2599">
        <f>HYPERLINK("https://www.suredividend.com/sure-analysis-research-database/","Salarius Pharmaceuticals Inc")</f>
        <v>0</v>
      </c>
      <c r="C2599" t="s">
        <v>3217</v>
      </c>
      <c r="D2599">
        <v>0.3571</v>
      </c>
      <c r="E2599">
        <v>0</v>
      </c>
      <c r="H2599">
        <v>0</v>
      </c>
      <c r="I2599">
        <v>16.675568</v>
      </c>
      <c r="J2599">
        <v>0</v>
      </c>
      <c r="K2599" t="s">
        <v>3219</v>
      </c>
      <c r="L2599">
        <v>1.035997571258453</v>
      </c>
      <c r="M2599">
        <v>1.51</v>
      </c>
      <c r="N2599">
        <v>0.3251</v>
      </c>
    </row>
    <row r="2600" spans="1:14">
      <c r="A2600" s="1" t="s">
        <v>2612</v>
      </c>
      <c r="B2600">
        <f>HYPERLINK("https://www.suredividend.com/sure-analysis-research-database/","SELLAS Life Sciences Group Inc")</f>
        <v>0</v>
      </c>
      <c r="C2600" t="s">
        <v>3217</v>
      </c>
      <c r="D2600">
        <v>3.52</v>
      </c>
      <c r="E2600">
        <v>0</v>
      </c>
      <c r="H2600">
        <v>0</v>
      </c>
      <c r="I2600">
        <v>55.989116</v>
      </c>
      <c r="J2600" t="s">
        <v>3219</v>
      </c>
      <c r="K2600">
        <v>-0</v>
      </c>
      <c r="L2600">
        <v>1.483236945654065</v>
      </c>
      <c r="M2600">
        <v>15.08</v>
      </c>
      <c r="N2600">
        <v>3.22</v>
      </c>
    </row>
    <row r="2601" spans="1:14">
      <c r="A2601" s="1" t="s">
        <v>2613</v>
      </c>
      <c r="B2601">
        <f>HYPERLINK("https://www.suredividend.com/sure-analysis-research-database/","SM Energy Co")</f>
        <v>0</v>
      </c>
      <c r="C2601" t="s">
        <v>3226</v>
      </c>
      <c r="D2601">
        <v>41.35</v>
      </c>
      <c r="E2601">
        <v>0.000483594234711</v>
      </c>
      <c r="H2601">
        <v>0.019996621605303</v>
      </c>
      <c r="I2601">
        <v>5039.003955</v>
      </c>
      <c r="J2601">
        <v>139.0875805238897</v>
      </c>
      <c r="K2601">
        <v>0.06827115604405258</v>
      </c>
      <c r="L2601">
        <v>1.518880039270727</v>
      </c>
      <c r="M2601">
        <v>43.69</v>
      </c>
      <c r="N2601">
        <v>14.79</v>
      </c>
    </row>
    <row r="2602" spans="1:14">
      <c r="A2602" s="1" t="s">
        <v>2614</v>
      </c>
      <c r="B2602">
        <f>HYPERLINK("https://www.suredividend.com/sure-analysis-research-database/","Smartsheet Inc")</f>
        <v>0</v>
      </c>
      <c r="C2602" t="s">
        <v>3222</v>
      </c>
      <c r="D2602">
        <v>52.26</v>
      </c>
      <c r="E2602">
        <v>0</v>
      </c>
      <c r="H2602">
        <v>0</v>
      </c>
      <c r="I2602">
        <v>6722.902516</v>
      </c>
      <c r="J2602" t="s">
        <v>3219</v>
      </c>
      <c r="K2602">
        <v>-0</v>
      </c>
      <c r="L2602">
        <v>1.905789081298308</v>
      </c>
      <c r="M2602">
        <v>85.65000000000001</v>
      </c>
      <c r="N2602">
        <v>41.65</v>
      </c>
    </row>
    <row r="2603" spans="1:14">
      <c r="A2603" s="1" t="s">
        <v>2615</v>
      </c>
      <c r="B2603">
        <f>HYPERLINK("https://www.suredividend.com/sure-analysis-research-database/","Southern Missouri Bancorp, Inc.")</f>
        <v>0</v>
      </c>
      <c r="C2603" t="s">
        <v>3221</v>
      </c>
      <c r="D2603">
        <v>45.72</v>
      </c>
      <c r="E2603">
        <v>0.01653590298624</v>
      </c>
      <c r="F2603">
        <v>0.25</v>
      </c>
      <c r="G2603">
        <v>0.1486983549970351</v>
      </c>
      <c r="H2603">
        <v>0.7560214845309211</v>
      </c>
      <c r="I2603">
        <v>406.707564</v>
      </c>
      <c r="J2603">
        <v>0</v>
      </c>
      <c r="K2603" t="s">
        <v>3219</v>
      </c>
      <c r="L2603">
        <v>0.452117464414849</v>
      </c>
      <c r="M2603">
        <v>61.49</v>
      </c>
      <c r="N2603">
        <v>38.17</v>
      </c>
    </row>
    <row r="2604" spans="1:14">
      <c r="A2604" s="1" t="s">
        <v>2616</v>
      </c>
      <c r="B2604">
        <f>HYPERLINK("https://www.suredividend.com/sure-analysis-research-database/","SmartFinancial Inc")</f>
        <v>0</v>
      </c>
      <c r="C2604" t="s">
        <v>3221</v>
      </c>
      <c r="D2604">
        <v>24.98</v>
      </c>
      <c r="E2604">
        <v>0.009972153601866001</v>
      </c>
      <c r="H2604">
        <v>0.249104396974618</v>
      </c>
      <c r="I2604">
        <v>421.994184</v>
      </c>
      <c r="J2604">
        <v>0</v>
      </c>
      <c r="K2604" t="s">
        <v>3219</v>
      </c>
      <c r="L2604">
        <v>0.6821189490621311</v>
      </c>
      <c r="M2604">
        <v>28.55</v>
      </c>
      <c r="N2604">
        <v>21.54</v>
      </c>
    </row>
    <row r="2605" spans="1:14">
      <c r="A2605" s="1" t="s">
        <v>2617</v>
      </c>
      <c r="B2605">
        <f>HYPERLINK("https://www.suredividend.com/sure-analysis-research-database/","Sharps Compliance Corp.")</f>
        <v>0</v>
      </c>
      <c r="C2605" t="s">
        <v>3220</v>
      </c>
      <c r="D2605">
        <v>4.83</v>
      </c>
      <c r="E2605">
        <v>0</v>
      </c>
      <c r="H2605">
        <v>0</v>
      </c>
      <c r="I2605">
        <v>92.964184</v>
      </c>
      <c r="J2605">
        <v>0</v>
      </c>
      <c r="K2605" t="s">
        <v>3219</v>
      </c>
      <c r="L2605">
        <v>0.9985109069403091</v>
      </c>
      <c r="M2605">
        <v>18.67</v>
      </c>
      <c r="N2605">
        <v>4.72</v>
      </c>
    </row>
    <row r="2606" spans="1:14">
      <c r="A2606" s="1" t="s">
        <v>2618</v>
      </c>
      <c r="B2606">
        <f>HYPERLINK("https://www.suredividend.com/sure-analysis-SMG/","Scotts Miracle-Gro Company")</f>
        <v>0</v>
      </c>
      <c r="C2606" t="s">
        <v>3218</v>
      </c>
      <c r="D2606">
        <v>113.79</v>
      </c>
      <c r="E2606">
        <v>0.0232006327445294</v>
      </c>
      <c r="F2606">
        <v>0.06451612903225823</v>
      </c>
      <c r="G2606">
        <v>0.04484919677280197</v>
      </c>
      <c r="H2606">
        <v>2.587883217242174</v>
      </c>
      <c r="I2606">
        <v>6324.890388</v>
      </c>
      <c r="J2606">
        <v>14.43709287363616</v>
      </c>
      <c r="K2606">
        <v>0.3352180333215252</v>
      </c>
      <c r="L2606">
        <v>1.244513809436995</v>
      </c>
      <c r="M2606">
        <v>244.89</v>
      </c>
      <c r="N2606">
        <v>110.81</v>
      </c>
    </row>
    <row r="2607" spans="1:14">
      <c r="A2607" s="1" t="s">
        <v>2619</v>
      </c>
      <c r="B2607">
        <f>HYPERLINK("https://www.suredividend.com/sure-analysis-research-database/","SEACOR Marine Holdings Inc")</f>
        <v>0</v>
      </c>
      <c r="C2607" t="s">
        <v>3220</v>
      </c>
      <c r="D2607">
        <v>7.54</v>
      </c>
      <c r="E2607">
        <v>0</v>
      </c>
      <c r="H2607">
        <v>0</v>
      </c>
      <c r="I2607">
        <v>195.981467</v>
      </c>
      <c r="J2607">
        <v>0</v>
      </c>
      <c r="K2607" t="s">
        <v>3219</v>
      </c>
      <c r="L2607">
        <v>0.602672551956102</v>
      </c>
      <c r="M2607">
        <v>8.539999999999999</v>
      </c>
      <c r="N2607">
        <v>3.08</v>
      </c>
    </row>
    <row r="2608" spans="1:14">
      <c r="A2608" s="1" t="s">
        <v>2620</v>
      </c>
      <c r="B2608">
        <f>HYPERLINK("https://www.suredividend.com/sure-analysis-research-database/","Schmitt Industries Inc")</f>
        <v>0</v>
      </c>
      <c r="C2608" t="s">
        <v>3222</v>
      </c>
      <c r="D2608">
        <v>4.872</v>
      </c>
      <c r="E2608">
        <v>0</v>
      </c>
      <c r="H2608">
        <v>0</v>
      </c>
      <c r="I2608">
        <v>18.567884</v>
      </c>
      <c r="J2608">
        <v>0</v>
      </c>
      <c r="K2608" t="s">
        <v>3219</v>
      </c>
      <c r="L2608">
        <v>0.143093114802648</v>
      </c>
      <c r="M2608">
        <v>6.76</v>
      </c>
      <c r="N2608">
        <v>3.61</v>
      </c>
    </row>
    <row r="2609" spans="1:14">
      <c r="A2609" s="1" t="s">
        <v>2621</v>
      </c>
      <c r="B2609">
        <f>HYPERLINK("https://www.suredividend.com/sure-analysis-research-database/","Summit Financial Group Inc")</f>
        <v>0</v>
      </c>
      <c r="C2609" t="s">
        <v>3221</v>
      </c>
      <c r="D2609">
        <v>24.51</v>
      </c>
      <c r="E2609">
        <v>0.028666207832997</v>
      </c>
      <c r="F2609">
        <v>0.0588235294117645</v>
      </c>
      <c r="G2609">
        <v>0.1035092145999348</v>
      </c>
      <c r="H2609">
        <v>0.70260875398676</v>
      </c>
      <c r="I2609">
        <v>312.896204</v>
      </c>
      <c r="J2609">
        <v>0</v>
      </c>
      <c r="K2609" t="s">
        <v>3219</v>
      </c>
      <c r="L2609">
        <v>0.75247595882367</v>
      </c>
      <c r="M2609">
        <v>27.8</v>
      </c>
      <c r="N2609">
        <v>20.55</v>
      </c>
    </row>
    <row r="2610" spans="1:14">
      <c r="A2610" s="1" t="s">
        <v>2622</v>
      </c>
      <c r="B2610">
        <f>HYPERLINK("https://www.suredividend.com/sure-analysis-research-database/","Standard Motor Products, Inc.")</f>
        <v>0</v>
      </c>
      <c r="C2610" t="s">
        <v>3223</v>
      </c>
      <c r="D2610">
        <v>42.15</v>
      </c>
      <c r="E2610">
        <v>0.024009501919876</v>
      </c>
      <c r="H2610">
        <v>1.01200050592281</v>
      </c>
      <c r="I2610">
        <v>925.730418</v>
      </c>
      <c r="J2610">
        <v>10.1856217492243</v>
      </c>
      <c r="K2610">
        <v>0.2517414193837836</v>
      </c>
      <c r="L2610">
        <v>0.734424102986138</v>
      </c>
      <c r="M2610">
        <v>54.78</v>
      </c>
      <c r="N2610">
        <v>39.91</v>
      </c>
    </row>
    <row r="2611" spans="1:14">
      <c r="A2611" s="1" t="s">
        <v>2623</v>
      </c>
      <c r="B2611">
        <f>HYPERLINK("https://www.suredividend.com/sure-analysis-research-database/","Simply Good Foods Co")</f>
        <v>0</v>
      </c>
      <c r="C2611" t="s">
        <v>3225</v>
      </c>
      <c r="D2611">
        <v>43.47</v>
      </c>
      <c r="E2611">
        <v>0</v>
      </c>
      <c r="H2611">
        <v>0</v>
      </c>
      <c r="I2611">
        <v>4363.086639</v>
      </c>
      <c r="J2611">
        <v>0</v>
      </c>
      <c r="K2611" t="s">
        <v>3219</v>
      </c>
      <c r="L2611">
        <v>1.052340268519535</v>
      </c>
      <c r="M2611">
        <v>43.85</v>
      </c>
      <c r="N2611">
        <v>31.09</v>
      </c>
    </row>
    <row r="2612" spans="1:14">
      <c r="A2612" s="1" t="s">
        <v>2624</v>
      </c>
      <c r="B2612">
        <f>HYPERLINK("https://www.suredividend.com/sure-analysis-research-database/","SmartRent Inc")</f>
        <v>0</v>
      </c>
      <c r="C2612" t="s">
        <v>3223</v>
      </c>
      <c r="D2612">
        <v>5.08</v>
      </c>
      <c r="E2612">
        <v>0</v>
      </c>
      <c r="H2612">
        <v>0</v>
      </c>
      <c r="I2612">
        <v>985.876763</v>
      </c>
      <c r="J2612">
        <v>0</v>
      </c>
      <c r="K2612" t="s">
        <v>3219</v>
      </c>
      <c r="L2612">
        <v>1.514384330531982</v>
      </c>
      <c r="M2612">
        <v>15.14</v>
      </c>
      <c r="N2612">
        <v>4.51</v>
      </c>
    </row>
    <row r="2613" spans="1:14">
      <c r="A2613" s="1" t="s">
        <v>2625</v>
      </c>
      <c r="B2613">
        <f>HYPERLINK("https://www.suredividend.com/sure-analysis-research-database/","Smith Micro Software, Inc.")</f>
        <v>0</v>
      </c>
      <c r="C2613" t="s">
        <v>3222</v>
      </c>
      <c r="D2613">
        <v>3.64</v>
      </c>
      <c r="E2613">
        <v>0</v>
      </c>
      <c r="H2613">
        <v>0</v>
      </c>
      <c r="I2613">
        <v>197.749574</v>
      </c>
      <c r="J2613" t="s">
        <v>3219</v>
      </c>
      <c r="K2613">
        <v>-0</v>
      </c>
      <c r="L2613">
        <v>1.31823359733783</v>
      </c>
      <c r="M2613">
        <v>6.52</v>
      </c>
      <c r="N2613">
        <v>2.84</v>
      </c>
    </row>
    <row r="2614" spans="1:14">
      <c r="A2614" s="1" t="s">
        <v>2626</v>
      </c>
      <c r="B2614">
        <f>HYPERLINK("https://www.suredividend.com/sure-analysis-research-database/","Semtech Corp.")</f>
        <v>0</v>
      </c>
      <c r="C2614" t="s">
        <v>3222</v>
      </c>
      <c r="D2614">
        <v>61.83</v>
      </c>
      <c r="E2614">
        <v>0</v>
      </c>
      <c r="H2614">
        <v>0</v>
      </c>
      <c r="I2614">
        <v>3963.693456</v>
      </c>
      <c r="J2614">
        <v>31.54199656584225</v>
      </c>
      <c r="K2614">
        <v>0</v>
      </c>
      <c r="L2614">
        <v>1.733579753157972</v>
      </c>
      <c r="M2614">
        <v>94.92</v>
      </c>
      <c r="N2614">
        <v>57.97</v>
      </c>
    </row>
    <row r="2615" spans="1:14">
      <c r="A2615" s="1" t="s">
        <v>2627</v>
      </c>
      <c r="B2615">
        <f>HYPERLINK("https://www.suredividend.com/sure-analysis-SNA/","Snap-on, Inc.")</f>
        <v>0</v>
      </c>
      <c r="C2615" t="s">
        <v>3220</v>
      </c>
      <c r="D2615">
        <v>211.16</v>
      </c>
      <c r="E2615">
        <v>0.02689903390793711</v>
      </c>
      <c r="F2615">
        <v>0.1544715447154472</v>
      </c>
      <c r="G2615">
        <v>0.1486983549970351</v>
      </c>
      <c r="H2615">
        <v>5.27712404851023</v>
      </c>
      <c r="I2615">
        <v>11279.509437</v>
      </c>
      <c r="J2615">
        <v>13.7471169245582</v>
      </c>
      <c r="K2615">
        <v>0.353694641321061</v>
      </c>
      <c r="L2615">
        <v>0.8362327292363601</v>
      </c>
      <c r="M2615">
        <v>255.58</v>
      </c>
      <c r="N2615">
        <v>197.75</v>
      </c>
    </row>
    <row r="2616" spans="1:14">
      <c r="A2616" s="1" t="s">
        <v>2628</v>
      </c>
      <c r="B2616">
        <f>HYPERLINK("https://www.suredividend.com/sure-analysis-research-database/","Snap Inc")</f>
        <v>0</v>
      </c>
      <c r="C2616" t="s">
        <v>3228</v>
      </c>
      <c r="D2616">
        <v>33.19</v>
      </c>
      <c r="E2616">
        <v>0</v>
      </c>
      <c r="H2616">
        <v>0</v>
      </c>
      <c r="I2616">
        <v>49452.658175</v>
      </c>
      <c r="J2616" t="s">
        <v>3219</v>
      </c>
      <c r="K2616">
        <v>-0</v>
      </c>
      <c r="L2616">
        <v>2.530561999286379</v>
      </c>
      <c r="M2616">
        <v>83.34</v>
      </c>
      <c r="N2616">
        <v>24.32</v>
      </c>
    </row>
    <row r="2617" spans="1:14">
      <c r="A2617" s="1" t="s">
        <v>2629</v>
      </c>
      <c r="B2617">
        <f>HYPERLINK("https://www.suredividend.com/sure-analysis-research-database/","Sleep Number Corp")</f>
        <v>0</v>
      </c>
      <c r="C2617" t="s">
        <v>3223</v>
      </c>
      <c r="D2617">
        <v>49.62</v>
      </c>
      <c r="E2617">
        <v>0</v>
      </c>
      <c r="H2617">
        <v>0</v>
      </c>
      <c r="I2617">
        <v>1099.515637</v>
      </c>
      <c r="J2617">
        <v>7.151507270302967</v>
      </c>
      <c r="K2617">
        <v>0</v>
      </c>
      <c r="L2617">
        <v>1.112491012897217</v>
      </c>
      <c r="M2617">
        <v>125.89</v>
      </c>
      <c r="N2617">
        <v>48.6</v>
      </c>
    </row>
    <row r="2618" spans="1:14">
      <c r="A2618" s="1" t="s">
        <v>2630</v>
      </c>
      <c r="B2618">
        <f>HYPERLINK("https://www.suredividend.com/sure-analysis-research-database/","Synchronoss Technologies Inc")</f>
        <v>0</v>
      </c>
      <c r="C2618" t="s">
        <v>3222</v>
      </c>
      <c r="D2618">
        <v>1.53</v>
      </c>
      <c r="E2618">
        <v>0</v>
      </c>
      <c r="H2618">
        <v>0</v>
      </c>
      <c r="I2618">
        <v>135.023355</v>
      </c>
      <c r="J2618" t="s">
        <v>3219</v>
      </c>
      <c r="K2618">
        <v>-0</v>
      </c>
      <c r="L2618">
        <v>1.110535386159579</v>
      </c>
      <c r="M2618">
        <v>3.99</v>
      </c>
      <c r="N2618">
        <v>1.15</v>
      </c>
    </row>
    <row r="2619" spans="1:14">
      <c r="A2619" s="1" t="s">
        <v>2631</v>
      </c>
      <c r="B2619">
        <f>HYPERLINK("https://www.suredividend.com/sure-analysis-research-database/","Smart Sand Inc")</f>
        <v>0</v>
      </c>
      <c r="C2619" t="s">
        <v>3226</v>
      </c>
      <c r="D2619">
        <v>4.59</v>
      </c>
      <c r="E2619">
        <v>0</v>
      </c>
      <c r="H2619">
        <v>0</v>
      </c>
      <c r="I2619">
        <v>205.659503</v>
      </c>
      <c r="J2619">
        <v>0</v>
      </c>
      <c r="K2619" t="s">
        <v>3219</v>
      </c>
      <c r="L2619">
        <v>0.56606133487576</v>
      </c>
      <c r="M2619">
        <v>4.82</v>
      </c>
      <c r="N2619">
        <v>1.73</v>
      </c>
    </row>
    <row r="2620" spans="1:14">
      <c r="A2620" s="1" t="s">
        <v>2632</v>
      </c>
      <c r="B2620">
        <f>HYPERLINK("https://www.suredividend.com/sure-analysis-research-database/","Schneider National Inc")</f>
        <v>0</v>
      </c>
      <c r="C2620" t="s">
        <v>3220</v>
      </c>
      <c r="D2620">
        <v>21.62</v>
      </c>
      <c r="E2620">
        <v>0.013355406902641</v>
      </c>
      <c r="F2620">
        <v>0.1428571428571428</v>
      </c>
      <c r="G2620">
        <v>0.09856054330611763</v>
      </c>
      <c r="H2620">
        <v>0.288743897235116</v>
      </c>
      <c r="I2620">
        <v>2063.904914</v>
      </c>
      <c r="J2620">
        <v>5.091033336063148</v>
      </c>
      <c r="K2620">
        <v>0.1266420601908403</v>
      </c>
      <c r="L2620">
        <v>0.7336892385051561</v>
      </c>
      <c r="M2620">
        <v>27.41</v>
      </c>
      <c r="N2620">
        <v>20.3</v>
      </c>
    </row>
    <row r="2621" spans="1:14">
      <c r="A2621" s="1" t="s">
        <v>2633</v>
      </c>
      <c r="B2621">
        <f>HYPERLINK("https://www.suredividend.com/sure-analysis-research-database/","Syndax Pharmaceuticals Inc")</f>
        <v>0</v>
      </c>
      <c r="C2621" t="s">
        <v>3217</v>
      </c>
      <c r="D2621">
        <v>18.14</v>
      </c>
      <c r="E2621">
        <v>0</v>
      </c>
      <c r="H2621">
        <v>0</v>
      </c>
      <c r="I2621">
        <v>997.976544</v>
      </c>
      <c r="J2621">
        <v>40.03757298804462</v>
      </c>
      <c r="K2621">
        <v>0</v>
      </c>
      <c r="L2621">
        <v>1.077176114810418</v>
      </c>
      <c r="M2621">
        <v>22.71</v>
      </c>
      <c r="N2621">
        <v>13.02</v>
      </c>
    </row>
    <row r="2622" spans="1:14">
      <c r="A2622" s="1" t="s">
        <v>2634</v>
      </c>
      <c r="B2622">
        <f>HYPERLINK("https://www.suredividend.com/sure-analysis-research-database/","Security National Financial Corp.")</f>
        <v>0</v>
      </c>
      <c r="C2622" t="s">
        <v>3221</v>
      </c>
      <c r="D2622">
        <v>10.05</v>
      </c>
      <c r="E2622">
        <v>0</v>
      </c>
      <c r="H2622">
        <v>0</v>
      </c>
      <c r="I2622">
        <v>177.809072</v>
      </c>
      <c r="J2622">
        <v>0</v>
      </c>
      <c r="K2622" t="s">
        <v>3219</v>
      </c>
      <c r="L2622">
        <v>0.5704078474038691</v>
      </c>
      <c r="M2622">
        <v>10.46</v>
      </c>
      <c r="N2622">
        <v>7.71</v>
      </c>
    </row>
    <row r="2623" spans="1:14">
      <c r="A2623" s="1" t="s">
        <v>2635</v>
      </c>
      <c r="B2623">
        <f>HYPERLINK("https://www.suredividend.com/sure-analysis-research-database/","Sonoma Pharmaceuticals Inc.")</f>
        <v>0</v>
      </c>
      <c r="C2623" t="s">
        <v>3217</v>
      </c>
      <c r="D2623">
        <v>3.19</v>
      </c>
      <c r="E2623">
        <v>0</v>
      </c>
      <c r="H2623">
        <v>0</v>
      </c>
      <c r="I2623">
        <v>9.88158</v>
      </c>
      <c r="J2623">
        <v>0</v>
      </c>
      <c r="K2623" t="s">
        <v>3219</v>
      </c>
      <c r="L2623">
        <v>0.718507603810688</v>
      </c>
      <c r="M2623">
        <v>13.36</v>
      </c>
      <c r="N2623">
        <v>2.55</v>
      </c>
    </row>
    <row r="2624" spans="1:14">
      <c r="A2624" s="1" t="s">
        <v>2636</v>
      </c>
      <c r="B2624">
        <f>HYPERLINK("https://www.suredividend.com/sure-analysis-research-database/","Synopsys, Inc.")</f>
        <v>0</v>
      </c>
      <c r="C2624" t="s">
        <v>3222</v>
      </c>
      <c r="D2624">
        <v>294.77</v>
      </c>
      <c r="E2624">
        <v>0</v>
      </c>
      <c r="H2624">
        <v>0</v>
      </c>
      <c r="I2624">
        <v>45128.90881</v>
      </c>
      <c r="J2624">
        <v>49.65452117942517</v>
      </c>
      <c r="K2624">
        <v>0</v>
      </c>
      <c r="L2624">
        <v>1.675577539376443</v>
      </c>
      <c r="M2624">
        <v>377.6</v>
      </c>
      <c r="N2624">
        <v>225.02</v>
      </c>
    </row>
    <row r="2625" spans="1:14">
      <c r="A2625" s="1" t="s">
        <v>2637</v>
      </c>
      <c r="B2625">
        <f>HYPERLINK("https://www.suredividend.com/sure-analysis-research-database/","New Senior Investment Group Inc")</f>
        <v>0</v>
      </c>
      <c r="C2625" t="s">
        <v>3224</v>
      </c>
      <c r="D2625">
        <v>8.82</v>
      </c>
      <c r="E2625">
        <v>0.021896297765001</v>
      </c>
      <c r="H2625">
        <v>0.193125346287316</v>
      </c>
      <c r="I2625">
        <v>741.437265</v>
      </c>
      <c r="J2625" t="s">
        <v>3219</v>
      </c>
      <c r="K2625" t="s">
        <v>3219</v>
      </c>
      <c r="L2625">
        <v>1.252124396730207</v>
      </c>
      <c r="M2625">
        <v>9.44</v>
      </c>
      <c r="N2625">
        <v>3.45</v>
      </c>
    </row>
    <row r="2626" spans="1:14">
      <c r="A2626" s="1" t="s">
        <v>2638</v>
      </c>
      <c r="B2626">
        <f>HYPERLINK("https://www.suredividend.com/sure-analysis-SNV/","Synovus Financial Corp.")</f>
        <v>0</v>
      </c>
      <c r="C2626" t="s">
        <v>3221</v>
      </c>
      <c r="D2626">
        <v>45.5</v>
      </c>
      <c r="E2626">
        <v>0.02901098901098901</v>
      </c>
      <c r="F2626">
        <v>0.03030303030303028</v>
      </c>
      <c r="G2626">
        <v>0.1778162221565904</v>
      </c>
      <c r="H2626">
        <v>1.640977266825946</v>
      </c>
      <c r="I2626">
        <v>6618.820163</v>
      </c>
      <c r="J2626">
        <v>9.100486402522192</v>
      </c>
      <c r="K2626">
        <v>0.3348933197603972</v>
      </c>
      <c r="L2626">
        <v>1.353379778641495</v>
      </c>
      <c r="M2626">
        <v>54.02</v>
      </c>
      <c r="N2626">
        <v>37.88</v>
      </c>
    </row>
    <row r="2627" spans="1:14">
      <c r="A2627" s="1" t="s">
        <v>2639</v>
      </c>
      <c r="B2627">
        <f>HYPERLINK("https://www.suredividend.com/sure-analysis-research-database/","TD Synnex Corp")</f>
        <v>0</v>
      </c>
      <c r="C2627" t="s">
        <v>3222</v>
      </c>
      <c r="D2627">
        <v>100.78</v>
      </c>
      <c r="E2627">
        <v>0.009886715174538001</v>
      </c>
      <c r="H2627">
        <v>0.9963831552900071</v>
      </c>
      <c r="I2627">
        <v>9685.351243999999</v>
      </c>
      <c r="J2627">
        <v>22.03364472078458</v>
      </c>
      <c r="K2627">
        <v>0.1671783817600683</v>
      </c>
      <c r="L2627">
        <v>1.186931907641203</v>
      </c>
      <c r="M2627">
        <v>129.91</v>
      </c>
      <c r="N2627">
        <v>95.8</v>
      </c>
    </row>
    <row r="2628" spans="1:14">
      <c r="A2628" s="1" t="s">
        <v>2640</v>
      </c>
      <c r="B2628">
        <f>HYPERLINK("https://www.suredividend.com/sure-analysis-SO/","Southern Company")</f>
        <v>0</v>
      </c>
      <c r="C2628" t="s">
        <v>3227</v>
      </c>
      <c r="D2628">
        <v>75.98999999999999</v>
      </c>
      <c r="E2628">
        <v>0.03474141334386104</v>
      </c>
      <c r="F2628">
        <v>0.03125</v>
      </c>
      <c r="G2628">
        <v>0.02617915477537269</v>
      </c>
      <c r="H2628">
        <v>2.599661407811592</v>
      </c>
      <c r="I2628">
        <v>80566.618346</v>
      </c>
      <c r="J2628">
        <v>33.66762154038027</v>
      </c>
      <c r="K2628">
        <v>1.160563128487318</v>
      </c>
      <c r="L2628">
        <v>0.199512674190441</v>
      </c>
      <c r="M2628">
        <v>76.87</v>
      </c>
      <c r="N2628">
        <v>58.29</v>
      </c>
    </row>
    <row r="2629" spans="1:14">
      <c r="A2629" s="1" t="s">
        <v>2641</v>
      </c>
      <c r="B2629">
        <f>HYPERLINK("https://www.suredividend.com/sure-analysis-research-database/","Sotherly Hotels Inc")</f>
        <v>0</v>
      </c>
      <c r="C2629" t="s">
        <v>3224</v>
      </c>
      <c r="D2629">
        <v>2.08</v>
      </c>
      <c r="E2629">
        <v>0</v>
      </c>
      <c r="H2629">
        <v>0</v>
      </c>
      <c r="I2629">
        <v>36.673158</v>
      </c>
      <c r="J2629">
        <v>0</v>
      </c>
      <c r="K2629" t="s">
        <v>3219</v>
      </c>
      <c r="L2629">
        <v>0.915923654050481</v>
      </c>
      <c r="M2629">
        <v>4.17</v>
      </c>
      <c r="N2629">
        <v>1.89</v>
      </c>
    </row>
    <row r="2630" spans="1:14">
      <c r="A2630" s="1" t="s">
        <v>2642</v>
      </c>
      <c r="B2630">
        <f>HYPERLINK("https://www.suredividend.com/sure-analysis-research-database/","Solaris Oilfield Infrastructure Inc")</f>
        <v>0</v>
      </c>
      <c r="C2630" t="s">
        <v>3226</v>
      </c>
      <c r="D2630">
        <v>11.39</v>
      </c>
      <c r="E2630">
        <v>0.036158584020304</v>
      </c>
      <c r="H2630">
        <v>0.4118462719912701</v>
      </c>
      <c r="I2630">
        <v>373.322957</v>
      </c>
      <c r="J2630" t="s">
        <v>3219</v>
      </c>
      <c r="K2630" t="s">
        <v>3219</v>
      </c>
      <c r="L2630">
        <v>0.6539259736431441</v>
      </c>
      <c r="M2630">
        <v>12.1</v>
      </c>
      <c r="N2630">
        <v>6.05</v>
      </c>
    </row>
    <row r="2631" spans="1:14">
      <c r="A2631" s="1" t="s">
        <v>2643</v>
      </c>
      <c r="B2631">
        <f>HYPERLINK("https://www.suredividend.com/sure-analysis-research-database/","Soliton Inc")</f>
        <v>0</v>
      </c>
      <c r="C2631" t="s">
        <v>3217</v>
      </c>
      <c r="D2631">
        <v>22.58</v>
      </c>
      <c r="E2631">
        <v>0</v>
      </c>
      <c r="H2631">
        <v>0</v>
      </c>
      <c r="I2631">
        <v>0</v>
      </c>
      <c r="J2631">
        <v>0</v>
      </c>
      <c r="K2631" t="s">
        <v>3219</v>
      </c>
    </row>
    <row r="2632" spans="1:14">
      <c r="A2632" s="1" t="s">
        <v>2644</v>
      </c>
      <c r="B2632">
        <f>HYPERLINK("https://www.suredividend.com/sure-analysis-SON/","Sonoco Products Co.")</f>
        <v>0</v>
      </c>
      <c r="C2632" t="s">
        <v>3223</v>
      </c>
      <c r="D2632">
        <v>63.57</v>
      </c>
      <c r="E2632">
        <v>0.02831524303916942</v>
      </c>
      <c r="F2632">
        <v>0</v>
      </c>
      <c r="G2632">
        <v>0.02903366107118788</v>
      </c>
      <c r="H2632">
        <v>1.790116248241322</v>
      </c>
      <c r="I2632">
        <v>6195.073542</v>
      </c>
      <c r="J2632" t="s">
        <v>3219</v>
      </c>
      <c r="K2632" t="s">
        <v>3219</v>
      </c>
      <c r="L2632">
        <v>0.602059740578</v>
      </c>
      <c r="M2632">
        <v>68.81999999999999</v>
      </c>
      <c r="N2632">
        <v>54.34</v>
      </c>
    </row>
    <row r="2633" spans="1:14">
      <c r="A2633" s="1" t="s">
        <v>2645</v>
      </c>
      <c r="B2633">
        <f>HYPERLINK("https://www.suredividend.com/sure-analysis-research-database/","Sonos Inc")</f>
        <v>0</v>
      </c>
      <c r="C2633" t="s">
        <v>3222</v>
      </c>
      <c r="D2633">
        <v>26.08</v>
      </c>
      <c r="E2633">
        <v>0</v>
      </c>
      <c r="H2633">
        <v>0</v>
      </c>
      <c r="I2633">
        <v>3328.032601</v>
      </c>
      <c r="J2633">
        <v>22.21887919243711</v>
      </c>
      <c r="K2633">
        <v>0</v>
      </c>
      <c r="L2633">
        <v>1.686646655227591</v>
      </c>
      <c r="M2633">
        <v>43.39</v>
      </c>
      <c r="N2633">
        <v>21.46</v>
      </c>
    </row>
    <row r="2634" spans="1:14">
      <c r="A2634" s="1" t="s">
        <v>2646</v>
      </c>
      <c r="B2634">
        <f>HYPERLINK("https://www.suredividend.com/sure-analysis-research-database/","SP Plus Corp")</f>
        <v>0</v>
      </c>
      <c r="C2634" t="s">
        <v>3220</v>
      </c>
      <c r="D2634">
        <v>29.93</v>
      </c>
      <c r="E2634">
        <v>0</v>
      </c>
      <c r="H2634">
        <v>0</v>
      </c>
      <c r="I2634">
        <v>696.222501</v>
      </c>
      <c r="J2634">
        <v>21.96285493438486</v>
      </c>
      <c r="K2634">
        <v>0</v>
      </c>
      <c r="L2634">
        <v>1.027875514767004</v>
      </c>
      <c r="M2634">
        <v>36.3</v>
      </c>
      <c r="N2634">
        <v>25.29</v>
      </c>
    </row>
    <row r="2635" spans="1:14">
      <c r="A2635" s="1" t="s">
        <v>2647</v>
      </c>
      <c r="B2635">
        <f>HYPERLINK("https://www.suredividend.com/sure-analysis-research-database/","Spectrum Brands Holdings Inc.")</f>
        <v>0</v>
      </c>
      <c r="C2635" t="s">
        <v>3225</v>
      </c>
      <c r="D2635">
        <v>89.98</v>
      </c>
      <c r="E2635">
        <v>0.01854691769914</v>
      </c>
      <c r="H2635">
        <v>1.668851654568659</v>
      </c>
      <c r="I2635">
        <v>3668.986239</v>
      </c>
      <c r="J2635">
        <v>29.0958464591594</v>
      </c>
      <c r="K2635">
        <v>0.5657124252775114</v>
      </c>
      <c r="L2635">
        <v>0.9536870184726111</v>
      </c>
      <c r="M2635">
        <v>106.74</v>
      </c>
      <c r="N2635">
        <v>74.63</v>
      </c>
    </row>
    <row r="2636" spans="1:14">
      <c r="A2636" s="1" t="s">
        <v>2648</v>
      </c>
      <c r="B2636">
        <f>HYPERLINK("https://www.suredividend.com/sure-analysis-SPG/","Simon Property Group, Inc.")</f>
        <v>0</v>
      </c>
      <c r="C2636" t="s">
        <v>3224</v>
      </c>
      <c r="D2636">
        <v>127.88</v>
      </c>
      <c r="E2636">
        <v>0.05161088520487957</v>
      </c>
      <c r="F2636">
        <v>0.2692307692307692</v>
      </c>
      <c r="G2636">
        <v>-0.01169912674226836</v>
      </c>
      <c r="H2636">
        <v>6.097605351393174</v>
      </c>
      <c r="I2636">
        <v>41988.411917</v>
      </c>
      <c r="J2636">
        <v>18.69230471047868</v>
      </c>
      <c r="K2636">
        <v>0.8914627706715167</v>
      </c>
      <c r="L2636">
        <v>1.206736138367886</v>
      </c>
      <c r="M2636">
        <v>167.2</v>
      </c>
      <c r="N2636">
        <v>107.64</v>
      </c>
    </row>
    <row r="2637" spans="1:14">
      <c r="A2637" s="1" t="s">
        <v>2649</v>
      </c>
      <c r="B2637">
        <f>HYPERLINK("https://www.suredividend.com/sure-analysis-SPGI/","S&amp;P Global Inc")</f>
        <v>0</v>
      </c>
      <c r="C2637" t="s">
        <v>3221</v>
      </c>
      <c r="D2637">
        <v>387.59</v>
      </c>
      <c r="E2637">
        <v>0.008772156144379371</v>
      </c>
      <c r="F2637">
        <v>0</v>
      </c>
      <c r="G2637">
        <v>0.1343351076353452</v>
      </c>
      <c r="H2637">
        <v>3.071618591814457</v>
      </c>
      <c r="I2637">
        <v>134504.142993</v>
      </c>
      <c r="J2637">
        <v>44.4788832648611</v>
      </c>
      <c r="K2637">
        <v>0.2455330608964394</v>
      </c>
      <c r="L2637">
        <v>0.970123873364488</v>
      </c>
      <c r="M2637">
        <v>483.28</v>
      </c>
      <c r="N2637">
        <v>361.43</v>
      </c>
    </row>
    <row r="2638" spans="1:14">
      <c r="A2638" s="1" t="s">
        <v>2650</v>
      </c>
      <c r="B2638">
        <f>HYPERLINK("https://www.suredividend.com/sure-analysis-research-database/","Splunk Inc")</f>
        <v>0</v>
      </c>
      <c r="C2638" t="s">
        <v>3222</v>
      </c>
      <c r="D2638">
        <v>137.77</v>
      </c>
      <c r="E2638">
        <v>0</v>
      </c>
      <c r="H2638">
        <v>0</v>
      </c>
      <c r="I2638">
        <v>22139.639</v>
      </c>
      <c r="J2638" t="s">
        <v>3219</v>
      </c>
      <c r="K2638">
        <v>-0</v>
      </c>
      <c r="L2638">
        <v>1.263956969016196</v>
      </c>
      <c r="M2638">
        <v>176.66</v>
      </c>
      <c r="N2638">
        <v>105.45</v>
      </c>
    </row>
    <row r="2639" spans="1:14">
      <c r="A2639" s="1" t="s">
        <v>2651</v>
      </c>
      <c r="B2639">
        <f>HYPERLINK("https://www.suredividend.com/sure-analysis-research-database/","SeaSpine Holdings Corp")</f>
        <v>0</v>
      </c>
      <c r="C2639" t="s">
        <v>3217</v>
      </c>
      <c r="D2639">
        <v>10.74</v>
      </c>
      <c r="E2639">
        <v>0</v>
      </c>
      <c r="H2639">
        <v>0</v>
      </c>
      <c r="I2639">
        <v>395.135372</v>
      </c>
      <c r="J2639">
        <v>0</v>
      </c>
      <c r="K2639" t="s">
        <v>3219</v>
      </c>
      <c r="L2639">
        <v>1.192847101008821</v>
      </c>
      <c r="M2639">
        <v>22.78</v>
      </c>
      <c r="N2639">
        <v>10.66</v>
      </c>
    </row>
    <row r="2640" spans="1:14">
      <c r="A2640" s="1" t="s">
        <v>2652</v>
      </c>
      <c r="B2640">
        <f>HYPERLINK("https://www.suredividend.com/sure-analysis-research-database/","Spok Holdings Inc")</f>
        <v>0</v>
      </c>
      <c r="C2640" t="s">
        <v>3228</v>
      </c>
      <c r="D2640">
        <v>8.16</v>
      </c>
      <c r="E2640">
        <v>0.08201144419756901</v>
      </c>
      <c r="F2640">
        <v>1.5</v>
      </c>
      <c r="G2640">
        <v>0.2011244339814313</v>
      </c>
      <c r="H2640">
        <v>0.6692133846521681</v>
      </c>
      <c r="I2640">
        <v>161.098898</v>
      </c>
      <c r="J2640" t="s">
        <v>3219</v>
      </c>
      <c r="K2640" t="s">
        <v>3219</v>
      </c>
      <c r="L2640">
        <v>0.279992646762474</v>
      </c>
      <c r="M2640">
        <v>11.1</v>
      </c>
      <c r="N2640">
        <v>6.82</v>
      </c>
    </row>
    <row r="2641" spans="1:14">
      <c r="A2641" s="1" t="s">
        <v>2653</v>
      </c>
      <c r="B2641">
        <f>HYPERLINK("https://www.suredividend.com/sure-analysis-research-database/","Spectrum Pharmaceuticals, Inc.")</f>
        <v>0</v>
      </c>
      <c r="C2641" t="s">
        <v>3217</v>
      </c>
      <c r="D2641">
        <v>0.9701000000000001</v>
      </c>
      <c r="E2641">
        <v>0</v>
      </c>
      <c r="H2641">
        <v>0</v>
      </c>
      <c r="I2641">
        <v>171.854683</v>
      </c>
      <c r="J2641">
        <v>0</v>
      </c>
      <c r="K2641" t="s">
        <v>3219</v>
      </c>
      <c r="L2641">
        <v>1.575225017683642</v>
      </c>
      <c r="M2641">
        <v>4.54</v>
      </c>
      <c r="N2641">
        <v>0.6000000000000001</v>
      </c>
    </row>
    <row r="2642" spans="1:14">
      <c r="A2642" s="1" t="s">
        <v>2654</v>
      </c>
      <c r="B2642">
        <f>HYPERLINK("https://www.suredividend.com/sure-analysis-research-database/","Spirit Aerosystems Holdings Inc")</f>
        <v>0</v>
      </c>
      <c r="C2642" t="s">
        <v>3220</v>
      </c>
      <c r="D2642">
        <v>46.23</v>
      </c>
      <c r="E2642">
        <v>0.000864939456481</v>
      </c>
      <c r="F2642">
        <v>0</v>
      </c>
      <c r="G2642">
        <v>-0.3690426555198068</v>
      </c>
      <c r="H2642">
        <v>0.03998615107314901</v>
      </c>
      <c r="I2642">
        <v>4851.45382</v>
      </c>
      <c r="J2642" t="s">
        <v>3219</v>
      </c>
      <c r="K2642" t="s">
        <v>3219</v>
      </c>
      <c r="L2642">
        <v>1.593802057100202</v>
      </c>
      <c r="M2642">
        <v>53.3</v>
      </c>
      <c r="N2642">
        <v>35.2</v>
      </c>
    </row>
    <row r="2643" spans="1:14">
      <c r="A2643" s="1" t="s">
        <v>2655</v>
      </c>
      <c r="B2643">
        <f>HYPERLINK("https://www.suredividend.com/sure-analysis-research-database/","Spero Therapeutics Inc")</f>
        <v>0</v>
      </c>
      <c r="C2643" t="s">
        <v>3217</v>
      </c>
      <c r="D2643">
        <v>6.11</v>
      </c>
      <c r="E2643">
        <v>0</v>
      </c>
      <c r="H2643">
        <v>0</v>
      </c>
      <c r="I2643">
        <v>200.136465</v>
      </c>
      <c r="J2643">
        <v>0</v>
      </c>
      <c r="K2643" t="s">
        <v>3219</v>
      </c>
      <c r="L2643">
        <v>1.200465416908759</v>
      </c>
      <c r="M2643">
        <v>19.87</v>
      </c>
      <c r="N2643">
        <v>6.1</v>
      </c>
    </row>
    <row r="2644" spans="1:14">
      <c r="A2644" s="1" t="s">
        <v>2656</v>
      </c>
      <c r="B2644">
        <f>HYPERLINK("https://www.suredividend.com/sure-analysis-research-database/","Support.com Inc")</f>
        <v>0</v>
      </c>
      <c r="C2644" t="s">
        <v>3222</v>
      </c>
      <c r="D2644">
        <v>11.8</v>
      </c>
      <c r="E2644">
        <v>0</v>
      </c>
      <c r="H2644">
        <v>0</v>
      </c>
      <c r="I2644">
        <v>0</v>
      </c>
      <c r="J2644">
        <v>0</v>
      </c>
      <c r="K2644">
        <v>-0</v>
      </c>
    </row>
    <row r="2645" spans="1:14">
      <c r="A2645" s="1" t="s">
        <v>2657</v>
      </c>
      <c r="B2645">
        <f>HYPERLINK("https://www.suredividend.com/sure-analysis-research-database/","SPS Commerce Inc.")</f>
        <v>0</v>
      </c>
      <c r="C2645" t="s">
        <v>3222</v>
      </c>
      <c r="D2645">
        <v>124.63</v>
      </c>
      <c r="E2645">
        <v>0</v>
      </c>
      <c r="H2645">
        <v>0</v>
      </c>
      <c r="I2645">
        <v>4503.487726</v>
      </c>
      <c r="J2645">
        <v>100.9818536320829</v>
      </c>
      <c r="K2645">
        <v>0</v>
      </c>
      <c r="L2645">
        <v>1.407051349456298</v>
      </c>
      <c r="M2645">
        <v>174.42</v>
      </c>
      <c r="N2645">
        <v>91.05</v>
      </c>
    </row>
    <row r="2646" spans="1:14">
      <c r="A2646" s="1" t="s">
        <v>2658</v>
      </c>
      <c r="B2646">
        <f>HYPERLINK("https://www.suredividend.com/sure-analysis-SPTN/","SpartanNash Co")</f>
        <v>0</v>
      </c>
      <c r="C2646" t="s">
        <v>3225</v>
      </c>
      <c r="D2646">
        <v>34.66</v>
      </c>
      <c r="E2646">
        <v>0.02423542989036353</v>
      </c>
      <c r="F2646">
        <v>0.04999999999999982</v>
      </c>
      <c r="G2646">
        <v>0.04941452284458392</v>
      </c>
      <c r="H2646">
        <v>0.800676680182959</v>
      </c>
      <c r="I2646">
        <v>1245.045567</v>
      </c>
      <c r="J2646">
        <v>17.20817071318001</v>
      </c>
      <c r="K2646">
        <v>0.3905739903331508</v>
      </c>
      <c r="L2646">
        <v>0.5155817380081</v>
      </c>
      <c r="M2646">
        <v>35.66</v>
      </c>
      <c r="N2646">
        <v>17.64</v>
      </c>
    </row>
    <row r="2647" spans="1:14">
      <c r="A2647" s="1" t="s">
        <v>2659</v>
      </c>
      <c r="B2647">
        <f>HYPERLINK("https://www.suredividend.com/sure-analysis-research-database/","Sportsman`s Warehouse Holdings Inc")</f>
        <v>0</v>
      </c>
      <c r="C2647" t="s">
        <v>3223</v>
      </c>
      <c r="D2647">
        <v>10.69</v>
      </c>
      <c r="E2647">
        <v>0</v>
      </c>
      <c r="H2647">
        <v>0</v>
      </c>
      <c r="I2647">
        <v>469.077029</v>
      </c>
      <c r="J2647">
        <v>0</v>
      </c>
      <c r="K2647" t="s">
        <v>3219</v>
      </c>
      <c r="L2647">
        <v>0.871906588568062</v>
      </c>
      <c r="M2647">
        <v>18.05</v>
      </c>
      <c r="N2647">
        <v>9.73</v>
      </c>
    </row>
    <row r="2648" spans="1:14">
      <c r="A2648" s="1" t="s">
        <v>2660</v>
      </c>
      <c r="B2648">
        <f>HYPERLINK("https://www.suredividend.com/sure-analysis-research-database/","Sunpower Corp")</f>
        <v>0</v>
      </c>
      <c r="C2648" t="s">
        <v>3222</v>
      </c>
      <c r="D2648">
        <v>20.4</v>
      </c>
      <c r="E2648">
        <v>0</v>
      </c>
      <c r="H2648">
        <v>0</v>
      </c>
      <c r="I2648">
        <v>3546.450689</v>
      </c>
      <c r="J2648" t="s">
        <v>3219</v>
      </c>
      <c r="K2648">
        <v>-0</v>
      </c>
      <c r="L2648">
        <v>1.800944189925533</v>
      </c>
      <c r="M2648">
        <v>34.61</v>
      </c>
      <c r="N2648">
        <v>14</v>
      </c>
    </row>
    <row r="2649" spans="1:14">
      <c r="A2649" s="1" t="s">
        <v>2661</v>
      </c>
      <c r="B2649">
        <f>HYPERLINK("https://www.suredividend.com/sure-analysis-research-database/","SPX Corp.")</f>
        <v>0</v>
      </c>
      <c r="C2649" t="s">
        <v>3220</v>
      </c>
      <c r="D2649">
        <v>44.73</v>
      </c>
      <c r="E2649">
        <v>0</v>
      </c>
      <c r="H2649">
        <v>0</v>
      </c>
      <c r="I2649">
        <v>2047.959293</v>
      </c>
      <c r="J2649">
        <v>4.814196738787024</v>
      </c>
      <c r="K2649">
        <v>0</v>
      </c>
      <c r="L2649">
        <v>1.182205693686903</v>
      </c>
      <c r="M2649">
        <v>68.23999999999999</v>
      </c>
      <c r="N2649">
        <v>44.66</v>
      </c>
    </row>
    <row r="2650" spans="1:14">
      <c r="A2650" s="1" t="s">
        <v>2662</v>
      </c>
      <c r="B2650">
        <f>HYPERLINK("https://www.suredividend.com/sure-analysis-research-database/","Block Inc")</f>
        <v>0</v>
      </c>
      <c r="C2650" t="s">
        <v>3222</v>
      </c>
      <c r="D2650">
        <v>121.31</v>
      </c>
      <c r="E2650">
        <v>0</v>
      </c>
      <c r="H2650">
        <v>0</v>
      </c>
      <c r="I2650">
        <v>51556.75</v>
      </c>
      <c r="J2650">
        <v>310.0523802650886</v>
      </c>
      <c r="K2650">
        <v>0</v>
      </c>
      <c r="L2650">
        <v>2.725520900578126</v>
      </c>
      <c r="M2650">
        <v>289.23</v>
      </c>
      <c r="N2650">
        <v>82.72</v>
      </c>
    </row>
    <row r="2651" spans="1:14">
      <c r="A2651" s="1" t="s">
        <v>2663</v>
      </c>
      <c r="B2651">
        <f>HYPERLINK("https://www.suredividend.com/sure-analysis-research-database/","Sequential Brands Group Inc.")</f>
        <v>0</v>
      </c>
      <c r="C2651" t="s">
        <v>3223</v>
      </c>
      <c r="D2651">
        <v>6.24</v>
      </c>
      <c r="E2651">
        <v>0</v>
      </c>
      <c r="H2651">
        <v>0</v>
      </c>
      <c r="I2651">
        <v>0</v>
      </c>
      <c r="J2651">
        <v>0</v>
      </c>
      <c r="K2651" t="s">
        <v>3219</v>
      </c>
    </row>
    <row r="2652" spans="1:14">
      <c r="A2652" s="1" t="s">
        <v>2664</v>
      </c>
      <c r="B2652">
        <f>HYPERLINK("https://www.suredividend.com/sure-analysis-SR/","Spire Inc.")</f>
        <v>0</v>
      </c>
      <c r="C2652" t="s">
        <v>3227</v>
      </c>
      <c r="D2652">
        <v>75.48999999999999</v>
      </c>
      <c r="E2652">
        <v>0.03629619817194331</v>
      </c>
      <c r="F2652">
        <v>0.05384615384615388</v>
      </c>
      <c r="G2652">
        <v>0.0546448921346292</v>
      </c>
      <c r="H2652">
        <v>2.630008987079718</v>
      </c>
      <c r="I2652">
        <v>3906.623881</v>
      </c>
      <c r="J2652">
        <v>17.49495692489924</v>
      </c>
      <c r="K2652">
        <v>0.6087983766388236</v>
      </c>
      <c r="L2652">
        <v>0.235776115533914</v>
      </c>
      <c r="M2652">
        <v>76.55</v>
      </c>
      <c r="N2652">
        <v>58.37</v>
      </c>
    </row>
    <row r="2653" spans="1:14">
      <c r="A2653" s="1" t="s">
        <v>2665</v>
      </c>
      <c r="B2653">
        <f>HYPERLINK("https://www.suredividend.com/sure-analysis-SRC/","Spirit Realty Capital Inc")</f>
        <v>0</v>
      </c>
      <c r="C2653" t="s">
        <v>3224</v>
      </c>
      <c r="D2653">
        <v>46.01</v>
      </c>
      <c r="E2653">
        <v>0.05542273418821995</v>
      </c>
      <c r="F2653">
        <v>0.02079999999999993</v>
      </c>
      <c r="G2653">
        <v>0.287981528678126</v>
      </c>
      <c r="H2653">
        <v>2.488907170424981</v>
      </c>
      <c r="I2653">
        <v>5877.646924</v>
      </c>
      <c r="J2653">
        <v>36.55912399387949</v>
      </c>
      <c r="K2653">
        <v>1.843634941055541</v>
      </c>
      <c r="L2653">
        <v>0.8425587266437441</v>
      </c>
      <c r="M2653">
        <v>50.22</v>
      </c>
      <c r="N2653">
        <v>41.82</v>
      </c>
    </row>
    <row r="2654" spans="1:14">
      <c r="A2654" s="1" t="s">
        <v>2666</v>
      </c>
      <c r="B2654">
        <f>HYPERLINK("https://www.suredividend.com/sure-analysis-SRCE/","1st Source Corp.")</f>
        <v>0</v>
      </c>
      <c r="C2654" t="s">
        <v>3221</v>
      </c>
      <c r="D2654">
        <v>44.24</v>
      </c>
      <c r="E2654">
        <v>0.02802893309222423</v>
      </c>
      <c r="F2654">
        <v>0.06896551724137945</v>
      </c>
      <c r="G2654">
        <v>0.10286313147853</v>
      </c>
      <c r="H2654">
        <v>1.218363620558422</v>
      </c>
      <c r="I2654">
        <v>1094.948981</v>
      </c>
      <c r="J2654">
        <v>9.31031563627706</v>
      </c>
      <c r="K2654">
        <v>0.2592263022464728</v>
      </c>
      <c r="L2654">
        <v>0.746456070412398</v>
      </c>
      <c r="M2654">
        <v>52.37</v>
      </c>
      <c r="N2654">
        <v>40.39</v>
      </c>
    </row>
    <row r="2655" spans="1:14">
      <c r="A2655" s="1" t="s">
        <v>2667</v>
      </c>
      <c r="B2655">
        <f>HYPERLINK("https://www.suredividend.com/sure-analysis-research-database/","Stericycle Inc.")</f>
        <v>0</v>
      </c>
      <c r="C2655" t="s">
        <v>3220</v>
      </c>
      <c r="D2655">
        <v>55.38</v>
      </c>
      <c r="E2655">
        <v>0</v>
      </c>
      <c r="H2655">
        <v>0</v>
      </c>
      <c r="I2655">
        <v>5099.767981</v>
      </c>
      <c r="J2655" t="s">
        <v>3219</v>
      </c>
      <c r="K2655">
        <v>-0</v>
      </c>
      <c r="L2655">
        <v>0.73233262967732</v>
      </c>
      <c r="M2655">
        <v>79.97</v>
      </c>
      <c r="N2655">
        <v>53.25</v>
      </c>
    </row>
    <row r="2656" spans="1:14">
      <c r="A2656" s="1" t="s">
        <v>2668</v>
      </c>
      <c r="B2656">
        <f>HYPERLINK("https://www.suredividend.com/sure-analysis-research-database/","Surmodics, Inc.")</f>
        <v>0</v>
      </c>
      <c r="C2656" t="s">
        <v>3217</v>
      </c>
      <c r="D2656">
        <v>42.45</v>
      </c>
      <c r="E2656">
        <v>0</v>
      </c>
      <c r="H2656">
        <v>0</v>
      </c>
      <c r="I2656">
        <v>593.2812</v>
      </c>
      <c r="J2656">
        <v>349.194349617422</v>
      </c>
      <c r="K2656">
        <v>0</v>
      </c>
      <c r="L2656">
        <v>1.173047529944303</v>
      </c>
      <c r="M2656">
        <v>62.27</v>
      </c>
      <c r="N2656">
        <v>36.24</v>
      </c>
    </row>
    <row r="2657" spans="1:14">
      <c r="A2657" s="1" t="s">
        <v>2669</v>
      </c>
      <c r="B2657">
        <f>HYPERLINK("https://www.suredividend.com/sure-analysis-SRE/","Sempra Energy")</f>
        <v>0</v>
      </c>
      <c r="C2657" t="s">
        <v>3227</v>
      </c>
      <c r="D2657">
        <v>171.25</v>
      </c>
      <c r="E2657">
        <v>0.02674452554744526</v>
      </c>
      <c r="F2657">
        <v>0.04090909090909078</v>
      </c>
      <c r="G2657">
        <v>0.06840009019015847</v>
      </c>
      <c r="H2657">
        <v>5.476251587096896</v>
      </c>
      <c r="I2657">
        <v>54075.958596</v>
      </c>
      <c r="J2657">
        <v>43.12277400019936</v>
      </c>
      <c r="K2657">
        <v>1.365648774837131</v>
      </c>
      <c r="L2657">
        <v>0.3871482659150891</v>
      </c>
      <c r="M2657">
        <v>172.38</v>
      </c>
      <c r="N2657">
        <v>117.69</v>
      </c>
    </row>
    <row r="2658" spans="1:14">
      <c r="A2658" s="1" t="s">
        <v>2670</v>
      </c>
      <c r="B2658">
        <f>HYPERLINK("https://www.suredividend.com/sure-analysis-research-database/","ServiceSource International Inc")</f>
        <v>0</v>
      </c>
      <c r="C2658" t="s">
        <v>3222</v>
      </c>
      <c r="D2658">
        <v>1.13</v>
      </c>
      <c r="E2658">
        <v>0</v>
      </c>
      <c r="H2658">
        <v>0</v>
      </c>
      <c r="I2658">
        <v>112.930401</v>
      </c>
      <c r="J2658" t="s">
        <v>3219</v>
      </c>
      <c r="K2658">
        <v>-0</v>
      </c>
      <c r="L2658">
        <v>0.665722436332683</v>
      </c>
      <c r="M2658">
        <v>1.63</v>
      </c>
      <c r="N2658">
        <v>0.9302</v>
      </c>
    </row>
    <row r="2659" spans="1:14">
      <c r="A2659" s="1" t="s">
        <v>2671</v>
      </c>
      <c r="B2659">
        <f>HYPERLINK("https://www.suredividend.com/sure-analysis-research-database/","Seritage Growth Properties")</f>
        <v>0</v>
      </c>
      <c r="C2659" t="s">
        <v>3224</v>
      </c>
      <c r="D2659">
        <v>11.94</v>
      </c>
      <c r="E2659">
        <v>0</v>
      </c>
      <c r="H2659">
        <v>0</v>
      </c>
      <c r="I2659">
        <v>520.970426</v>
      </c>
      <c r="J2659" t="s">
        <v>3219</v>
      </c>
      <c r="K2659">
        <v>-0</v>
      </c>
      <c r="L2659">
        <v>1.660325265972966</v>
      </c>
      <c r="M2659">
        <v>20.09</v>
      </c>
      <c r="N2659">
        <v>8.119999999999999</v>
      </c>
    </row>
    <row r="2660" spans="1:14">
      <c r="A2660" s="1" t="s">
        <v>2672</v>
      </c>
      <c r="B2660">
        <f>HYPERLINK("https://www.suredividend.com/sure-analysis-research-database/","Stoneridge Inc.")</f>
        <v>0</v>
      </c>
      <c r="C2660" t="s">
        <v>3223</v>
      </c>
      <c r="D2660">
        <v>19.55</v>
      </c>
      <c r="E2660">
        <v>0</v>
      </c>
      <c r="H2660">
        <v>0</v>
      </c>
      <c r="I2660">
        <v>534.011319</v>
      </c>
      <c r="J2660">
        <v>156.785472504404</v>
      </c>
      <c r="K2660">
        <v>0</v>
      </c>
      <c r="L2660">
        <v>0.80507307237702</v>
      </c>
      <c r="M2660">
        <v>35.27</v>
      </c>
      <c r="N2660">
        <v>13.64</v>
      </c>
    </row>
    <row r="2661" spans="1:14">
      <c r="A2661" s="1" t="s">
        <v>2673</v>
      </c>
      <c r="B2661">
        <f>HYPERLINK("https://www.suredividend.com/sure-analysis-research-database/","Sorrento Therapeutics Inc")</f>
        <v>0</v>
      </c>
      <c r="C2661" t="s">
        <v>3217</v>
      </c>
      <c r="D2661">
        <v>1.89</v>
      </c>
      <c r="E2661">
        <v>0</v>
      </c>
      <c r="H2661">
        <v>0</v>
      </c>
      <c r="I2661">
        <v>647.013343</v>
      </c>
      <c r="J2661">
        <v>0</v>
      </c>
      <c r="K2661" t="s">
        <v>3219</v>
      </c>
      <c r="L2661">
        <v>1.918999238901265</v>
      </c>
      <c r="M2661">
        <v>11.07</v>
      </c>
      <c r="N2661">
        <v>1.89</v>
      </c>
    </row>
    <row r="2662" spans="1:14">
      <c r="A2662" s="1" t="s">
        <v>2674</v>
      </c>
      <c r="B2662">
        <f>HYPERLINK("https://www.suredividend.com/sure-analysis-research-database/","Sarepta Therapeutics Inc")</f>
        <v>0</v>
      </c>
      <c r="C2662" t="s">
        <v>3217</v>
      </c>
      <c r="D2662">
        <v>81.45</v>
      </c>
      <c r="E2662">
        <v>0</v>
      </c>
      <c r="H2662">
        <v>0</v>
      </c>
      <c r="I2662">
        <v>7098.334024</v>
      </c>
      <c r="J2662" t="s">
        <v>3219</v>
      </c>
      <c r="K2662">
        <v>-0</v>
      </c>
      <c r="L2662">
        <v>0.9210782074905141</v>
      </c>
      <c r="M2662">
        <v>101.24</v>
      </c>
      <c r="N2662">
        <v>61.31</v>
      </c>
    </row>
    <row r="2663" spans="1:14">
      <c r="A2663" s="1" t="s">
        <v>2675</v>
      </c>
      <c r="B2663">
        <f>HYPERLINK("https://www.suredividend.com/sure-analysis-research-database/","Scholar Rock Holding Corp")</f>
        <v>0</v>
      </c>
      <c r="C2663" t="s">
        <v>3217</v>
      </c>
      <c r="D2663">
        <v>9.9</v>
      </c>
      <c r="E2663">
        <v>0</v>
      </c>
      <c r="H2663">
        <v>0</v>
      </c>
      <c r="I2663">
        <v>349.478148</v>
      </c>
      <c r="J2663">
        <v>0</v>
      </c>
      <c r="K2663" t="s">
        <v>3219</v>
      </c>
      <c r="L2663">
        <v>1.051985795250414</v>
      </c>
      <c r="M2663">
        <v>44.95</v>
      </c>
      <c r="N2663">
        <v>9.5</v>
      </c>
    </row>
    <row r="2664" spans="1:14">
      <c r="A2664" s="1" t="s">
        <v>2676</v>
      </c>
      <c r="B2664">
        <f>HYPERLINK("https://www.suredividend.com/sure-analysis-research-database/","Startek, Inc.")</f>
        <v>0</v>
      </c>
      <c r="C2664" t="s">
        <v>3220</v>
      </c>
      <c r="D2664">
        <v>4.4</v>
      </c>
      <c r="E2664">
        <v>0</v>
      </c>
      <c r="H2664">
        <v>0</v>
      </c>
      <c r="I2664">
        <v>177.203127</v>
      </c>
      <c r="J2664">
        <v>118.1354181333333</v>
      </c>
      <c r="K2664">
        <v>0</v>
      </c>
      <c r="L2664">
        <v>1.228190603027433</v>
      </c>
      <c r="M2664">
        <v>8.52</v>
      </c>
      <c r="N2664">
        <v>3.74</v>
      </c>
    </row>
    <row r="2665" spans="1:14">
      <c r="A2665" s="1" t="s">
        <v>2677</v>
      </c>
      <c r="B2665">
        <f>HYPERLINK("https://www.suredividend.com/sure-analysis-research-database/","Sensus Healthcare Inc")</f>
        <v>0</v>
      </c>
      <c r="C2665" t="s">
        <v>3217</v>
      </c>
      <c r="D2665">
        <v>8.789999999999999</v>
      </c>
      <c r="E2665">
        <v>0</v>
      </c>
      <c r="H2665">
        <v>0</v>
      </c>
      <c r="I2665">
        <v>146.415452</v>
      </c>
      <c r="J2665">
        <v>0</v>
      </c>
      <c r="K2665" t="s">
        <v>3219</v>
      </c>
      <c r="L2665">
        <v>0.9476188743253581</v>
      </c>
      <c r="M2665">
        <v>11.96</v>
      </c>
      <c r="N2665">
        <v>3.08</v>
      </c>
    </row>
    <row r="2666" spans="1:14">
      <c r="A2666" s="1" t="s">
        <v>2678</v>
      </c>
      <c r="B2666">
        <f>HYPERLINK("https://www.suredividend.com/sure-analysis-research-database/","SouthState Corporation")</f>
        <v>0</v>
      </c>
      <c r="C2666" t="s">
        <v>3221</v>
      </c>
      <c r="D2666">
        <v>77.77</v>
      </c>
      <c r="E2666">
        <v>0.02472836054447</v>
      </c>
      <c r="F2666">
        <v>0.04255319148936154</v>
      </c>
      <c r="G2666">
        <v>0.08227201317683464</v>
      </c>
      <c r="H2666">
        <v>1.923124599543491</v>
      </c>
      <c r="I2666">
        <v>5345.182728</v>
      </c>
      <c r="J2666">
        <v>11.24016698441571</v>
      </c>
      <c r="K2666">
        <v>0.2866057525400135</v>
      </c>
      <c r="L2666">
        <v>1.025381969345943</v>
      </c>
      <c r="M2666">
        <v>92.81999999999999</v>
      </c>
      <c r="N2666">
        <v>61.88</v>
      </c>
    </row>
    <row r="2667" spans="1:14">
      <c r="A2667" s="1" t="s">
        <v>2679</v>
      </c>
      <c r="B2667">
        <f>HYPERLINK("https://www.suredividend.com/sure-analysis-research-database/","Summit St. Bank")</f>
        <v>0</v>
      </c>
      <c r="C2667" t="s">
        <v>3221</v>
      </c>
      <c r="D2667">
        <v>15.95</v>
      </c>
      <c r="E2667">
        <v>0.02842626315091</v>
      </c>
      <c r="F2667">
        <v>0</v>
      </c>
      <c r="G2667">
        <v>0</v>
      </c>
      <c r="H2667">
        <v>0.453398897257025</v>
      </c>
      <c r="I2667">
        <v>76.81328600000001</v>
      </c>
      <c r="J2667">
        <v>0</v>
      </c>
      <c r="K2667" t="s">
        <v>3219</v>
      </c>
      <c r="M2667">
        <v>19.71</v>
      </c>
      <c r="N2667">
        <v>11.57</v>
      </c>
    </row>
    <row r="2668" spans="1:14">
      <c r="A2668" s="1" t="s">
        <v>2680</v>
      </c>
      <c r="B2668">
        <f>HYPERLINK("https://www.suredividend.com/sure-analysis-research-database/","Simpson Manufacturing Co., Inc.")</f>
        <v>0</v>
      </c>
      <c r="C2668" t="s">
        <v>3220</v>
      </c>
      <c r="D2668">
        <v>105.26</v>
      </c>
      <c r="E2668">
        <v>0.009469564208019001</v>
      </c>
      <c r="F2668">
        <v>0.08695652173913038</v>
      </c>
      <c r="G2668">
        <v>0.03548578845590522</v>
      </c>
      <c r="H2668">
        <v>0.99676632853608</v>
      </c>
      <c r="I2668">
        <v>4563.513301</v>
      </c>
      <c r="J2668">
        <v>17.12728347859049</v>
      </c>
      <c r="K2668">
        <v>0.1628703151202745</v>
      </c>
      <c r="L2668">
        <v>1.070868414759786</v>
      </c>
      <c r="M2668">
        <v>140.67</v>
      </c>
      <c r="N2668">
        <v>102.41</v>
      </c>
    </row>
    <row r="2669" spans="1:14">
      <c r="A2669" s="1" t="s">
        <v>2681</v>
      </c>
      <c r="B2669">
        <f>HYPERLINK("https://www.suredividend.com/sure-analysis-research-database/","STRATA Skin Sciences Inc")</f>
        <v>0</v>
      </c>
      <c r="C2669" t="s">
        <v>3217</v>
      </c>
      <c r="D2669">
        <v>1.435</v>
      </c>
      <c r="E2669">
        <v>0</v>
      </c>
      <c r="H2669">
        <v>0</v>
      </c>
      <c r="I2669">
        <v>49.827571</v>
      </c>
      <c r="J2669" t="s">
        <v>3219</v>
      </c>
      <c r="K2669">
        <v>-0</v>
      </c>
      <c r="L2669">
        <v>0.392486055358467</v>
      </c>
      <c r="M2669">
        <v>1.95</v>
      </c>
      <c r="N2669">
        <v>1.1</v>
      </c>
    </row>
    <row r="2670" spans="1:14">
      <c r="A2670" s="1" t="s">
        <v>2682</v>
      </c>
      <c r="B2670">
        <f>HYPERLINK("https://www.suredividend.com/sure-analysis-research-database/","SS&amp;C Technologies Holdings Inc")</f>
        <v>0</v>
      </c>
      <c r="C2670" t="s">
        <v>3222</v>
      </c>
      <c r="D2670">
        <v>71.08</v>
      </c>
      <c r="E2670">
        <v>0.010093913880663</v>
      </c>
      <c r="F2670">
        <v>0.25</v>
      </c>
      <c r="G2670">
        <v>0.2619146889603865</v>
      </c>
      <c r="H2670">
        <v>0.717475398637566</v>
      </c>
      <c r="I2670">
        <v>18123.903979</v>
      </c>
      <c r="J2670">
        <v>22.65487997405</v>
      </c>
      <c r="K2670">
        <v>0.2399583273035338</v>
      </c>
      <c r="L2670">
        <v>0.9386183726871971</v>
      </c>
      <c r="M2670">
        <v>84.63</v>
      </c>
      <c r="N2670">
        <v>67.8</v>
      </c>
    </row>
    <row r="2671" spans="1:14">
      <c r="A2671" s="1" t="s">
        <v>2683</v>
      </c>
      <c r="B2671">
        <f>HYPERLINK("https://www.suredividend.com/sure-analysis-research-database/","E.W. Scripps Co.")</f>
        <v>0</v>
      </c>
      <c r="C2671" t="s">
        <v>3228</v>
      </c>
      <c r="D2671">
        <v>18.04</v>
      </c>
      <c r="E2671">
        <v>0</v>
      </c>
      <c r="H2671">
        <v>0</v>
      </c>
      <c r="I2671">
        <v>1275.861808</v>
      </c>
      <c r="J2671">
        <v>17.39653405890374</v>
      </c>
      <c r="K2671">
        <v>0</v>
      </c>
      <c r="L2671">
        <v>0.9804429702406351</v>
      </c>
      <c r="M2671">
        <v>23.61</v>
      </c>
      <c r="N2671">
        <v>16</v>
      </c>
    </row>
    <row r="2672" spans="1:14">
      <c r="A2672" s="1" t="s">
        <v>2684</v>
      </c>
      <c r="B2672">
        <f>HYPERLINK("https://www.suredividend.com/sure-analysis-research-database/","ShotSpotter Inc")</f>
        <v>0</v>
      </c>
      <c r="C2672" t="s">
        <v>3222</v>
      </c>
      <c r="D2672">
        <v>30.05</v>
      </c>
      <c r="E2672">
        <v>0</v>
      </c>
      <c r="H2672">
        <v>0</v>
      </c>
      <c r="I2672">
        <v>364.856042</v>
      </c>
      <c r="J2672" t="s">
        <v>3219</v>
      </c>
      <c r="K2672">
        <v>-0</v>
      </c>
      <c r="L2672">
        <v>0.559885516637729</v>
      </c>
      <c r="M2672">
        <v>51.5</v>
      </c>
      <c r="N2672">
        <v>22.63</v>
      </c>
    </row>
    <row r="2673" spans="1:14">
      <c r="A2673" s="1" t="s">
        <v>2685</v>
      </c>
      <c r="B2673">
        <f>HYPERLINK("https://www.suredividend.com/sure-analysis-research-database/","Shutterstock Inc")</f>
        <v>0</v>
      </c>
      <c r="C2673" t="s">
        <v>3228</v>
      </c>
      <c r="D2673">
        <v>81.5</v>
      </c>
      <c r="E2673">
        <v>0.010639801593921</v>
      </c>
      <c r="H2673">
        <v>0.867143829904607</v>
      </c>
      <c r="I2673">
        <v>2978.762571</v>
      </c>
      <c r="J2673">
        <v>32.4190826485857</v>
      </c>
      <c r="K2673">
        <v>0.3524974918311411</v>
      </c>
      <c r="L2673">
        <v>1.339862499142475</v>
      </c>
      <c r="M2673">
        <v>127.78</v>
      </c>
      <c r="N2673">
        <v>76.72</v>
      </c>
    </row>
    <row r="2674" spans="1:14">
      <c r="A2674" s="1" t="s">
        <v>2686</v>
      </c>
      <c r="B2674">
        <f>HYPERLINK("https://www.suredividend.com/sure-analysis-research-database/","Sensata Technologies Holding Plc")</f>
        <v>0</v>
      </c>
      <c r="C2674" t="s">
        <v>3222</v>
      </c>
      <c r="D2674">
        <v>47.39</v>
      </c>
      <c r="E2674">
        <v>0</v>
      </c>
      <c r="H2674">
        <v>0</v>
      </c>
      <c r="I2674">
        <v>7440.551541</v>
      </c>
      <c r="J2674">
        <v>20.46468876492106</v>
      </c>
      <c r="K2674">
        <v>0</v>
      </c>
      <c r="L2674">
        <v>1.211296959879604</v>
      </c>
      <c r="M2674">
        <v>65.58</v>
      </c>
      <c r="N2674">
        <v>47.18</v>
      </c>
    </row>
    <row r="2675" spans="1:14">
      <c r="A2675" s="1" t="s">
        <v>2687</v>
      </c>
      <c r="B2675">
        <f>HYPERLINK("https://www.suredividend.com/sure-analysis-research-database/","Staar Surgical Co.")</f>
        <v>0</v>
      </c>
      <c r="C2675" t="s">
        <v>3217</v>
      </c>
      <c r="D2675">
        <v>61.89</v>
      </c>
      <c r="E2675">
        <v>0</v>
      </c>
      <c r="H2675">
        <v>0</v>
      </c>
      <c r="I2675">
        <v>2955.536093</v>
      </c>
      <c r="J2675">
        <v>120.6292026068324</v>
      </c>
      <c r="K2675">
        <v>0</v>
      </c>
      <c r="L2675">
        <v>2.165775733852304</v>
      </c>
      <c r="M2675">
        <v>163.08</v>
      </c>
      <c r="N2675">
        <v>55.36</v>
      </c>
    </row>
    <row r="2676" spans="1:14">
      <c r="A2676" s="1" t="s">
        <v>2688</v>
      </c>
      <c r="B2676">
        <f>HYPERLINK("https://www.suredividend.com/sure-analysis-STAG/","STAG Industrial Inc")</f>
        <v>0</v>
      </c>
      <c r="C2676" t="s">
        <v>3224</v>
      </c>
      <c r="D2676">
        <v>39.91</v>
      </c>
      <c r="E2676">
        <v>0.03658231019794538</v>
      </c>
      <c r="F2676">
        <v>0.006902088005759976</v>
      </c>
      <c r="G2676">
        <v>0.002763022500889223</v>
      </c>
      <c r="H2676">
        <v>1.429488385131435</v>
      </c>
      <c r="I2676">
        <v>7104.557338</v>
      </c>
      <c r="J2676">
        <v>37.75505427426597</v>
      </c>
      <c r="K2676">
        <v>1.243033378375161</v>
      </c>
      <c r="L2676">
        <v>0.6696049142831441</v>
      </c>
      <c r="M2676">
        <v>47.83</v>
      </c>
      <c r="N2676">
        <v>33.32</v>
      </c>
    </row>
    <row r="2677" spans="1:14">
      <c r="A2677" s="1" t="s">
        <v>2689</v>
      </c>
      <c r="B2677">
        <f>HYPERLINK("https://www.suredividend.com/sure-analysis-research-database/","iStar Inc")</f>
        <v>0</v>
      </c>
      <c r="C2677" t="s">
        <v>3224</v>
      </c>
      <c r="D2677">
        <v>19.93</v>
      </c>
      <c r="E2677">
        <v>0.024897559555385</v>
      </c>
      <c r="H2677">
        <v>0.4962083619388351</v>
      </c>
      <c r="I2677">
        <v>1376.795192</v>
      </c>
      <c r="J2677">
        <v>12.63288701977336</v>
      </c>
      <c r="K2677">
        <v>0.326452869696602</v>
      </c>
      <c r="L2677">
        <v>1.256473406286383</v>
      </c>
      <c r="M2677">
        <v>27.46</v>
      </c>
      <c r="N2677">
        <v>16.18</v>
      </c>
    </row>
    <row r="2678" spans="1:14">
      <c r="A2678" s="1" t="s">
        <v>2690</v>
      </c>
      <c r="B2678">
        <f>HYPERLINK("https://www.suredividend.com/sure-analysis-research-database/","Extended Stay America Inc")</f>
        <v>0</v>
      </c>
      <c r="C2678" t="s">
        <v>3223</v>
      </c>
      <c r="D2678">
        <v>20.46</v>
      </c>
      <c r="E2678">
        <v>0</v>
      </c>
      <c r="F2678">
        <v>174</v>
      </c>
      <c r="G2678">
        <v>0.5281421358157987</v>
      </c>
      <c r="H2678">
        <v>0.110000003129243</v>
      </c>
      <c r="I2678">
        <v>0</v>
      </c>
      <c r="J2678">
        <v>0</v>
      </c>
      <c r="K2678">
        <v>0.9499136712369862</v>
      </c>
    </row>
    <row r="2679" spans="1:14">
      <c r="A2679" s="1" t="s">
        <v>2691</v>
      </c>
      <c r="B2679">
        <f>HYPERLINK("https://www.suredividend.com/sure-analysis-research-database/","S &amp; T Bancorp, Inc.")</f>
        <v>0</v>
      </c>
      <c r="C2679" t="s">
        <v>3221</v>
      </c>
      <c r="D2679">
        <v>27.96</v>
      </c>
      <c r="E2679">
        <v>0.040221176150585</v>
      </c>
      <c r="H2679">
        <v>1.124584085170371</v>
      </c>
      <c r="I2679">
        <v>1100.265759</v>
      </c>
      <c r="J2679">
        <v>10.015983096376</v>
      </c>
      <c r="K2679">
        <v>0.4002078594912352</v>
      </c>
      <c r="L2679">
        <v>0.790173049236449</v>
      </c>
      <c r="M2679">
        <v>33.89</v>
      </c>
      <c r="N2679">
        <v>26.53</v>
      </c>
    </row>
    <row r="2680" spans="1:14">
      <c r="A2680" s="1" t="s">
        <v>2692</v>
      </c>
      <c r="B2680">
        <f>HYPERLINK("https://www.suredividend.com/sure-analysis-research-database/","Stewart Information Services Corp.")</f>
        <v>0</v>
      </c>
      <c r="C2680" t="s">
        <v>3221</v>
      </c>
      <c r="D2680">
        <v>51.95</v>
      </c>
      <c r="E2680">
        <v>0.026930694522669</v>
      </c>
      <c r="F2680">
        <v>0.1363636363636362</v>
      </c>
      <c r="G2680">
        <v>0.04563955259127317</v>
      </c>
      <c r="H2680">
        <v>1.399049580452677</v>
      </c>
      <c r="I2680">
        <v>1401.504814</v>
      </c>
      <c r="J2680">
        <v>4.336124493218158</v>
      </c>
      <c r="K2680">
        <v>0.1175671916346787</v>
      </c>
      <c r="L2680">
        <v>0.95928041705953</v>
      </c>
      <c r="M2680">
        <v>80.54000000000001</v>
      </c>
      <c r="N2680">
        <v>51.92</v>
      </c>
    </row>
    <row r="2681" spans="1:14">
      <c r="A2681" s="1" t="s">
        <v>2693</v>
      </c>
      <c r="B2681">
        <f>HYPERLINK("https://www.suredividend.com/sure-analysis-research-database/","Steel Connect Inc")</f>
        <v>0</v>
      </c>
      <c r="C2681" t="s">
        <v>3220</v>
      </c>
      <c r="D2681">
        <v>1.27</v>
      </c>
      <c r="E2681">
        <v>0</v>
      </c>
      <c r="H2681">
        <v>0</v>
      </c>
      <c r="I2681">
        <v>76.78130400000001</v>
      </c>
      <c r="J2681" t="s">
        <v>3219</v>
      </c>
      <c r="K2681">
        <v>-0</v>
      </c>
      <c r="L2681">
        <v>0.9858027703174931</v>
      </c>
      <c r="M2681">
        <v>2.45</v>
      </c>
      <c r="N2681">
        <v>0.92</v>
      </c>
    </row>
    <row r="2682" spans="1:14">
      <c r="A2682" s="1" t="s">
        <v>2694</v>
      </c>
      <c r="B2682">
        <f>HYPERLINK("https://www.suredividend.com/sure-analysis-research-database/","Steris Plc")</f>
        <v>0</v>
      </c>
      <c r="C2682" t="s">
        <v>3217</v>
      </c>
      <c r="D2682">
        <v>244.46</v>
      </c>
      <c r="E2682">
        <v>0.006893877189292</v>
      </c>
      <c r="F2682">
        <v>0.07499999999999996</v>
      </c>
      <c r="G2682">
        <v>0.08958743119932766</v>
      </c>
      <c r="H2682">
        <v>1.685277217694354</v>
      </c>
      <c r="I2682">
        <v>24477.09629</v>
      </c>
      <c r="J2682">
        <v>87.26922000955513</v>
      </c>
      <c r="K2682">
        <v>0.5693504113832277</v>
      </c>
      <c r="L2682">
        <v>0.9154314520769651</v>
      </c>
      <c r="M2682">
        <v>251.69</v>
      </c>
      <c r="N2682">
        <v>186.83</v>
      </c>
    </row>
    <row r="2683" spans="1:14">
      <c r="A2683" s="1" t="s">
        <v>2695</v>
      </c>
      <c r="B2683">
        <f>HYPERLINK("https://www.suredividend.com/sure-analysis-research-database/","State Auto Financial Corp.")</f>
        <v>0</v>
      </c>
      <c r="C2683" t="s">
        <v>3221</v>
      </c>
      <c r="D2683">
        <v>52.01</v>
      </c>
      <c r="E2683">
        <v>0</v>
      </c>
      <c r="H2683">
        <v>0.400000005960464</v>
      </c>
      <c r="I2683">
        <v>0</v>
      </c>
      <c r="J2683">
        <v>0</v>
      </c>
      <c r="K2683">
        <v>0.25000000372529</v>
      </c>
    </row>
    <row r="2684" spans="1:14">
      <c r="A2684" s="1" t="s">
        <v>2696</v>
      </c>
      <c r="B2684">
        <f>HYPERLINK("https://www.suredividend.com/sure-analysis-research-database/","Neuronetics Inc")</f>
        <v>0</v>
      </c>
      <c r="C2684" t="s">
        <v>3217</v>
      </c>
      <c r="D2684">
        <v>3.01</v>
      </c>
      <c r="E2684">
        <v>0</v>
      </c>
      <c r="H2684">
        <v>0</v>
      </c>
      <c r="I2684">
        <v>80.14969600000001</v>
      </c>
      <c r="J2684">
        <v>0</v>
      </c>
      <c r="K2684" t="s">
        <v>3219</v>
      </c>
      <c r="L2684">
        <v>1.189891036146323</v>
      </c>
      <c r="M2684">
        <v>17.92</v>
      </c>
      <c r="N2684">
        <v>2.8</v>
      </c>
    </row>
    <row r="2685" spans="1:14">
      <c r="A2685" s="1" t="s">
        <v>2697</v>
      </c>
      <c r="B2685">
        <f>HYPERLINK("https://www.suredividend.com/sure-analysis-research-database/","ONE Group Hospitality Inc")</f>
        <v>0</v>
      </c>
      <c r="C2685" t="s">
        <v>3223</v>
      </c>
      <c r="D2685">
        <v>10.28</v>
      </c>
      <c r="E2685">
        <v>0</v>
      </c>
      <c r="H2685">
        <v>0</v>
      </c>
      <c r="I2685">
        <v>331.787257</v>
      </c>
      <c r="J2685">
        <v>0</v>
      </c>
      <c r="K2685" t="s">
        <v>3219</v>
      </c>
      <c r="L2685">
        <v>1.354579585200089</v>
      </c>
      <c r="M2685">
        <v>16.44</v>
      </c>
      <c r="N2685">
        <v>7.8</v>
      </c>
    </row>
    <row r="2686" spans="1:14">
      <c r="A2686" s="1" t="s">
        <v>2698</v>
      </c>
      <c r="B2686">
        <f>HYPERLINK("https://www.suredividend.com/sure-analysis-research-database/","Sterling Bancorp.")</f>
        <v>0</v>
      </c>
      <c r="C2686" t="s">
        <v>3221</v>
      </c>
      <c r="D2686">
        <v>26.29</v>
      </c>
      <c r="E2686">
        <v>0.010607738178643</v>
      </c>
      <c r="F2686">
        <v>0</v>
      </c>
      <c r="G2686">
        <v>0</v>
      </c>
      <c r="H2686">
        <v>0.278877436716538</v>
      </c>
      <c r="I2686">
        <v>5066.103164</v>
      </c>
      <c r="J2686">
        <v>14.00485754765176</v>
      </c>
      <c r="K2686">
        <v>0.1483390620832649</v>
      </c>
      <c r="L2686">
        <v>1.129129872056107</v>
      </c>
      <c r="M2686">
        <v>29.95</v>
      </c>
      <c r="N2686">
        <v>18.69</v>
      </c>
    </row>
    <row r="2687" spans="1:14">
      <c r="A2687" s="1" t="s">
        <v>2699</v>
      </c>
      <c r="B2687">
        <f>HYPERLINK("https://www.suredividend.com/sure-analysis-STLD/","Steel Dynamics Inc.")</f>
        <v>0</v>
      </c>
      <c r="C2687" t="s">
        <v>3218</v>
      </c>
      <c r="D2687">
        <v>88.31999999999999</v>
      </c>
      <c r="E2687">
        <v>0.01539855072463768</v>
      </c>
      <c r="F2687">
        <v>0.3076923076923077</v>
      </c>
      <c r="G2687">
        <v>0.1701174169457518</v>
      </c>
      <c r="H2687">
        <v>1.113605517902993</v>
      </c>
      <c r="I2687">
        <v>16738.264116</v>
      </c>
      <c r="J2687">
        <v>5.207815930500494</v>
      </c>
      <c r="K2687">
        <v>0.07156847801433118</v>
      </c>
      <c r="L2687">
        <v>1.193440910007963</v>
      </c>
      <c r="M2687">
        <v>89.33</v>
      </c>
      <c r="N2687">
        <v>48.7</v>
      </c>
    </row>
    <row r="2688" spans="1:14">
      <c r="A2688" s="1" t="s">
        <v>2700</v>
      </c>
      <c r="B2688">
        <f>HYPERLINK("https://www.suredividend.com/sure-analysis-research-database/","Stamps.com Inc.")</f>
        <v>0</v>
      </c>
      <c r="C2688" t="s">
        <v>3222</v>
      </c>
      <c r="D2688">
        <v>329.61</v>
      </c>
      <c r="E2688">
        <v>0</v>
      </c>
      <c r="H2688">
        <v>0</v>
      </c>
      <c r="I2688">
        <v>0</v>
      </c>
      <c r="J2688">
        <v>0</v>
      </c>
      <c r="K2688">
        <v>0</v>
      </c>
    </row>
    <row r="2689" spans="1:14">
      <c r="A2689" s="1" t="s">
        <v>2701</v>
      </c>
      <c r="B2689">
        <f>HYPERLINK("https://www.suredividend.com/sure-analysis-research-database/","Standard AVB Financial Corp")</f>
        <v>0</v>
      </c>
      <c r="C2689" t="s">
        <v>3221</v>
      </c>
      <c r="D2689">
        <v>33</v>
      </c>
      <c r="E2689">
        <v>0</v>
      </c>
      <c r="H2689">
        <v>0.8840000033378601</v>
      </c>
      <c r="I2689">
        <v>0</v>
      </c>
      <c r="J2689">
        <v>0</v>
      </c>
      <c r="K2689" t="s">
        <v>3219</v>
      </c>
    </row>
    <row r="2690" spans="1:14">
      <c r="A2690" s="1" t="s">
        <v>2702</v>
      </c>
      <c r="B2690">
        <f>HYPERLINK("https://www.suredividend.com/sure-analysis-STOR/","Store Capital Corp")</f>
        <v>0</v>
      </c>
      <c r="C2690" t="s">
        <v>3224</v>
      </c>
      <c r="D2690">
        <v>29.77</v>
      </c>
      <c r="E2690">
        <v>0.05240174672489083</v>
      </c>
      <c r="F2690">
        <v>0.06944444444444442</v>
      </c>
      <c r="G2690">
        <v>0.05830913861225784</v>
      </c>
      <c r="H2690">
        <v>1.488503844495335</v>
      </c>
      <c r="I2690">
        <v>8180.079406</v>
      </c>
      <c r="J2690">
        <v>30.55814548349017</v>
      </c>
      <c r="K2690">
        <v>1.501870491873005</v>
      </c>
      <c r="L2690">
        <v>0.9389358650230861</v>
      </c>
      <c r="M2690">
        <v>35.83</v>
      </c>
      <c r="N2690">
        <v>27.96</v>
      </c>
    </row>
    <row r="2691" spans="1:14">
      <c r="A2691" s="1" t="s">
        <v>2703</v>
      </c>
      <c r="B2691">
        <f>HYPERLINK("https://www.suredividend.com/sure-analysis-research-database/","Strategic Education Inc")</f>
        <v>0</v>
      </c>
      <c r="C2691" t="s">
        <v>3225</v>
      </c>
      <c r="D2691">
        <v>72.3</v>
      </c>
      <c r="E2691">
        <v>0.032877657483427</v>
      </c>
      <c r="F2691">
        <v>0</v>
      </c>
      <c r="G2691">
        <v>0.1913578981670916</v>
      </c>
      <c r="H2691">
        <v>2.377054636051795</v>
      </c>
      <c r="I2691">
        <v>1809.672181</v>
      </c>
      <c r="J2691">
        <v>32.85116599560695</v>
      </c>
      <c r="K2691">
        <v>1.042567822829735</v>
      </c>
      <c r="L2691">
        <v>0.8840623394611361</v>
      </c>
      <c r="M2691">
        <v>87.43000000000001</v>
      </c>
      <c r="N2691">
        <v>47.52</v>
      </c>
    </row>
    <row r="2692" spans="1:14">
      <c r="A2692" s="1" t="s">
        <v>2704</v>
      </c>
      <c r="B2692">
        <f>HYPERLINK("https://www.suredividend.com/sure-analysis-research-database/","Sterling Construction Company, Inc.")</f>
        <v>0</v>
      </c>
      <c r="C2692" t="s">
        <v>3220</v>
      </c>
      <c r="D2692">
        <v>26.41</v>
      </c>
      <c r="E2692">
        <v>0</v>
      </c>
      <c r="H2692">
        <v>0</v>
      </c>
      <c r="I2692">
        <v>798.328003</v>
      </c>
      <c r="J2692">
        <v>12.74368270843643</v>
      </c>
      <c r="K2692">
        <v>0</v>
      </c>
      <c r="L2692">
        <v>1.208394215803007</v>
      </c>
      <c r="M2692">
        <v>32.14</v>
      </c>
      <c r="N2692">
        <v>19.76</v>
      </c>
    </row>
    <row r="2693" spans="1:14">
      <c r="A2693" s="1" t="s">
        <v>2705</v>
      </c>
      <c r="B2693">
        <f>HYPERLINK("https://www.suredividend.com/sure-analysis-research-database/","Streamline Health Solutions, Inc")</f>
        <v>0</v>
      </c>
      <c r="C2693" t="s">
        <v>3217</v>
      </c>
      <c r="D2693">
        <v>1.4124</v>
      </c>
      <c r="E2693">
        <v>0</v>
      </c>
      <c r="H2693">
        <v>0</v>
      </c>
      <c r="I2693">
        <v>67.23113499999999</v>
      </c>
      <c r="J2693">
        <v>0</v>
      </c>
      <c r="K2693" t="s">
        <v>3219</v>
      </c>
      <c r="L2693">
        <v>0.9561627768798411</v>
      </c>
      <c r="M2693">
        <v>2.29</v>
      </c>
      <c r="N2693">
        <v>1.22</v>
      </c>
    </row>
    <row r="2694" spans="1:14">
      <c r="A2694" s="1" t="s">
        <v>2706</v>
      </c>
      <c r="B2694">
        <f>HYPERLINK("https://www.suredividend.com/sure-analysis-research-database/","Stratus Properties Inc.")</f>
        <v>0</v>
      </c>
      <c r="C2694" t="s">
        <v>3224</v>
      </c>
      <c r="D2694">
        <v>40.5</v>
      </c>
      <c r="E2694">
        <v>0</v>
      </c>
      <c r="H2694">
        <v>0</v>
      </c>
      <c r="I2694">
        <v>335.067354</v>
      </c>
      <c r="J2694">
        <v>0</v>
      </c>
      <c r="K2694" t="s">
        <v>3219</v>
      </c>
      <c r="L2694">
        <v>0.610989374106448</v>
      </c>
      <c r="M2694">
        <v>43.45</v>
      </c>
      <c r="N2694">
        <v>23.2</v>
      </c>
    </row>
    <row r="2695" spans="1:14">
      <c r="A2695" s="1" t="s">
        <v>2707</v>
      </c>
      <c r="B2695">
        <f>HYPERLINK("https://www.suredividend.com/sure-analysis-research-database/","Strattec Security Corp.")</f>
        <v>0</v>
      </c>
      <c r="C2695" t="s">
        <v>3223</v>
      </c>
      <c r="D2695">
        <v>34.03</v>
      </c>
      <c r="E2695">
        <v>0</v>
      </c>
      <c r="H2695">
        <v>0</v>
      </c>
      <c r="I2695">
        <v>134.547746</v>
      </c>
      <c r="J2695">
        <v>12.33703887218045</v>
      </c>
      <c r="K2695">
        <v>0</v>
      </c>
      <c r="L2695">
        <v>0.383425967218766</v>
      </c>
      <c r="M2695">
        <v>54.9</v>
      </c>
      <c r="N2695">
        <v>31.89</v>
      </c>
    </row>
    <row r="2696" spans="1:14">
      <c r="A2696" s="1" t="s">
        <v>2708</v>
      </c>
      <c r="B2696">
        <f>HYPERLINK("https://www.suredividend.com/sure-analysis-STT/","State Street Corp.")</f>
        <v>0</v>
      </c>
      <c r="C2696" t="s">
        <v>3221</v>
      </c>
      <c r="D2696">
        <v>75.81</v>
      </c>
      <c r="E2696">
        <v>0.03007518796992481</v>
      </c>
      <c r="F2696">
        <v>-0.9797333333333333</v>
      </c>
      <c r="G2696">
        <v>0.0629800482623446</v>
      </c>
      <c r="H2696">
        <v>2.209721834993344</v>
      </c>
      <c r="I2696">
        <v>27855.953748</v>
      </c>
      <c r="J2696">
        <v>10.83046413202955</v>
      </c>
      <c r="K2696">
        <v>0.307332661334262</v>
      </c>
      <c r="L2696">
        <v>1.346840663077027</v>
      </c>
      <c r="M2696">
        <v>104.22</v>
      </c>
      <c r="N2696">
        <v>75</v>
      </c>
    </row>
    <row r="2697" spans="1:14">
      <c r="A2697" s="1" t="s">
        <v>2709</v>
      </c>
      <c r="B2697">
        <f>HYPERLINK("https://www.suredividend.com/sure-analysis-STWD/","Starwood Property Trust Inc")</f>
        <v>0</v>
      </c>
      <c r="C2697" t="s">
        <v>3224</v>
      </c>
      <c r="D2697">
        <v>24.21</v>
      </c>
      <c r="E2697">
        <v>0.07930607187112763</v>
      </c>
      <c r="F2697">
        <v>0</v>
      </c>
      <c r="G2697">
        <v>0</v>
      </c>
      <c r="H2697">
        <v>1.86519568719399</v>
      </c>
      <c r="I2697">
        <v>7420.552506</v>
      </c>
      <c r="J2697">
        <v>16.82928282758527</v>
      </c>
      <c r="K2697">
        <v>1.251809186036235</v>
      </c>
      <c r="L2697">
        <v>0.9324990116568511</v>
      </c>
      <c r="M2697">
        <v>25.34</v>
      </c>
      <c r="N2697">
        <v>21.54</v>
      </c>
    </row>
    <row r="2698" spans="1:14">
      <c r="A2698" s="1" t="s">
        <v>2710</v>
      </c>
      <c r="B2698">
        <f>HYPERLINK("https://www.suredividend.com/sure-analysis-STX/","Seagate Technology Holdings Plc")</f>
        <v>0</v>
      </c>
      <c r="C2698" t="s">
        <v>3222</v>
      </c>
      <c r="D2698">
        <v>81.41</v>
      </c>
      <c r="E2698">
        <v>0.03439380911435942</v>
      </c>
      <c r="F2698">
        <v>0.0447761194029852</v>
      </c>
      <c r="G2698">
        <v>0.02129568760013512</v>
      </c>
      <c r="H2698">
        <v>2.055404091571539</v>
      </c>
      <c r="I2698">
        <v>17820.513778</v>
      </c>
      <c r="J2698">
        <v>9.695600532094668</v>
      </c>
      <c r="K2698">
        <v>0.2588670140518311</v>
      </c>
      <c r="M2698">
        <v>116.8</v>
      </c>
      <c r="N2698">
        <v>77.09999999999999</v>
      </c>
    </row>
    <row r="2699" spans="1:14">
      <c r="A2699" s="1" t="s">
        <v>2711</v>
      </c>
      <c r="B2699">
        <f>HYPERLINK("https://www.suredividend.com/sure-analysis-research-database/","Spirit of Texas Bancshares Inc")</f>
        <v>0</v>
      </c>
      <c r="C2699" t="s">
        <v>3221</v>
      </c>
      <c r="D2699">
        <v>25.55</v>
      </c>
      <c r="E2699">
        <v>0</v>
      </c>
      <c r="H2699">
        <v>0.449999995529651</v>
      </c>
      <c r="I2699">
        <v>0</v>
      </c>
      <c r="J2699">
        <v>0</v>
      </c>
      <c r="K2699" t="s">
        <v>3219</v>
      </c>
    </row>
    <row r="2700" spans="1:14">
      <c r="A2700" s="1" t="s">
        <v>2712</v>
      </c>
      <c r="B2700">
        <f>HYPERLINK("https://www.suredividend.com/sure-analysis-STZ/","Constellation Brands Inc")</f>
        <v>0</v>
      </c>
      <c r="C2700" t="s">
        <v>3225</v>
      </c>
      <c r="D2700">
        <v>251.42</v>
      </c>
      <c r="E2700">
        <v>0.01272770662636226</v>
      </c>
      <c r="H2700">
        <v>3.024867654886086</v>
      </c>
      <c r="I2700">
        <v>47845.559013</v>
      </c>
      <c r="J2700" t="s">
        <v>3219</v>
      </c>
      <c r="K2700" t="s">
        <v>3219</v>
      </c>
      <c r="L2700">
        <v>0.4571403103157881</v>
      </c>
      <c r="M2700">
        <v>257.17</v>
      </c>
      <c r="N2700">
        <v>205.98</v>
      </c>
    </row>
    <row r="2701" spans="1:14">
      <c r="A2701" s="1" t="s">
        <v>2713</v>
      </c>
      <c r="B2701">
        <f>HYPERLINK("https://www.suredividend.com/sure-analysis-research-database/","Sun Communities, Inc.")</f>
        <v>0</v>
      </c>
      <c r="C2701" t="s">
        <v>3224</v>
      </c>
      <c r="D2701">
        <v>185.58</v>
      </c>
      <c r="E2701">
        <v>0.018039532471032</v>
      </c>
      <c r="F2701">
        <v>0.06024096385542155</v>
      </c>
      <c r="G2701">
        <v>0.05604293121509873</v>
      </c>
      <c r="H2701">
        <v>3.34777643597422</v>
      </c>
      <c r="I2701">
        <v>21565.403699</v>
      </c>
      <c r="J2701">
        <v>57.08244095830003</v>
      </c>
      <c r="K2701">
        <v>1.020663547553116</v>
      </c>
      <c r="L2701">
        <v>0.7642717186481831</v>
      </c>
      <c r="M2701">
        <v>210.76</v>
      </c>
      <c r="N2701">
        <v>154.68</v>
      </c>
    </row>
    <row r="2702" spans="1:14">
      <c r="A2702" s="1" t="s">
        <v>2714</v>
      </c>
      <c r="B2702">
        <f>HYPERLINK("https://www.suredividend.com/sure-analysis-research-database/","Summit Materials Inc")</f>
        <v>0</v>
      </c>
      <c r="C2702" t="s">
        <v>3218</v>
      </c>
      <c r="D2702">
        <v>29</v>
      </c>
      <c r="E2702">
        <v>0</v>
      </c>
      <c r="H2702">
        <v>0</v>
      </c>
      <c r="I2702">
        <v>3466.913054</v>
      </c>
      <c r="J2702">
        <v>22.78106143878463</v>
      </c>
      <c r="K2702">
        <v>0</v>
      </c>
      <c r="L2702">
        <v>1.287699017452155</v>
      </c>
      <c r="M2702">
        <v>41.46</v>
      </c>
      <c r="N2702">
        <v>26.42</v>
      </c>
    </row>
    <row r="2703" spans="1:14">
      <c r="A2703" s="1" t="s">
        <v>2715</v>
      </c>
      <c r="B2703">
        <f>HYPERLINK("https://www.suredividend.com/sure-analysis-research-database/","Summer Infant Inc")</f>
        <v>0</v>
      </c>
      <c r="C2703" t="s">
        <v>3225</v>
      </c>
      <c r="D2703">
        <v>11.8</v>
      </c>
      <c r="E2703">
        <v>0</v>
      </c>
      <c r="H2703">
        <v>0</v>
      </c>
      <c r="I2703">
        <v>25.543554</v>
      </c>
      <c r="J2703" t="s">
        <v>3219</v>
      </c>
      <c r="K2703">
        <v>-0</v>
      </c>
      <c r="M2703">
        <v>19.02</v>
      </c>
      <c r="N2703">
        <v>6.8</v>
      </c>
    </row>
    <row r="2704" spans="1:14">
      <c r="A2704" s="1" t="s">
        <v>2716</v>
      </c>
      <c r="B2704">
        <f>HYPERLINK("https://www.suredividend.com/sure-analysis-research-database/","Sunworks Inc")</f>
        <v>0</v>
      </c>
      <c r="C2704" t="s">
        <v>3222</v>
      </c>
      <c r="D2704">
        <v>2.07</v>
      </c>
      <c r="E2704">
        <v>0</v>
      </c>
      <c r="H2704">
        <v>0</v>
      </c>
      <c r="I2704">
        <v>60.658808</v>
      </c>
      <c r="J2704">
        <v>0</v>
      </c>
      <c r="K2704" t="s">
        <v>3219</v>
      </c>
      <c r="L2704">
        <v>1.212251437468463</v>
      </c>
      <c r="M2704">
        <v>13.09</v>
      </c>
      <c r="N2704">
        <v>1.7</v>
      </c>
    </row>
    <row r="2705" spans="1:14">
      <c r="A2705" s="1" t="s">
        <v>2717</v>
      </c>
      <c r="B2705">
        <f>HYPERLINK("https://www.suredividend.com/sure-analysis-research-database/","Superior Industries International, Inc.")</f>
        <v>0</v>
      </c>
      <c r="C2705" t="s">
        <v>3223</v>
      </c>
      <c r="D2705">
        <v>3.68</v>
      </c>
      <c r="E2705">
        <v>0</v>
      </c>
      <c r="H2705">
        <v>0</v>
      </c>
      <c r="I2705">
        <v>98.820115</v>
      </c>
      <c r="J2705" t="s">
        <v>3219</v>
      </c>
      <c r="K2705">
        <v>-0</v>
      </c>
      <c r="L2705">
        <v>1.077609718589228</v>
      </c>
      <c r="M2705">
        <v>9.720000000000001</v>
      </c>
      <c r="N2705">
        <v>3.53</v>
      </c>
    </row>
    <row r="2706" spans="1:14">
      <c r="A2706" s="1" t="s">
        <v>2718</v>
      </c>
      <c r="B2706">
        <f>HYPERLINK("https://www.suredividend.com/sure-analysis-research-database/","Supernus Pharmaceuticals Inc")</f>
        <v>0</v>
      </c>
      <c r="C2706" t="s">
        <v>3217</v>
      </c>
      <c r="D2706">
        <v>31.1</v>
      </c>
      <c r="E2706">
        <v>0</v>
      </c>
      <c r="H2706">
        <v>0</v>
      </c>
      <c r="I2706">
        <v>1660.314086</v>
      </c>
      <c r="J2706">
        <v>31.0780564072327</v>
      </c>
      <c r="K2706">
        <v>0</v>
      </c>
      <c r="L2706">
        <v>0.6792403225186791</v>
      </c>
      <c r="M2706">
        <v>34.5</v>
      </c>
      <c r="N2706">
        <v>23.15</v>
      </c>
    </row>
    <row r="2707" spans="1:14">
      <c r="A2707" s="1" t="s">
        <v>2719</v>
      </c>
      <c r="B2707">
        <f>HYPERLINK("https://www.suredividend.com/sure-analysis-research-database/","Severn Bancorp Inc")</f>
        <v>0</v>
      </c>
      <c r="C2707" t="s">
        <v>3221</v>
      </c>
      <c r="D2707">
        <v>13.63</v>
      </c>
      <c r="E2707">
        <v>0</v>
      </c>
      <c r="H2707">
        <v>0.190000001341104</v>
      </c>
      <c r="I2707">
        <v>0</v>
      </c>
      <c r="J2707">
        <v>0</v>
      </c>
      <c r="K2707" t="s">
        <v>3219</v>
      </c>
    </row>
    <row r="2708" spans="1:14">
      <c r="A2708" s="1" t="s">
        <v>2720</v>
      </c>
      <c r="B2708">
        <f>HYPERLINK("https://www.suredividend.com/sure-analysis-research-database/","Savara Inc")</f>
        <v>0</v>
      </c>
      <c r="C2708" t="s">
        <v>3217</v>
      </c>
      <c r="D2708">
        <v>1.26</v>
      </c>
      <c r="E2708">
        <v>0</v>
      </c>
      <c r="H2708">
        <v>0</v>
      </c>
      <c r="I2708">
        <v>143.690224</v>
      </c>
      <c r="J2708">
        <v>0</v>
      </c>
      <c r="K2708" t="s">
        <v>3219</v>
      </c>
      <c r="L2708">
        <v>0.5432326773578621</v>
      </c>
      <c r="M2708">
        <v>2.09</v>
      </c>
      <c r="N2708">
        <v>1.02</v>
      </c>
    </row>
    <row r="2709" spans="1:14">
      <c r="A2709" s="1" t="s">
        <v>2721</v>
      </c>
      <c r="B2709">
        <f>HYPERLINK("https://www.suredividend.com/sure-analysis-research-database/","Servotronics, Inc.")</f>
        <v>0</v>
      </c>
      <c r="C2709" t="s">
        <v>3220</v>
      </c>
      <c r="D2709">
        <v>11.61</v>
      </c>
      <c r="E2709">
        <v>0</v>
      </c>
      <c r="H2709">
        <v>0</v>
      </c>
      <c r="I2709">
        <v>28.928254</v>
      </c>
      <c r="J2709">
        <v>0</v>
      </c>
      <c r="K2709" t="s">
        <v>3219</v>
      </c>
      <c r="M2709">
        <v>14.9</v>
      </c>
      <c r="N2709">
        <v>7.33</v>
      </c>
    </row>
    <row r="2710" spans="1:14">
      <c r="A2710" s="1" t="s">
        <v>2722</v>
      </c>
      <c r="B2710">
        <f>HYPERLINK("https://www.suredividend.com/sure-analysis-research-database/","ShockWave Medical Inc")</f>
        <v>0</v>
      </c>
      <c r="C2710" t="s">
        <v>3217</v>
      </c>
      <c r="D2710">
        <v>209.71</v>
      </c>
      <c r="E2710">
        <v>0</v>
      </c>
      <c r="H2710">
        <v>0</v>
      </c>
      <c r="I2710">
        <v>7476.908697</v>
      </c>
      <c r="J2710" t="s">
        <v>3219</v>
      </c>
      <c r="K2710">
        <v>-0</v>
      </c>
      <c r="L2710">
        <v>1.891201228269198</v>
      </c>
      <c r="M2710">
        <v>249.73</v>
      </c>
      <c r="N2710">
        <v>125</v>
      </c>
    </row>
    <row r="2711" spans="1:14">
      <c r="A2711" s="1" t="s">
        <v>2723</v>
      </c>
      <c r="B2711">
        <f>HYPERLINK("https://www.suredividend.com/sure-analysis-research-database/","Switch Inc")</f>
        <v>0</v>
      </c>
      <c r="C2711" t="s">
        <v>3222</v>
      </c>
      <c r="D2711">
        <v>30.81</v>
      </c>
      <c r="E2711">
        <v>0.006714979304398</v>
      </c>
      <c r="H2711">
        <v>0.20688851236851</v>
      </c>
      <c r="I2711">
        <v>4573.71788</v>
      </c>
      <c r="J2711">
        <v>845.1067775609755</v>
      </c>
      <c r="K2711">
        <v>5.304833650474616</v>
      </c>
      <c r="L2711">
        <v>0.8350005610730581</v>
      </c>
      <c r="M2711">
        <v>31.8</v>
      </c>
      <c r="N2711">
        <v>17.47</v>
      </c>
    </row>
    <row r="2712" spans="1:14">
      <c r="A2712" s="1" t="s">
        <v>2724</v>
      </c>
      <c r="B2712">
        <f>HYPERLINK("https://www.suredividend.com/sure-analysis-SWK/","Stanley Black &amp; Decker Inc")</f>
        <v>0</v>
      </c>
      <c r="C2712" t="s">
        <v>3220</v>
      </c>
      <c r="D2712">
        <v>140.32</v>
      </c>
      <c r="E2712">
        <v>0.02251995438996579</v>
      </c>
      <c r="F2712">
        <v>0.1285714285714286</v>
      </c>
      <c r="G2712">
        <v>0.06375060365561036</v>
      </c>
      <c r="H2712">
        <v>3.049659605171814</v>
      </c>
      <c r="I2712">
        <v>22929.900417</v>
      </c>
      <c r="J2712">
        <v>13.67887634499791</v>
      </c>
      <c r="K2712">
        <v>0.3001633469657297</v>
      </c>
      <c r="L2712">
        <v>1.066156301554484</v>
      </c>
      <c r="M2712">
        <v>221.3</v>
      </c>
      <c r="N2712">
        <v>136.62</v>
      </c>
    </row>
    <row r="2713" spans="1:14">
      <c r="A2713" s="1" t="s">
        <v>2725</v>
      </c>
      <c r="B2713">
        <f>HYPERLINK("https://www.suredividend.com/sure-analysis-SWKS/","Skyworks Solutions, Inc.")</f>
        <v>0</v>
      </c>
      <c r="C2713" t="s">
        <v>3222</v>
      </c>
      <c r="D2713">
        <v>117.73</v>
      </c>
      <c r="E2713">
        <v>0.01902658625668904</v>
      </c>
      <c r="F2713">
        <v>0.1200000000000001</v>
      </c>
      <c r="G2713">
        <v>0.1486983549970351</v>
      </c>
      <c r="H2713">
        <v>2.168156141692348</v>
      </c>
      <c r="I2713">
        <v>19308.398831</v>
      </c>
      <c r="J2713">
        <v>13.90193594296206</v>
      </c>
      <c r="K2713">
        <v>0.2605956901072533</v>
      </c>
      <c r="L2713">
        <v>1.500673985957812</v>
      </c>
      <c r="M2713">
        <v>201.23</v>
      </c>
      <c r="N2713">
        <v>117.65</v>
      </c>
    </row>
    <row r="2714" spans="1:14">
      <c r="A2714" s="1" t="s">
        <v>2726</v>
      </c>
      <c r="B2714">
        <f>HYPERLINK("https://www.suredividend.com/sure-analysis-research-database/","Schweitzer-Mauduit International, Inc.")</f>
        <v>0</v>
      </c>
      <c r="C2714" t="s">
        <v>3218</v>
      </c>
      <c r="D2714">
        <v>26.17</v>
      </c>
      <c r="E2714">
        <v>0.06585899842073401</v>
      </c>
      <c r="F2714">
        <v>0</v>
      </c>
      <c r="G2714">
        <v>0.009347419909568888</v>
      </c>
      <c r="H2714">
        <v>1.723529988670627</v>
      </c>
      <c r="I2714">
        <v>828.840931</v>
      </c>
      <c r="J2714">
        <v>9.440101714692483</v>
      </c>
      <c r="K2714">
        <v>0.615546424525224</v>
      </c>
      <c r="L2714">
        <v>0.909895003330878</v>
      </c>
      <c r="M2714">
        <v>47.31</v>
      </c>
      <c r="N2714">
        <v>25.26</v>
      </c>
    </row>
    <row r="2715" spans="1:14">
      <c r="A2715" s="1" t="s">
        <v>2727</v>
      </c>
      <c r="B2715">
        <f>HYPERLINK("https://www.suredividend.com/sure-analysis-research-database/","Southwestern Energy Company")</f>
        <v>0</v>
      </c>
      <c r="C2715" t="s">
        <v>3226</v>
      </c>
      <c r="D2715">
        <v>8.19</v>
      </c>
      <c r="E2715">
        <v>0</v>
      </c>
      <c r="H2715">
        <v>0</v>
      </c>
      <c r="I2715">
        <v>9140.858812</v>
      </c>
      <c r="J2715" t="s">
        <v>3219</v>
      </c>
      <c r="K2715">
        <v>-0</v>
      </c>
      <c r="L2715">
        <v>1.101145933312886</v>
      </c>
      <c r="M2715">
        <v>8.390000000000001</v>
      </c>
      <c r="N2715">
        <v>3.81</v>
      </c>
    </row>
    <row r="2716" spans="1:14">
      <c r="A2716" s="1" t="s">
        <v>2728</v>
      </c>
      <c r="B2716">
        <f>HYPERLINK("https://www.suredividend.com/sure-analysis-SWX/","Southwest Gas Holdings Inc")</f>
        <v>0</v>
      </c>
      <c r="C2716" t="s">
        <v>3227</v>
      </c>
      <c r="D2716">
        <v>83.5</v>
      </c>
      <c r="E2716">
        <v>0.02970059880239521</v>
      </c>
      <c r="F2716">
        <v>0.04385964912280693</v>
      </c>
      <c r="G2716">
        <v>0.03748625889389423</v>
      </c>
      <c r="H2716">
        <v>2.349287028917545</v>
      </c>
      <c r="I2716">
        <v>5053.743396</v>
      </c>
      <c r="J2716">
        <v>25.17067718984555</v>
      </c>
      <c r="K2716">
        <v>0.6930050232795119</v>
      </c>
      <c r="L2716">
        <v>0.45092733548208</v>
      </c>
      <c r="M2716">
        <v>83.91</v>
      </c>
      <c r="N2716">
        <v>60.95</v>
      </c>
    </row>
    <row r="2717" spans="1:14">
      <c r="A2717" s="1" t="s">
        <v>2729</v>
      </c>
      <c r="B2717">
        <f>HYPERLINK("https://www.suredividend.com/sure-analysis-research-database/","SunCoke Energy Inc")</f>
        <v>0</v>
      </c>
      <c r="C2717" t="s">
        <v>3218</v>
      </c>
      <c r="D2717">
        <v>9.550000000000001</v>
      </c>
      <c r="E2717">
        <v>0.024816873015653</v>
      </c>
      <c r="H2717">
        <v>0.23700113729949</v>
      </c>
      <c r="I2717">
        <v>793.719008</v>
      </c>
      <c r="J2717">
        <v>18.28845640322581</v>
      </c>
      <c r="K2717">
        <v>0.4570899465756798</v>
      </c>
      <c r="L2717">
        <v>0.8558125481013831</v>
      </c>
      <c r="M2717">
        <v>9.82</v>
      </c>
      <c r="N2717">
        <v>5.75</v>
      </c>
    </row>
    <row r="2718" spans="1:14">
      <c r="A2718" s="1" t="s">
        <v>2730</v>
      </c>
      <c r="B2718">
        <f>HYPERLINK("https://www.suredividend.com/sure-analysis-research-database/","Standex International Corp.")</f>
        <v>0</v>
      </c>
      <c r="C2718" t="s">
        <v>3220</v>
      </c>
      <c r="D2718">
        <v>97.93000000000001</v>
      </c>
      <c r="E2718">
        <v>0.01017558158095</v>
      </c>
      <c r="F2718">
        <v>0.08333333333333348</v>
      </c>
      <c r="G2718">
        <v>0.1019722877214801</v>
      </c>
      <c r="H2718">
        <v>0.9964947042225091</v>
      </c>
      <c r="I2718">
        <v>1198.205867</v>
      </c>
      <c r="J2718">
        <v>25.94754789943263</v>
      </c>
      <c r="K2718">
        <v>0.262927362591691</v>
      </c>
      <c r="L2718">
        <v>0.8309690334479091</v>
      </c>
      <c r="M2718">
        <v>121.15</v>
      </c>
      <c r="N2718">
        <v>85.67</v>
      </c>
    </row>
    <row r="2719" spans="1:14">
      <c r="A2719" s="1" t="s">
        <v>2731</v>
      </c>
      <c r="B2719">
        <f>HYPERLINK("https://www.suredividend.com/sure-analysis-research-database/","Sensient Technologies Corp.")</f>
        <v>0</v>
      </c>
      <c r="C2719" t="s">
        <v>3218</v>
      </c>
      <c r="D2719">
        <v>82.44</v>
      </c>
      <c r="E2719">
        <v>0.01927625952451</v>
      </c>
      <c r="F2719">
        <v>0.05128205128205132</v>
      </c>
      <c r="G2719">
        <v>0.06446777983653984</v>
      </c>
      <c r="H2719">
        <v>1.589134835200619</v>
      </c>
      <c r="I2719">
        <v>3464.305881</v>
      </c>
      <c r="J2719">
        <v>29.17433054966525</v>
      </c>
      <c r="K2719">
        <v>0.5655284111034231</v>
      </c>
      <c r="L2719">
        <v>0.967738044447329</v>
      </c>
      <c r="M2719">
        <v>105.81</v>
      </c>
      <c r="N2719">
        <v>74.43000000000001</v>
      </c>
    </row>
    <row r="2720" spans="1:14">
      <c r="A2720" s="1" t="s">
        <v>2732</v>
      </c>
      <c r="B2720">
        <f>HYPERLINK("https://www.suredividend.com/sure-analysis-research-database/","Stock Yards Bancorp Inc")</f>
        <v>0</v>
      </c>
      <c r="C2720" t="s">
        <v>3221</v>
      </c>
      <c r="D2720">
        <v>52.16</v>
      </c>
      <c r="E2720">
        <v>0.021126030726753</v>
      </c>
      <c r="F2720">
        <v>0.03703703703703698</v>
      </c>
      <c r="G2720">
        <v>0.06961037572506878</v>
      </c>
      <c r="H2720">
        <v>1.101933762707467</v>
      </c>
      <c r="I2720">
        <v>1388.63998</v>
      </c>
      <c r="J2720">
        <v>18.60325513885726</v>
      </c>
      <c r="K2720">
        <v>0.3710214689250731</v>
      </c>
      <c r="L2720">
        <v>0.649785918739011</v>
      </c>
      <c r="M2720">
        <v>66.90000000000001</v>
      </c>
      <c r="N2720">
        <v>45.25</v>
      </c>
    </row>
    <row r="2721" spans="1:14">
      <c r="A2721" s="1" t="s">
        <v>2733</v>
      </c>
      <c r="B2721">
        <f>HYPERLINK("https://www.suredividend.com/sure-analysis-research-database/","Synlogic Inc")</f>
        <v>0</v>
      </c>
      <c r="C2721" t="s">
        <v>3217</v>
      </c>
      <c r="D2721">
        <v>1.98</v>
      </c>
      <c r="E2721">
        <v>0</v>
      </c>
      <c r="H2721">
        <v>0</v>
      </c>
      <c r="I2721">
        <v>138.024287</v>
      </c>
      <c r="J2721">
        <v>0</v>
      </c>
      <c r="K2721" t="s">
        <v>3219</v>
      </c>
      <c r="L2721">
        <v>0.737868436586935</v>
      </c>
      <c r="M2721">
        <v>4.54</v>
      </c>
      <c r="N2721">
        <v>1.39</v>
      </c>
    </row>
    <row r="2722" spans="1:14">
      <c r="A2722" s="1" t="s">
        <v>2734</v>
      </c>
      <c r="B2722">
        <f>HYPERLINK("https://www.suredividend.com/sure-analysis-SYF/","Synchrony Financial")</f>
        <v>0</v>
      </c>
      <c r="C2722" t="s">
        <v>3221</v>
      </c>
      <c r="D2722">
        <v>37.7</v>
      </c>
      <c r="E2722">
        <v>0.023342175066313</v>
      </c>
      <c r="F2722">
        <v>0</v>
      </c>
      <c r="G2722">
        <v>0.1109534595426207</v>
      </c>
      <c r="H2722">
        <v>0.8736514032842431</v>
      </c>
      <c r="I2722">
        <v>19084.60005</v>
      </c>
      <c r="J2722">
        <v>4.56678632450347</v>
      </c>
      <c r="K2722">
        <v>0.1190260767417225</v>
      </c>
      <c r="L2722">
        <v>1.186159468797411</v>
      </c>
      <c r="M2722">
        <v>51.98</v>
      </c>
      <c r="N2722">
        <v>33.76</v>
      </c>
    </row>
    <row r="2723" spans="1:14">
      <c r="A2723" s="1" t="s">
        <v>2735</v>
      </c>
      <c r="B2723">
        <f>HYPERLINK("https://www.suredividend.com/sure-analysis-SYK/","Stryker Corp.")</f>
        <v>0</v>
      </c>
      <c r="C2723" t="s">
        <v>3217</v>
      </c>
      <c r="D2723">
        <v>261.7</v>
      </c>
      <c r="E2723">
        <v>0.01062285059228124</v>
      </c>
      <c r="F2723">
        <v>0.1031746031746033</v>
      </c>
      <c r="G2723">
        <v>0.103364927302297</v>
      </c>
      <c r="H2723">
        <v>2.640326222644448</v>
      </c>
      <c r="I2723">
        <v>98844.107011</v>
      </c>
      <c r="J2723">
        <v>49.57076580265797</v>
      </c>
      <c r="K2723">
        <v>0.5058096211962545</v>
      </c>
      <c r="L2723">
        <v>1.030529508533179</v>
      </c>
      <c r="M2723">
        <v>279.72</v>
      </c>
      <c r="N2723">
        <v>234.89</v>
      </c>
    </row>
    <row r="2724" spans="1:14">
      <c r="A2724" s="1" t="s">
        <v>2736</v>
      </c>
      <c r="B2724">
        <f>HYPERLINK("https://www.suredividend.com/sure-analysis-research-database/","Sykes Enterprises, Inc.")</f>
        <v>0</v>
      </c>
      <c r="C2724" t="s">
        <v>3222</v>
      </c>
      <c r="D2724">
        <v>54</v>
      </c>
      <c r="E2724">
        <v>0</v>
      </c>
      <c r="H2724">
        <v>0</v>
      </c>
      <c r="I2724">
        <v>0</v>
      </c>
      <c r="J2724">
        <v>0</v>
      </c>
      <c r="K2724">
        <v>0</v>
      </c>
    </row>
    <row r="2725" spans="1:14">
      <c r="A2725" s="1" t="s">
        <v>2737</v>
      </c>
      <c r="B2725">
        <f>HYPERLINK("https://www.suredividend.com/sure-analysis-research-database/","Synthetic Biologics Inc")</f>
        <v>0</v>
      </c>
      <c r="C2725" t="s">
        <v>3217</v>
      </c>
      <c r="D2725">
        <v>0.265</v>
      </c>
      <c r="E2725">
        <v>0</v>
      </c>
      <c r="H2725">
        <v>0</v>
      </c>
      <c r="I2725">
        <v>41.986028</v>
      </c>
      <c r="J2725">
        <v>0</v>
      </c>
      <c r="K2725" t="s">
        <v>3219</v>
      </c>
      <c r="L2725">
        <v>1.466830713662485</v>
      </c>
      <c r="M2725">
        <v>0.72</v>
      </c>
      <c r="N2725">
        <v>0.215</v>
      </c>
    </row>
    <row r="2726" spans="1:14">
      <c r="A2726" s="1" t="s">
        <v>2738</v>
      </c>
      <c r="B2726">
        <f>HYPERLINK("https://www.suredividend.com/sure-analysis-research-database/","Synaptics Inc")</f>
        <v>0</v>
      </c>
      <c r="C2726" t="s">
        <v>3222</v>
      </c>
      <c r="D2726">
        <v>152.84</v>
      </c>
      <c r="E2726">
        <v>0</v>
      </c>
      <c r="H2726">
        <v>0</v>
      </c>
      <c r="I2726">
        <v>6002.243527</v>
      </c>
      <c r="J2726">
        <v>42.12100720785966</v>
      </c>
      <c r="K2726">
        <v>0</v>
      </c>
      <c r="L2726">
        <v>2.234687182061619</v>
      </c>
      <c r="M2726">
        <v>299.39</v>
      </c>
      <c r="N2726">
        <v>114.05</v>
      </c>
    </row>
    <row r="2727" spans="1:14">
      <c r="A2727" s="1" t="s">
        <v>2739</v>
      </c>
      <c r="B2727">
        <f>HYPERLINK("https://www.suredividend.com/sure-analysis-research-database/","Synacor Inc")</f>
        <v>0</v>
      </c>
      <c r="C2727" t="s">
        <v>3222</v>
      </c>
      <c r="D2727">
        <v>2.19</v>
      </c>
      <c r="E2727">
        <v>0</v>
      </c>
      <c r="H2727">
        <v>0</v>
      </c>
      <c r="I2727">
        <v>0</v>
      </c>
      <c r="J2727">
        <v>0</v>
      </c>
      <c r="K2727" t="s">
        <v>3219</v>
      </c>
    </row>
    <row r="2728" spans="1:14">
      <c r="A2728" s="1" t="s">
        <v>2740</v>
      </c>
      <c r="B2728">
        <f>HYPERLINK("https://www.suredividend.com/sure-analysis-research-database/","Syneos Health Inc")</f>
        <v>0</v>
      </c>
      <c r="C2728" t="s">
        <v>3217</v>
      </c>
      <c r="D2728">
        <v>80.43000000000001</v>
      </c>
      <c r="E2728">
        <v>0</v>
      </c>
      <c r="H2728">
        <v>0</v>
      </c>
      <c r="I2728">
        <v>8248.732459999999</v>
      </c>
      <c r="J2728">
        <v>35.12625019699274</v>
      </c>
      <c r="K2728">
        <v>0</v>
      </c>
      <c r="L2728">
        <v>0.9352529826678481</v>
      </c>
      <c r="M2728">
        <v>104.18</v>
      </c>
      <c r="N2728">
        <v>72.48</v>
      </c>
    </row>
    <row r="2729" spans="1:14">
      <c r="A2729" s="1" t="s">
        <v>2741</v>
      </c>
      <c r="B2729">
        <f>HYPERLINK("https://www.suredividend.com/sure-analysis-research-database/","Synalloy Corp.")</f>
        <v>0</v>
      </c>
      <c r="C2729" t="s">
        <v>3218</v>
      </c>
      <c r="D2729">
        <v>16.15</v>
      </c>
      <c r="E2729">
        <v>0</v>
      </c>
      <c r="H2729">
        <v>0</v>
      </c>
      <c r="I2729">
        <v>165.109493</v>
      </c>
      <c r="J2729">
        <v>8.155568915781673</v>
      </c>
      <c r="K2729">
        <v>0</v>
      </c>
      <c r="M2729">
        <v>19.2</v>
      </c>
      <c r="N2729">
        <v>8.970000000000001</v>
      </c>
    </row>
    <row r="2730" spans="1:14">
      <c r="A2730" s="1" t="s">
        <v>2742</v>
      </c>
      <c r="B2730">
        <f>HYPERLINK("https://www.suredividend.com/sure-analysis-research-database/","Sypris Solutions, Inc.")</f>
        <v>0</v>
      </c>
      <c r="C2730" t="s">
        <v>3223</v>
      </c>
      <c r="D2730">
        <v>2.34</v>
      </c>
      <c r="E2730">
        <v>0</v>
      </c>
      <c r="H2730">
        <v>0</v>
      </c>
      <c r="I2730">
        <v>51.198554</v>
      </c>
      <c r="J2730">
        <v>17.51575578515224</v>
      </c>
      <c r="K2730">
        <v>0</v>
      </c>
      <c r="L2730">
        <v>1.150184810300091</v>
      </c>
      <c r="M2730">
        <v>5.82</v>
      </c>
      <c r="N2730">
        <v>1.82</v>
      </c>
    </row>
    <row r="2731" spans="1:14">
      <c r="A2731" s="1" t="s">
        <v>2743</v>
      </c>
      <c r="B2731">
        <f>HYPERLINK("https://www.suredividend.com/sure-analysis-research-database/","Syros Pharmaceuticals Inc.")</f>
        <v>0</v>
      </c>
      <c r="C2731" t="s">
        <v>3217</v>
      </c>
      <c r="D2731">
        <v>0.9063</v>
      </c>
      <c r="E2731">
        <v>0</v>
      </c>
      <c r="H2731">
        <v>0</v>
      </c>
      <c r="I2731">
        <v>56.26582</v>
      </c>
      <c r="J2731" t="s">
        <v>3219</v>
      </c>
      <c r="K2731">
        <v>-0</v>
      </c>
      <c r="L2731">
        <v>1.82442071783965</v>
      </c>
      <c r="M2731">
        <v>7.03</v>
      </c>
      <c r="N2731">
        <v>0.9</v>
      </c>
    </row>
    <row r="2732" spans="1:14">
      <c r="A2732" s="1" t="s">
        <v>2744</v>
      </c>
      <c r="B2732">
        <f>HYPERLINK("https://www.suredividend.com/sure-analysis-SYY/","Sysco Corp.")</f>
        <v>0</v>
      </c>
      <c r="C2732" t="s">
        <v>3225</v>
      </c>
      <c r="D2732">
        <v>86.27</v>
      </c>
      <c r="E2732">
        <v>0.02179204822070245</v>
      </c>
      <c r="F2732">
        <v>0.04444444444444451</v>
      </c>
      <c r="G2732">
        <v>0.07328926012383752</v>
      </c>
      <c r="H2732">
        <v>1.863839046673298</v>
      </c>
      <c r="I2732">
        <v>44226.862711</v>
      </c>
      <c r="J2732">
        <v>56.30595374335751</v>
      </c>
      <c r="K2732">
        <v>1.22620989912717</v>
      </c>
      <c r="L2732">
        <v>0.981675015766276</v>
      </c>
      <c r="M2732">
        <v>88.70999999999999</v>
      </c>
      <c r="N2732">
        <v>67.27</v>
      </c>
    </row>
    <row r="2733" spans="1:14">
      <c r="A2733" s="1" t="s">
        <v>2745</v>
      </c>
      <c r="B2733">
        <f>HYPERLINK("https://www.suredividend.com/sure-analysis-T/","AT&amp;T, Inc.")</f>
        <v>0</v>
      </c>
      <c r="C2733" t="s">
        <v>3228</v>
      </c>
      <c r="D2733">
        <v>19.54</v>
      </c>
      <c r="E2733">
        <v>0.05680655066530195</v>
      </c>
      <c r="F2733">
        <v>-0.4663461538461539</v>
      </c>
      <c r="G2733">
        <v>-0.1074894026199344</v>
      </c>
      <c r="H2733">
        <v>1.785382226935161</v>
      </c>
      <c r="I2733">
        <v>139572.124159</v>
      </c>
      <c r="J2733">
        <v>7.022850163990138</v>
      </c>
      <c r="K2733">
        <v>0.6468776184547685</v>
      </c>
      <c r="L2733">
        <v>0.575565815583847</v>
      </c>
      <c r="M2733">
        <v>32.11</v>
      </c>
      <c r="N2733">
        <v>18.58</v>
      </c>
    </row>
    <row r="2734" spans="1:14">
      <c r="A2734" s="1" t="s">
        <v>2746</v>
      </c>
      <c r="B2734">
        <f>HYPERLINK("https://www.suredividend.com/sure-analysis-research-database/","Del Taco Restaurants Inc")</f>
        <v>0</v>
      </c>
      <c r="C2734" t="s">
        <v>3223</v>
      </c>
      <c r="D2734">
        <v>12.51</v>
      </c>
      <c r="E2734">
        <v>0</v>
      </c>
      <c r="H2734">
        <v>0.159999996423721</v>
      </c>
      <c r="I2734">
        <v>0</v>
      </c>
      <c r="J2734">
        <v>0</v>
      </c>
      <c r="K2734">
        <v>0.2969010881865299</v>
      </c>
    </row>
    <row r="2735" spans="1:14">
      <c r="A2735" s="1" t="s">
        <v>2747</v>
      </c>
      <c r="B2735">
        <f>HYPERLINK("https://www.suredividend.com/sure-analysis-research-database/","Transact Technologies Inc.")</f>
        <v>0</v>
      </c>
      <c r="C2735" t="s">
        <v>3222</v>
      </c>
      <c r="D2735">
        <v>8.48</v>
      </c>
      <c r="E2735">
        <v>0</v>
      </c>
      <c r="H2735">
        <v>0</v>
      </c>
      <c r="I2735">
        <v>83.865038</v>
      </c>
      <c r="J2735" t="s">
        <v>3219</v>
      </c>
      <c r="K2735">
        <v>-0</v>
      </c>
      <c r="L2735">
        <v>0.41012921266819</v>
      </c>
      <c r="M2735">
        <v>17.18</v>
      </c>
      <c r="N2735">
        <v>6.65</v>
      </c>
    </row>
    <row r="2736" spans="1:14">
      <c r="A2736" s="1" t="s">
        <v>2748</v>
      </c>
      <c r="B2736">
        <f>HYPERLINK("https://www.suredividend.com/sure-analysis-research-database/","Taitron Components Inc.")</f>
        <v>0</v>
      </c>
      <c r="C2736" t="s">
        <v>3222</v>
      </c>
      <c r="D2736">
        <v>3.63</v>
      </c>
      <c r="E2736">
        <v>0.046118403029736</v>
      </c>
      <c r="F2736">
        <v>0.125</v>
      </c>
      <c r="G2736">
        <v>0.1247461131420948</v>
      </c>
      <c r="H2736">
        <v>0.167409802997944</v>
      </c>
      <c r="I2736">
        <v>18.562252</v>
      </c>
      <c r="J2736">
        <v>0</v>
      </c>
      <c r="K2736" t="s">
        <v>3219</v>
      </c>
      <c r="L2736">
        <v>0.634947034643466</v>
      </c>
      <c r="M2736">
        <v>6.4</v>
      </c>
      <c r="N2736">
        <v>3.22</v>
      </c>
    </row>
    <row r="2737" spans="1:14">
      <c r="A2737" s="1" t="s">
        <v>2749</v>
      </c>
      <c r="B2737">
        <f>HYPERLINK("https://www.suredividend.com/sure-analysis-research-database/","Talos Energy Inc")</f>
        <v>0</v>
      </c>
      <c r="C2737" t="s">
        <v>3226</v>
      </c>
      <c r="D2737">
        <v>19.95</v>
      </c>
      <c r="E2737">
        <v>0</v>
      </c>
      <c r="H2737">
        <v>0</v>
      </c>
      <c r="I2737">
        <v>1646.25411</v>
      </c>
      <c r="J2737" t="s">
        <v>3219</v>
      </c>
      <c r="K2737">
        <v>-0</v>
      </c>
      <c r="L2737">
        <v>1.013563888884466</v>
      </c>
      <c r="M2737">
        <v>20.4</v>
      </c>
      <c r="N2737">
        <v>8.57</v>
      </c>
    </row>
    <row r="2738" spans="1:14">
      <c r="A2738" s="1" t="s">
        <v>2750</v>
      </c>
      <c r="B2738">
        <f>HYPERLINK("https://www.suredividend.com/sure-analysis-TAP/","Molson Coors Beverage Company")</f>
        <v>0</v>
      </c>
      <c r="C2738" t="s">
        <v>3225</v>
      </c>
      <c r="D2738">
        <v>55.61</v>
      </c>
      <c r="E2738">
        <v>0.0273332134508182</v>
      </c>
      <c r="H2738">
        <v>1.05233671401995</v>
      </c>
      <c r="I2738">
        <v>11302.080297</v>
      </c>
      <c r="J2738">
        <v>11.23802356223526</v>
      </c>
      <c r="K2738">
        <v>0.2277785095281277</v>
      </c>
      <c r="L2738">
        <v>0.5280694987669561</v>
      </c>
      <c r="M2738">
        <v>60.11</v>
      </c>
      <c r="N2738">
        <v>41.82</v>
      </c>
    </row>
    <row r="2739" spans="1:14">
      <c r="A2739" s="1" t="s">
        <v>2751</v>
      </c>
      <c r="B2739">
        <f>HYPERLINK("https://www.suredividend.com/sure-analysis-research-database/","Carrols Restaurant Group Inc.")</f>
        <v>0</v>
      </c>
      <c r="C2739" t="s">
        <v>3223</v>
      </c>
      <c r="D2739">
        <v>2</v>
      </c>
      <c r="E2739">
        <v>0</v>
      </c>
      <c r="H2739">
        <v>0</v>
      </c>
      <c r="I2739">
        <v>109.129988</v>
      </c>
      <c r="J2739" t="s">
        <v>3219</v>
      </c>
      <c r="K2739">
        <v>-0</v>
      </c>
      <c r="L2739">
        <v>1.522481929923951</v>
      </c>
      <c r="M2739">
        <v>5.89</v>
      </c>
      <c r="N2739">
        <v>1.93</v>
      </c>
    </row>
    <row r="2740" spans="1:14">
      <c r="A2740" s="1" t="s">
        <v>2752</v>
      </c>
      <c r="B2740">
        <f>HYPERLINK("https://www.suredividend.com/sure-analysis-research-database/","TransAtlantic Petroleum Ltd")</f>
        <v>0</v>
      </c>
      <c r="C2740" t="s">
        <v>3226</v>
      </c>
      <c r="D2740">
        <v>0.246</v>
      </c>
      <c r="E2740">
        <v>0</v>
      </c>
      <c r="H2740">
        <v>0</v>
      </c>
      <c r="I2740">
        <v>18.778547</v>
      </c>
      <c r="J2740" t="s">
        <v>3219</v>
      </c>
      <c r="K2740">
        <v>-0</v>
      </c>
      <c r="L2740">
        <v>1.359619541150437</v>
      </c>
      <c r="M2740">
        <v>0.5393</v>
      </c>
      <c r="N2740">
        <v>0.1533</v>
      </c>
    </row>
    <row r="2741" spans="1:14">
      <c r="A2741" s="1" t="s">
        <v>2753</v>
      </c>
      <c r="B2741">
        <f>HYPERLINK("https://www.suredividend.com/sure-analysis-research-database/","Taylor Devices Inc.")</f>
        <v>0</v>
      </c>
      <c r="C2741" t="s">
        <v>3220</v>
      </c>
      <c r="D2741">
        <v>9.5</v>
      </c>
      <c r="E2741">
        <v>0</v>
      </c>
      <c r="H2741">
        <v>0</v>
      </c>
      <c r="I2741">
        <v>33.222868</v>
      </c>
      <c r="J2741">
        <v>0</v>
      </c>
      <c r="K2741" t="s">
        <v>3219</v>
      </c>
      <c r="M2741">
        <v>12.43</v>
      </c>
      <c r="N2741">
        <v>9.5</v>
      </c>
    </row>
    <row r="2742" spans="1:14">
      <c r="A2742" s="1" t="s">
        <v>2754</v>
      </c>
      <c r="B2742">
        <f>HYPERLINK("https://www.suredividend.com/sure-analysis-research-database/","Bancorp Inc. (The)")</f>
        <v>0</v>
      </c>
      <c r="C2742" t="s">
        <v>3221</v>
      </c>
      <c r="D2742">
        <v>25.23</v>
      </c>
      <c r="E2742">
        <v>0</v>
      </c>
      <c r="H2742">
        <v>0</v>
      </c>
      <c r="I2742">
        <v>1441.900656</v>
      </c>
      <c r="J2742">
        <v>13.03083202552122</v>
      </c>
      <c r="K2742">
        <v>0</v>
      </c>
      <c r="L2742">
        <v>1.6906592214573</v>
      </c>
      <c r="M2742">
        <v>33.36</v>
      </c>
      <c r="N2742">
        <v>20.5</v>
      </c>
    </row>
    <row r="2743" spans="1:14">
      <c r="A2743" s="1" t="s">
        <v>2755</v>
      </c>
      <c r="B2743">
        <f>HYPERLINK("https://www.suredividend.com/sure-analysis-research-database/","TrueBlue Inc")</f>
        <v>0</v>
      </c>
      <c r="C2743" t="s">
        <v>3220</v>
      </c>
      <c r="D2743">
        <v>28.23</v>
      </c>
      <c r="E2743">
        <v>0</v>
      </c>
      <c r="H2743">
        <v>0</v>
      </c>
      <c r="I2743">
        <v>989.7339480000001</v>
      </c>
      <c r="J2743">
        <v>16.05824622335075</v>
      </c>
      <c r="K2743">
        <v>0</v>
      </c>
      <c r="L2743">
        <v>0.914735898329708</v>
      </c>
      <c r="M2743">
        <v>32.91</v>
      </c>
      <c r="N2743">
        <v>21.88</v>
      </c>
    </row>
    <row r="2744" spans="1:14">
      <c r="A2744" s="1" t="s">
        <v>2756</v>
      </c>
      <c r="B2744">
        <f>HYPERLINK("https://www.suredividend.com/sure-analysis-research-database/","Translate Bio Inc")</f>
        <v>0</v>
      </c>
      <c r="C2744" t="s">
        <v>3217</v>
      </c>
      <c r="D2744">
        <v>37.36</v>
      </c>
      <c r="E2744">
        <v>0</v>
      </c>
      <c r="H2744">
        <v>0</v>
      </c>
      <c r="I2744">
        <v>0</v>
      </c>
      <c r="J2744">
        <v>0</v>
      </c>
      <c r="K2744" t="s">
        <v>3219</v>
      </c>
    </row>
    <row r="2745" spans="1:14">
      <c r="A2745" s="1" t="s">
        <v>2757</v>
      </c>
      <c r="B2745">
        <f>HYPERLINK("https://www.suredividend.com/sure-analysis-research-database/","Triumph Bancorp Inc")</f>
        <v>0</v>
      </c>
      <c r="C2745" t="s">
        <v>3221</v>
      </c>
      <c r="D2745">
        <v>75.75</v>
      </c>
      <c r="E2745">
        <v>0</v>
      </c>
      <c r="H2745">
        <v>0</v>
      </c>
      <c r="I2745">
        <v>1905.881817</v>
      </c>
      <c r="J2745">
        <v>17.36281809817068</v>
      </c>
      <c r="K2745">
        <v>0</v>
      </c>
      <c r="L2745">
        <v>1.673057804779092</v>
      </c>
      <c r="M2745">
        <v>136.01</v>
      </c>
      <c r="N2745">
        <v>69.02</v>
      </c>
    </row>
    <row r="2746" spans="1:14">
      <c r="A2746" s="1" t="s">
        <v>2758</v>
      </c>
      <c r="B2746">
        <f>HYPERLINK("https://www.suredividend.com/sure-analysis-research-database/","Territorial Bancorp Inc")</f>
        <v>0</v>
      </c>
      <c r="C2746" t="s">
        <v>3221</v>
      </c>
      <c r="D2746">
        <v>23.38</v>
      </c>
      <c r="E2746">
        <v>0.038712660619155</v>
      </c>
      <c r="F2746">
        <v>0</v>
      </c>
      <c r="G2746">
        <v>0.008929989071996269</v>
      </c>
      <c r="H2746">
        <v>0.9051020052758461</v>
      </c>
      <c r="I2746">
        <v>217.795782</v>
      </c>
      <c r="J2746">
        <v>12.54945445808124</v>
      </c>
      <c r="K2746">
        <v>0.4763694764609716</v>
      </c>
      <c r="L2746">
        <v>0.297876170860632</v>
      </c>
      <c r="M2746">
        <v>26.46</v>
      </c>
      <c r="N2746">
        <v>23.12</v>
      </c>
    </row>
    <row r="2747" spans="1:14">
      <c r="A2747" s="1" t="s">
        <v>2759</v>
      </c>
      <c r="B2747">
        <f>HYPERLINK("https://www.suredividend.com/sure-analysis-research-database/","Theravance Biopharma Inc")</f>
        <v>0</v>
      </c>
      <c r="C2747" t="s">
        <v>3217</v>
      </c>
      <c r="D2747">
        <v>9.93</v>
      </c>
      <c r="E2747">
        <v>0</v>
      </c>
      <c r="H2747">
        <v>0</v>
      </c>
      <c r="I2747">
        <v>753.703345</v>
      </c>
      <c r="J2747">
        <v>0</v>
      </c>
      <c r="K2747" t="s">
        <v>3219</v>
      </c>
      <c r="L2747">
        <v>0.807176032268602</v>
      </c>
      <c r="M2747">
        <v>22.74</v>
      </c>
      <c r="N2747">
        <v>6.1</v>
      </c>
    </row>
    <row r="2748" spans="1:14">
      <c r="A2748" s="1" t="s">
        <v>2760</v>
      </c>
      <c r="B2748">
        <f>HYPERLINK("https://www.suredividend.com/sure-analysis-research-database/","Texas Capital Bancshares, Inc.")</f>
        <v>0</v>
      </c>
      <c r="C2748" t="s">
        <v>3221</v>
      </c>
      <c r="D2748">
        <v>55.63</v>
      </c>
      <c r="E2748">
        <v>0</v>
      </c>
      <c r="H2748">
        <v>0</v>
      </c>
      <c r="I2748">
        <v>2819.93588</v>
      </c>
      <c r="J2748">
        <v>11.98860580227704</v>
      </c>
      <c r="K2748">
        <v>0</v>
      </c>
      <c r="L2748">
        <v>1.175739516599452</v>
      </c>
      <c r="M2748">
        <v>71.68000000000001</v>
      </c>
      <c r="N2748">
        <v>53.22</v>
      </c>
    </row>
    <row r="2749" spans="1:14">
      <c r="A2749" s="1" t="s">
        <v>2761</v>
      </c>
      <c r="B2749">
        <f>HYPERLINK("https://www.suredividend.com/sure-analysis-research-database/","Trico Bancshares")</f>
        <v>0</v>
      </c>
      <c r="C2749" t="s">
        <v>3221</v>
      </c>
      <c r="D2749">
        <v>38.7</v>
      </c>
      <c r="E2749">
        <v>0.025609212494875</v>
      </c>
      <c r="F2749">
        <v>0</v>
      </c>
      <c r="G2749">
        <v>0.0801851873035635</v>
      </c>
      <c r="H2749">
        <v>0.9910765235516751</v>
      </c>
      <c r="I2749">
        <v>1309.527891</v>
      </c>
      <c r="J2749">
        <v>11.13023578258468</v>
      </c>
      <c r="K2749">
        <v>0.2515422648608313</v>
      </c>
      <c r="L2749">
        <v>0.749671509058875</v>
      </c>
      <c r="M2749">
        <v>47.83</v>
      </c>
      <c r="N2749">
        <v>37.64</v>
      </c>
    </row>
    <row r="2750" spans="1:14">
      <c r="A2750" s="1" t="s">
        <v>2762</v>
      </c>
      <c r="B2750">
        <f>HYPERLINK("https://www.suredividend.com/sure-analysis-research-database/","Tricida Inc")</f>
        <v>0</v>
      </c>
      <c r="C2750" t="s">
        <v>3217</v>
      </c>
      <c r="D2750">
        <v>9.73</v>
      </c>
      <c r="E2750">
        <v>0</v>
      </c>
      <c r="H2750">
        <v>0</v>
      </c>
      <c r="I2750">
        <v>539.014347</v>
      </c>
      <c r="J2750">
        <v>0</v>
      </c>
      <c r="K2750" t="s">
        <v>3219</v>
      </c>
      <c r="L2750">
        <v>0.458996961631958</v>
      </c>
      <c r="M2750">
        <v>10.92</v>
      </c>
      <c r="N2750">
        <v>3.55</v>
      </c>
    </row>
    <row r="2751" spans="1:14">
      <c r="A2751" s="1" t="s">
        <v>2763</v>
      </c>
      <c r="B2751">
        <f>HYPERLINK("https://www.suredividend.com/sure-analysis-research-database/","TCF Financial Corp")</f>
        <v>0</v>
      </c>
      <c r="C2751" t="s">
        <v>3221</v>
      </c>
      <c r="D2751">
        <v>45.18</v>
      </c>
      <c r="E2751">
        <v>0</v>
      </c>
      <c r="F2751">
        <v>0</v>
      </c>
      <c r="G2751">
        <v>0.04563955259127317</v>
      </c>
      <c r="H2751">
        <v>1.049999982118606</v>
      </c>
      <c r="I2751">
        <v>0</v>
      </c>
      <c r="J2751">
        <v>0</v>
      </c>
      <c r="K2751">
        <v>0.5614973166409657</v>
      </c>
    </row>
    <row r="2752" spans="1:14">
      <c r="A2752" s="1" t="s">
        <v>2764</v>
      </c>
      <c r="B2752">
        <f>HYPERLINK("https://www.suredividend.com/sure-analysis-research-database/","Community Financial Corp")</f>
        <v>0</v>
      </c>
      <c r="C2752" t="s">
        <v>3221</v>
      </c>
      <c r="D2752">
        <v>39.08</v>
      </c>
      <c r="E2752">
        <v>0.012051045242495</v>
      </c>
      <c r="F2752">
        <v>0.1666666666666667</v>
      </c>
      <c r="G2752">
        <v>0.1184269147201447</v>
      </c>
      <c r="H2752">
        <v>0.47095484807674</v>
      </c>
      <c r="I2752">
        <v>222.240105</v>
      </c>
      <c r="J2752">
        <v>0</v>
      </c>
      <c r="K2752" t="s">
        <v>3219</v>
      </c>
      <c r="M2752">
        <v>40.82</v>
      </c>
      <c r="N2752">
        <v>31.56</v>
      </c>
    </row>
    <row r="2753" spans="1:14">
      <c r="A2753" s="1" t="s">
        <v>2765</v>
      </c>
      <c r="B2753">
        <f>HYPERLINK("https://www.suredividend.com/sure-analysis-research-database/","Transcontinental Realty Investors, Inc.")</f>
        <v>0</v>
      </c>
      <c r="C2753" t="s">
        <v>3224</v>
      </c>
      <c r="D2753">
        <v>38.25</v>
      </c>
      <c r="E2753">
        <v>0</v>
      </c>
      <c r="H2753">
        <v>0</v>
      </c>
      <c r="I2753">
        <v>330.453837</v>
      </c>
      <c r="J2753">
        <v>35.16214481804639</v>
      </c>
      <c r="K2753">
        <v>0</v>
      </c>
      <c r="M2753">
        <v>42.92</v>
      </c>
      <c r="N2753">
        <v>18.61</v>
      </c>
    </row>
    <row r="2754" spans="1:14">
      <c r="A2754" s="1" t="s">
        <v>2766</v>
      </c>
      <c r="B2754">
        <f>HYPERLINK("https://www.suredividend.com/sure-analysis-research-database/","Tactile Systems Technology Inc")</f>
        <v>0</v>
      </c>
      <c r="C2754" t="s">
        <v>3217</v>
      </c>
      <c r="D2754">
        <v>18.96</v>
      </c>
      <c r="E2754">
        <v>0</v>
      </c>
      <c r="H2754">
        <v>0</v>
      </c>
      <c r="I2754">
        <v>377.801586</v>
      </c>
      <c r="J2754" t="s">
        <v>3219</v>
      </c>
      <c r="K2754">
        <v>-0</v>
      </c>
      <c r="L2754">
        <v>1.279027807178304</v>
      </c>
      <c r="M2754">
        <v>61.13</v>
      </c>
      <c r="N2754">
        <v>13.37</v>
      </c>
    </row>
    <row r="2755" spans="1:14">
      <c r="A2755" s="1" t="s">
        <v>2767</v>
      </c>
      <c r="B2755">
        <f>HYPERLINK("https://www.suredividend.com/sure-analysis-research-database/","Taubman Centers, Inc.")</f>
        <v>0</v>
      </c>
      <c r="C2755" t="s">
        <v>3224</v>
      </c>
      <c r="D2755">
        <v>42.99</v>
      </c>
      <c r="E2755">
        <v>0.015701326167037</v>
      </c>
      <c r="H2755">
        <v>0.6750000119209291</v>
      </c>
      <c r="I2755">
        <v>2653.572797</v>
      </c>
      <c r="J2755" t="s">
        <v>3219</v>
      </c>
      <c r="K2755" t="s">
        <v>3219</v>
      </c>
      <c r="M2755">
        <v>52.49</v>
      </c>
      <c r="N2755">
        <v>26.04</v>
      </c>
    </row>
    <row r="2756" spans="1:14">
      <c r="A2756" s="1" t="s">
        <v>2768</v>
      </c>
      <c r="B2756">
        <f>HYPERLINK("https://www.suredividend.com/sure-analysis-research-database/","TRACON Pharmaceuticals Inc")</f>
        <v>0</v>
      </c>
      <c r="C2756" t="s">
        <v>3217</v>
      </c>
      <c r="D2756">
        <v>2.51</v>
      </c>
      <c r="E2756">
        <v>0</v>
      </c>
      <c r="H2756">
        <v>0</v>
      </c>
      <c r="I2756">
        <v>49.237593</v>
      </c>
      <c r="J2756">
        <v>0</v>
      </c>
      <c r="K2756" t="s">
        <v>3219</v>
      </c>
      <c r="L2756">
        <v>1.042539497551413</v>
      </c>
      <c r="M2756">
        <v>8.09</v>
      </c>
      <c r="N2756">
        <v>1.97</v>
      </c>
    </row>
    <row r="2757" spans="1:14">
      <c r="A2757" s="1" t="s">
        <v>2769</v>
      </c>
      <c r="B2757">
        <f>HYPERLINK("https://www.suredividend.com/sure-analysis-research-database/","Container Store Group Inc")</f>
        <v>0</v>
      </c>
      <c r="C2757" t="s">
        <v>3223</v>
      </c>
      <c r="D2757">
        <v>8.279999999999999</v>
      </c>
      <c r="E2757">
        <v>0</v>
      </c>
      <c r="H2757">
        <v>0</v>
      </c>
      <c r="I2757">
        <v>419.349783</v>
      </c>
      <c r="J2757">
        <v>4.478127616505062</v>
      </c>
      <c r="K2757">
        <v>0</v>
      </c>
      <c r="L2757">
        <v>1.398510750867444</v>
      </c>
      <c r="M2757">
        <v>15.67</v>
      </c>
      <c r="N2757">
        <v>7.6</v>
      </c>
    </row>
    <row r="2758" spans="1:14">
      <c r="A2758" s="1" t="s">
        <v>2770</v>
      </c>
      <c r="B2758">
        <f>HYPERLINK("https://www.suredividend.com/sure-analysis-research-database/","Teradata Corp")</f>
        <v>0</v>
      </c>
      <c r="C2758" t="s">
        <v>3222</v>
      </c>
      <c r="D2758">
        <v>45.68</v>
      </c>
      <c r="E2758">
        <v>0</v>
      </c>
      <c r="H2758">
        <v>0</v>
      </c>
      <c r="I2758">
        <v>4682.323519</v>
      </c>
      <c r="J2758">
        <v>31.85254094367347</v>
      </c>
      <c r="K2758">
        <v>0</v>
      </c>
      <c r="L2758">
        <v>1.091047380591878</v>
      </c>
      <c r="M2758">
        <v>59.38</v>
      </c>
      <c r="N2758">
        <v>37.35</v>
      </c>
    </row>
    <row r="2759" spans="1:14">
      <c r="A2759" s="1" t="s">
        <v>2771</v>
      </c>
      <c r="B2759">
        <f>HYPERLINK("https://www.suredividend.com/sure-analysis-research-database/","Transdigm Group Incorporated")</f>
        <v>0</v>
      </c>
      <c r="C2759" t="s">
        <v>3220</v>
      </c>
      <c r="D2759">
        <v>638.48</v>
      </c>
      <c r="E2759">
        <v>0</v>
      </c>
      <c r="H2759">
        <v>0</v>
      </c>
      <c r="I2759">
        <v>35411.429477</v>
      </c>
      <c r="J2759">
        <v>47.40485873745649</v>
      </c>
      <c r="K2759">
        <v>0</v>
      </c>
      <c r="L2759">
        <v>1.237841588511744</v>
      </c>
      <c r="M2759">
        <v>688.03</v>
      </c>
      <c r="N2759">
        <v>552.72</v>
      </c>
    </row>
    <row r="2760" spans="1:14">
      <c r="A2760" s="1" t="s">
        <v>2772</v>
      </c>
      <c r="B2760">
        <f>HYPERLINK("https://www.suredividend.com/sure-analysis-research-database/","Teladoc Health Inc")</f>
        <v>0</v>
      </c>
      <c r="C2760" t="s">
        <v>3217</v>
      </c>
      <c r="D2760">
        <v>65.18000000000001</v>
      </c>
      <c r="E2760">
        <v>0</v>
      </c>
      <c r="H2760">
        <v>0</v>
      </c>
      <c r="I2760">
        <v>10503.192541</v>
      </c>
      <c r="J2760" t="s">
        <v>3219</v>
      </c>
      <c r="K2760">
        <v>-0</v>
      </c>
      <c r="L2760">
        <v>1.833765865774053</v>
      </c>
      <c r="M2760">
        <v>192.11</v>
      </c>
      <c r="N2760">
        <v>50.08</v>
      </c>
    </row>
    <row r="2761" spans="1:14">
      <c r="A2761" s="1" t="s">
        <v>2773</v>
      </c>
      <c r="B2761">
        <f>HYPERLINK("https://www.suredividend.com/sure-analysis-TDS/","Telephone And Data Systems, Inc.")</f>
        <v>0</v>
      </c>
      <c r="C2761" t="s">
        <v>3228</v>
      </c>
      <c r="D2761">
        <v>20.61</v>
      </c>
      <c r="E2761">
        <v>0.03493449781659388</v>
      </c>
      <c r="F2761">
        <v>0.02857142857142847</v>
      </c>
      <c r="G2761">
        <v>0.03035803310185115</v>
      </c>
      <c r="H2761">
        <v>0.695370735155538</v>
      </c>
      <c r="I2761">
        <v>2212.966145</v>
      </c>
      <c r="J2761">
        <v>18.91424055538462</v>
      </c>
      <c r="K2761">
        <v>0.6884858763916218</v>
      </c>
      <c r="L2761">
        <v>0.604841266946294</v>
      </c>
      <c r="M2761">
        <v>25.62</v>
      </c>
      <c r="N2761">
        <v>15.54</v>
      </c>
    </row>
    <row r="2762" spans="1:14">
      <c r="A2762" s="1" t="s">
        <v>2774</v>
      </c>
      <c r="B2762">
        <f>HYPERLINK("https://www.suredividend.com/sure-analysis-research-database/","Tidewater Inc.")</f>
        <v>0</v>
      </c>
      <c r="C2762" t="s">
        <v>3226</v>
      </c>
      <c r="D2762">
        <v>22.88</v>
      </c>
      <c r="E2762">
        <v>0</v>
      </c>
      <c r="H2762">
        <v>0</v>
      </c>
      <c r="I2762">
        <v>945.452325</v>
      </c>
      <c r="J2762" t="s">
        <v>3219</v>
      </c>
      <c r="K2762">
        <v>-0</v>
      </c>
      <c r="L2762">
        <v>-0.028289807172711</v>
      </c>
      <c r="M2762">
        <v>23.16</v>
      </c>
      <c r="N2762">
        <v>9.75</v>
      </c>
    </row>
    <row r="2763" spans="1:14">
      <c r="A2763" s="1" t="s">
        <v>2775</v>
      </c>
      <c r="B2763">
        <f>HYPERLINK("https://www.suredividend.com/sure-analysis-research-database/","Teledyne Technologies Inc")</f>
        <v>0</v>
      </c>
      <c r="C2763" t="s">
        <v>3222</v>
      </c>
      <c r="D2763">
        <v>480.24</v>
      </c>
      <c r="E2763">
        <v>0</v>
      </c>
      <c r="H2763">
        <v>0</v>
      </c>
      <c r="I2763">
        <v>22664.82643</v>
      </c>
      <c r="J2763">
        <v>50.89788104612621</v>
      </c>
      <c r="K2763">
        <v>0</v>
      </c>
      <c r="L2763">
        <v>0.9766951264471231</v>
      </c>
      <c r="M2763">
        <v>490.75</v>
      </c>
      <c r="N2763">
        <v>391.28</v>
      </c>
    </row>
    <row r="2764" spans="1:14">
      <c r="A2764" s="1" t="s">
        <v>2776</v>
      </c>
      <c r="B2764">
        <f>HYPERLINK("https://www.suredividend.com/sure-analysis-research-database/","Tech Data Corp.")</f>
        <v>0</v>
      </c>
      <c r="C2764" t="s">
        <v>3222</v>
      </c>
      <c r="D2764">
        <v>144.9</v>
      </c>
      <c r="E2764">
        <v>0</v>
      </c>
      <c r="H2764">
        <v>0</v>
      </c>
      <c r="I2764">
        <v>0</v>
      </c>
      <c r="J2764">
        <v>0</v>
      </c>
      <c r="K2764" t="s">
        <v>3219</v>
      </c>
    </row>
    <row r="2765" spans="1:14">
      <c r="A2765" s="1" t="s">
        <v>2777</v>
      </c>
      <c r="B2765">
        <f>HYPERLINK("https://www.suredividend.com/sure-analysis-research-database/","Bio-Techne Corp")</f>
        <v>0</v>
      </c>
      <c r="C2765" t="s">
        <v>3217</v>
      </c>
      <c r="D2765">
        <v>418.08</v>
      </c>
      <c r="E2765">
        <v>0.003058380335681</v>
      </c>
      <c r="F2765">
        <v>0</v>
      </c>
      <c r="G2765">
        <v>0</v>
      </c>
      <c r="H2765">
        <v>1.278647650741636</v>
      </c>
      <c r="I2765">
        <v>16425.633232</v>
      </c>
      <c r="J2765">
        <v>78.0570982047322</v>
      </c>
      <c r="K2765">
        <v>0.2492490547254651</v>
      </c>
      <c r="L2765">
        <v>1.237130610485544</v>
      </c>
      <c r="M2765">
        <v>543.09</v>
      </c>
      <c r="N2765">
        <v>347.62</v>
      </c>
    </row>
    <row r="2766" spans="1:14">
      <c r="A2766" s="1" t="s">
        <v>2778</v>
      </c>
      <c r="B2766">
        <f>HYPERLINK("https://www.suredividend.com/sure-analysis-research-database/","TE Connectivity Ltd")</f>
        <v>0</v>
      </c>
      <c r="C2766" t="s">
        <v>3222</v>
      </c>
      <c r="D2766">
        <v>120.88</v>
      </c>
      <c r="E2766">
        <v>0.016465311099156</v>
      </c>
      <c r="H2766">
        <v>1.990326805666054</v>
      </c>
      <c r="I2766">
        <v>39444.758352</v>
      </c>
      <c r="J2766">
        <v>16.12622990695012</v>
      </c>
      <c r="K2766">
        <v>0.270424837726366</v>
      </c>
      <c r="L2766">
        <v>1.338139227263461</v>
      </c>
      <c r="M2766">
        <v>165.81</v>
      </c>
      <c r="N2766">
        <v>120.75</v>
      </c>
    </row>
    <row r="2767" spans="1:14">
      <c r="A2767" s="1" t="s">
        <v>2779</v>
      </c>
      <c r="B2767">
        <f>HYPERLINK("https://www.suredividend.com/sure-analysis-research-database/","Tellurian Inc")</f>
        <v>0</v>
      </c>
      <c r="C2767" t="s">
        <v>3226</v>
      </c>
      <c r="D2767">
        <v>6.19</v>
      </c>
      <c r="E2767">
        <v>0</v>
      </c>
      <c r="H2767">
        <v>0</v>
      </c>
      <c r="I2767">
        <v>3209.474134</v>
      </c>
      <c r="J2767" t="s">
        <v>3219</v>
      </c>
      <c r="K2767">
        <v>-0</v>
      </c>
      <c r="L2767">
        <v>1.915261549006574</v>
      </c>
      <c r="M2767">
        <v>6.54</v>
      </c>
      <c r="N2767">
        <v>1.62</v>
      </c>
    </row>
    <row r="2768" spans="1:14">
      <c r="A2768" s="1" t="s">
        <v>2780</v>
      </c>
      <c r="B2768">
        <f>HYPERLINK("https://www.suredividend.com/sure-analysis-research-database/","Tenneco, Inc.")</f>
        <v>0</v>
      </c>
      <c r="C2768" t="s">
        <v>3223</v>
      </c>
      <c r="D2768">
        <v>18.05</v>
      </c>
      <c r="E2768">
        <v>0</v>
      </c>
      <c r="H2768">
        <v>0</v>
      </c>
      <c r="I2768">
        <v>1500.540452</v>
      </c>
      <c r="J2768">
        <v>42.87258433571429</v>
      </c>
      <c r="K2768">
        <v>0</v>
      </c>
      <c r="L2768">
        <v>0.345109816491764</v>
      </c>
      <c r="M2768">
        <v>22.75</v>
      </c>
      <c r="N2768">
        <v>9.51</v>
      </c>
    </row>
    <row r="2769" spans="1:14">
      <c r="A2769" s="1" t="s">
        <v>2781</v>
      </c>
      <c r="B2769">
        <f>HYPERLINK("https://www.suredividend.com/sure-analysis-research-database/","Tenable Holdings Inc")</f>
        <v>0</v>
      </c>
      <c r="C2769" t="s">
        <v>3222</v>
      </c>
      <c r="D2769">
        <v>60.99</v>
      </c>
      <c r="E2769">
        <v>0</v>
      </c>
      <c r="H2769">
        <v>0</v>
      </c>
      <c r="I2769">
        <v>6726.384308</v>
      </c>
      <c r="J2769" t="s">
        <v>3219</v>
      </c>
      <c r="K2769">
        <v>-0</v>
      </c>
      <c r="L2769">
        <v>1.362299251634504</v>
      </c>
      <c r="M2769">
        <v>63.61</v>
      </c>
      <c r="N2769">
        <v>35.53</v>
      </c>
    </row>
    <row r="2770" spans="1:14">
      <c r="A2770" s="1" t="s">
        <v>2782</v>
      </c>
      <c r="B2770">
        <f>HYPERLINK("https://www.suredividend.com/sure-analysis-research-database/","Tenax Therapeutics Inc")</f>
        <v>0</v>
      </c>
      <c r="C2770" t="s">
        <v>3217</v>
      </c>
      <c r="D2770">
        <v>0.7103</v>
      </c>
      <c r="E2770">
        <v>0</v>
      </c>
      <c r="H2770">
        <v>0</v>
      </c>
      <c r="I2770">
        <v>17.904471</v>
      </c>
      <c r="J2770">
        <v>0</v>
      </c>
      <c r="K2770" t="s">
        <v>3219</v>
      </c>
      <c r="L2770">
        <v>0.7638531490971061</v>
      </c>
      <c r="M2770">
        <v>2.3</v>
      </c>
      <c r="N2770">
        <v>0.5001</v>
      </c>
    </row>
    <row r="2771" spans="1:14">
      <c r="A2771" s="1" t="s">
        <v>2783</v>
      </c>
      <c r="B2771">
        <f>HYPERLINK("https://www.suredividend.com/sure-analysis-TER/","Teradyne, Inc.")</f>
        <v>0</v>
      </c>
      <c r="C2771" t="s">
        <v>3222</v>
      </c>
      <c r="D2771">
        <v>106.02</v>
      </c>
      <c r="E2771">
        <v>0.00415016034710432</v>
      </c>
      <c r="F2771">
        <v>0.09999999999999987</v>
      </c>
      <c r="G2771">
        <v>0.09460878422315755</v>
      </c>
      <c r="H2771">
        <v>0.409508138949411</v>
      </c>
      <c r="I2771">
        <v>17132.168633</v>
      </c>
      <c r="J2771">
        <v>16.88582138467892</v>
      </c>
      <c r="K2771">
        <v>0.07405210469247939</v>
      </c>
      <c r="L2771">
        <v>1.905027938385858</v>
      </c>
      <c r="M2771">
        <v>168.75</v>
      </c>
      <c r="N2771">
        <v>102.42</v>
      </c>
    </row>
    <row r="2772" spans="1:14">
      <c r="A2772" s="1" t="s">
        <v>2784</v>
      </c>
      <c r="B2772">
        <f>HYPERLINK("https://www.suredividend.com/sure-analysis-research-database/","Tessco Technologies, Inc.")</f>
        <v>0</v>
      </c>
      <c r="C2772" t="s">
        <v>3222</v>
      </c>
      <c r="D2772">
        <v>6.25</v>
      </c>
      <c r="E2772">
        <v>0</v>
      </c>
      <c r="H2772">
        <v>0</v>
      </c>
      <c r="I2772">
        <v>56.147288</v>
      </c>
      <c r="J2772" t="s">
        <v>3219</v>
      </c>
      <c r="K2772">
        <v>-0</v>
      </c>
      <c r="L2772">
        <v>0.6087469568939901</v>
      </c>
      <c r="M2772">
        <v>8.32</v>
      </c>
      <c r="N2772">
        <v>5.08</v>
      </c>
    </row>
    <row r="2773" spans="1:14">
      <c r="A2773" s="1" t="s">
        <v>2785</v>
      </c>
      <c r="B2773">
        <f>HYPERLINK("https://www.suredividend.com/sure-analysis-research-database/","Pareteum Corp")</f>
        <v>0</v>
      </c>
      <c r="C2773" t="s">
        <v>3228</v>
      </c>
      <c r="D2773">
        <v>0.012</v>
      </c>
      <c r="E2773">
        <v>0</v>
      </c>
      <c r="H2773">
        <v>0</v>
      </c>
      <c r="I2773">
        <v>1.712366</v>
      </c>
      <c r="J2773">
        <v>0</v>
      </c>
      <c r="K2773" t="s">
        <v>3219</v>
      </c>
      <c r="M2773">
        <v>0.51</v>
      </c>
      <c r="N2773">
        <v>0.0002</v>
      </c>
    </row>
    <row r="2774" spans="1:14">
      <c r="A2774" s="1" t="s">
        <v>2786</v>
      </c>
      <c r="B2774">
        <f>HYPERLINK("https://www.suredividend.com/sure-analysis-research-database/","Terex Corp.")</f>
        <v>0</v>
      </c>
      <c r="C2774" t="s">
        <v>3220</v>
      </c>
      <c r="D2774">
        <v>34.81</v>
      </c>
      <c r="E2774">
        <v>0.014013054576974</v>
      </c>
      <c r="H2774">
        <v>0.4877944298244991</v>
      </c>
      <c r="I2774">
        <v>2435.802215</v>
      </c>
      <c r="J2774">
        <v>11.0267189465369</v>
      </c>
      <c r="K2774">
        <v>0.1563443685334933</v>
      </c>
      <c r="L2774">
        <v>1.609724373972814</v>
      </c>
      <c r="M2774">
        <v>55</v>
      </c>
      <c r="N2774">
        <v>32.11</v>
      </c>
    </row>
    <row r="2775" spans="1:14">
      <c r="A2775" s="1" t="s">
        <v>2787</v>
      </c>
      <c r="B2775">
        <f>HYPERLINK("https://www.suredividend.com/sure-analysis-research-database/","TFS Financial Corporation")</f>
        <v>0</v>
      </c>
      <c r="C2775" t="s">
        <v>3221</v>
      </c>
      <c r="D2775">
        <v>15.35</v>
      </c>
      <c r="E2775">
        <v>0.07175716764498401</v>
      </c>
      <c r="F2775">
        <v>0.008928571428571397</v>
      </c>
      <c r="G2775">
        <v>0.1771225725456262</v>
      </c>
      <c r="H2775">
        <v>1.101472523350514</v>
      </c>
      <c r="I2775">
        <v>4311.057524</v>
      </c>
      <c r="J2775">
        <v>61.03720123955826</v>
      </c>
      <c r="K2775">
        <v>4.348490025071117</v>
      </c>
      <c r="L2775">
        <v>0.5647660580992371</v>
      </c>
      <c r="M2775">
        <v>21.29</v>
      </c>
      <c r="N2775">
        <v>15.16</v>
      </c>
    </row>
    <row r="2776" spans="1:14">
      <c r="A2776" s="1" t="s">
        <v>2788</v>
      </c>
      <c r="B2776">
        <f>HYPERLINK("https://www.suredividend.com/sure-analysis-research-database/","Teleflex Incorporated")</f>
        <v>0</v>
      </c>
      <c r="C2776" t="s">
        <v>3217</v>
      </c>
      <c r="D2776">
        <v>336.62</v>
      </c>
      <c r="E2776">
        <v>0.004034189895303001</v>
      </c>
      <c r="F2776">
        <v>0</v>
      </c>
      <c r="G2776">
        <v>0</v>
      </c>
      <c r="H2776">
        <v>1.357989002557127</v>
      </c>
      <c r="I2776">
        <v>15788.0516</v>
      </c>
      <c r="J2776">
        <v>32.52760057291903</v>
      </c>
      <c r="K2776">
        <v>0.1327457480505501</v>
      </c>
      <c r="L2776">
        <v>0.855127836484271</v>
      </c>
      <c r="M2776">
        <v>447.66</v>
      </c>
      <c r="N2776">
        <v>288.71</v>
      </c>
    </row>
    <row r="2777" spans="1:14">
      <c r="A2777" s="1" t="s">
        <v>2789</v>
      </c>
      <c r="B2777">
        <f>HYPERLINK("https://www.suredividend.com/sure-analysis-research-database/","Tredegar Corp.")</f>
        <v>0</v>
      </c>
      <c r="C2777" t="s">
        <v>3218</v>
      </c>
      <c r="D2777">
        <v>12.42</v>
      </c>
      <c r="E2777">
        <v>0.038084396533523</v>
      </c>
      <c r="F2777">
        <v>0</v>
      </c>
      <c r="G2777">
        <v>0.01755457717558762</v>
      </c>
      <c r="H2777">
        <v>0.473008204946363</v>
      </c>
      <c r="I2777">
        <v>419.095723</v>
      </c>
      <c r="J2777">
        <v>7.247530922768305</v>
      </c>
      <c r="K2777">
        <v>0.2750047703176529</v>
      </c>
      <c r="L2777">
        <v>0.799815203146913</v>
      </c>
      <c r="M2777">
        <v>15.62</v>
      </c>
      <c r="N2777">
        <v>10.49</v>
      </c>
    </row>
    <row r="2778" spans="1:14">
      <c r="A2778" s="1" t="s">
        <v>2790</v>
      </c>
      <c r="B2778">
        <f>HYPERLINK("https://www.suredividend.com/sure-analysis-research-database/","Tecogen Inc")</f>
        <v>0</v>
      </c>
      <c r="C2778" t="s">
        <v>3220</v>
      </c>
      <c r="D2778">
        <v>1.5</v>
      </c>
      <c r="E2778">
        <v>0</v>
      </c>
      <c r="H2778">
        <v>0</v>
      </c>
      <c r="I2778">
        <v>37.275219</v>
      </c>
      <c r="J2778">
        <v>0</v>
      </c>
      <c r="K2778" t="s">
        <v>3219</v>
      </c>
      <c r="M2778">
        <v>2.4</v>
      </c>
      <c r="N2778">
        <v>0.7000000000000001</v>
      </c>
    </row>
    <row r="2779" spans="1:14">
      <c r="A2779" s="1" t="s">
        <v>2791</v>
      </c>
      <c r="B2779">
        <f>HYPERLINK("https://www.suredividend.com/sure-analysis-research-database/","Triumph Group Inc.")</f>
        <v>0</v>
      </c>
      <c r="C2779" t="s">
        <v>3220</v>
      </c>
      <c r="D2779">
        <v>25.46</v>
      </c>
      <c r="E2779">
        <v>0</v>
      </c>
      <c r="H2779">
        <v>0</v>
      </c>
      <c r="I2779">
        <v>1645.004665</v>
      </c>
      <c r="J2779" t="s">
        <v>3219</v>
      </c>
      <c r="K2779">
        <v>-0</v>
      </c>
      <c r="L2779">
        <v>1.883426981792498</v>
      </c>
      <c r="M2779">
        <v>27.85</v>
      </c>
      <c r="N2779">
        <v>14.12</v>
      </c>
    </row>
    <row r="2780" spans="1:14">
      <c r="A2780" s="1" t="s">
        <v>2792</v>
      </c>
      <c r="B2780">
        <f>HYPERLINK("https://www.suredividend.com/sure-analysis-research-database/","Tecnoglass Inc")</f>
        <v>0</v>
      </c>
      <c r="C2780" t="s">
        <v>3220</v>
      </c>
      <c r="D2780">
        <v>23.47</v>
      </c>
      <c r="E2780">
        <v>0.007863536443539</v>
      </c>
      <c r="H2780">
        <v>0.184557200329875</v>
      </c>
      <c r="I2780">
        <v>1118.926922</v>
      </c>
      <c r="J2780">
        <v>0</v>
      </c>
      <c r="K2780" t="s">
        <v>3219</v>
      </c>
      <c r="L2780">
        <v>1.672132359903515</v>
      </c>
      <c r="M2780">
        <v>34.73</v>
      </c>
      <c r="N2780">
        <v>11.09</v>
      </c>
    </row>
    <row r="2781" spans="1:14">
      <c r="A2781" s="1" t="s">
        <v>2793</v>
      </c>
      <c r="B2781">
        <f>HYPERLINK("https://www.suredividend.com/sure-analysis-research-database/","TEGNA Inc")</f>
        <v>0</v>
      </c>
      <c r="C2781" t="s">
        <v>3228</v>
      </c>
      <c r="D2781">
        <v>22.44</v>
      </c>
      <c r="E2781">
        <v>0.016819692535716</v>
      </c>
      <c r="F2781">
        <v>0.357142857142857</v>
      </c>
      <c r="G2781">
        <v>0.06298004826234438</v>
      </c>
      <c r="H2781">
        <v>0.377433900501481</v>
      </c>
      <c r="I2781">
        <v>4971.439169</v>
      </c>
      <c r="J2781">
        <v>10.42328766739</v>
      </c>
      <c r="K2781">
        <v>0.1763709815427481</v>
      </c>
      <c r="L2781">
        <v>0.5976805197700821</v>
      </c>
      <c r="M2781">
        <v>22.96</v>
      </c>
      <c r="N2781">
        <v>16.27</v>
      </c>
    </row>
    <row r="2782" spans="1:14">
      <c r="A2782" s="1" t="s">
        <v>2794</v>
      </c>
      <c r="B2782">
        <f>HYPERLINK("https://www.suredividend.com/sure-analysis-TGT/","Target Corp")</f>
        <v>0</v>
      </c>
      <c r="C2782" t="s">
        <v>3225</v>
      </c>
      <c r="D2782">
        <v>237.2</v>
      </c>
      <c r="E2782">
        <v>0.01517706576728499</v>
      </c>
      <c r="F2782">
        <v>0.3235294117647058</v>
      </c>
      <c r="G2782">
        <v>0.08447177119769855</v>
      </c>
      <c r="H2782">
        <v>3.361634337115958</v>
      </c>
      <c r="I2782">
        <v>109685.56739</v>
      </c>
      <c r="J2782">
        <v>15.79118447883674</v>
      </c>
      <c r="K2782">
        <v>0.2384137827741814</v>
      </c>
      <c r="L2782">
        <v>0.8825852605117941</v>
      </c>
      <c r="M2782">
        <v>266.91</v>
      </c>
      <c r="N2782">
        <v>184</v>
      </c>
    </row>
    <row r="2783" spans="1:14">
      <c r="A2783" s="1" t="s">
        <v>2795</v>
      </c>
      <c r="B2783">
        <f>HYPERLINK("https://www.suredividend.com/sure-analysis-research-database/","TG Therapeutics Inc")</f>
        <v>0</v>
      </c>
      <c r="C2783" t="s">
        <v>3217</v>
      </c>
      <c r="D2783">
        <v>8.85</v>
      </c>
      <c r="E2783">
        <v>0</v>
      </c>
      <c r="H2783">
        <v>0</v>
      </c>
      <c r="I2783">
        <v>1263.933362</v>
      </c>
      <c r="J2783" t="s">
        <v>3219</v>
      </c>
      <c r="K2783">
        <v>-0</v>
      </c>
      <c r="L2783">
        <v>2.556671690443781</v>
      </c>
      <c r="M2783">
        <v>45.5</v>
      </c>
      <c r="N2783">
        <v>7.73</v>
      </c>
    </row>
    <row r="2784" spans="1:14">
      <c r="A2784" s="1" t="s">
        <v>2796</v>
      </c>
      <c r="B2784">
        <f>HYPERLINK("https://www.suredividend.com/sure-analysis-research-database/","Target Hospitality Corp")</f>
        <v>0</v>
      </c>
      <c r="C2784" t="s">
        <v>3226</v>
      </c>
      <c r="D2784">
        <v>5.87</v>
      </c>
      <c r="E2784">
        <v>0</v>
      </c>
      <c r="H2784">
        <v>0</v>
      </c>
      <c r="I2784">
        <v>596.356751</v>
      </c>
      <c r="J2784">
        <v>0</v>
      </c>
      <c r="K2784" t="s">
        <v>3219</v>
      </c>
      <c r="L2784">
        <v>0.426168445514097</v>
      </c>
      <c r="M2784">
        <v>6.35</v>
      </c>
      <c r="N2784">
        <v>2.23</v>
      </c>
    </row>
    <row r="2785" spans="1:14">
      <c r="A2785" s="1" t="s">
        <v>2797</v>
      </c>
      <c r="B2785">
        <f>HYPERLINK("https://www.suredividend.com/sure-analysis-research-database/","Tenet Healthcare Corp.")</f>
        <v>0</v>
      </c>
      <c r="C2785" t="s">
        <v>3217</v>
      </c>
      <c r="D2785">
        <v>85</v>
      </c>
      <c r="E2785">
        <v>0</v>
      </c>
      <c r="H2785">
        <v>0</v>
      </c>
      <c r="I2785">
        <v>9130.41984</v>
      </c>
      <c r="J2785">
        <v>9.989518424507658</v>
      </c>
      <c r="K2785">
        <v>0</v>
      </c>
      <c r="L2785">
        <v>1.348842942566984</v>
      </c>
      <c r="M2785">
        <v>92.65000000000001</v>
      </c>
      <c r="N2785">
        <v>50.78</v>
      </c>
    </row>
    <row r="2786" spans="1:14">
      <c r="A2786" s="1" t="s">
        <v>2798</v>
      </c>
      <c r="B2786">
        <f>HYPERLINK("https://www.suredividend.com/sure-analysis-THFF/","First Financial Corp. - Indiana")</f>
        <v>0</v>
      </c>
      <c r="C2786" t="s">
        <v>3221</v>
      </c>
      <c r="D2786">
        <v>43.07</v>
      </c>
      <c r="E2786">
        <v>0.02461109821221268</v>
      </c>
      <c r="H2786">
        <v>1.053815430429812</v>
      </c>
      <c r="I2786">
        <v>537.122783</v>
      </c>
      <c r="J2786">
        <v>10.13687853284768</v>
      </c>
      <c r="K2786">
        <v>0.2621431418979632</v>
      </c>
      <c r="L2786">
        <v>0.400175931103523</v>
      </c>
      <c r="M2786">
        <v>47.1</v>
      </c>
      <c r="N2786">
        <v>37.26</v>
      </c>
    </row>
    <row r="2787" spans="1:14">
      <c r="A2787" s="1" t="s">
        <v>2799</v>
      </c>
      <c r="B2787">
        <f>HYPERLINK("https://www.suredividend.com/sure-analysis-THG/","Hanover Insurance Group Inc")</f>
        <v>0</v>
      </c>
      <c r="C2787" t="s">
        <v>3221</v>
      </c>
      <c r="D2787">
        <v>150.62</v>
      </c>
      <c r="E2787">
        <v>0.01991767361572168</v>
      </c>
      <c r="F2787">
        <v>0.0714285714285714</v>
      </c>
      <c r="G2787">
        <v>0.06790716584560208</v>
      </c>
      <c r="H2787">
        <v>2.877008216864555</v>
      </c>
      <c r="I2787">
        <v>5357.002733</v>
      </c>
      <c r="J2787">
        <v>12.79437003410556</v>
      </c>
      <c r="K2787">
        <v>0.2501746275534396</v>
      </c>
      <c r="L2787">
        <v>0.6895857257701931</v>
      </c>
      <c r="M2787">
        <v>154.98</v>
      </c>
      <c r="N2787">
        <v>120.34</v>
      </c>
    </row>
    <row r="2788" spans="1:14">
      <c r="A2788" s="1" t="s">
        <v>2800</v>
      </c>
      <c r="B2788">
        <f>HYPERLINK("https://www.suredividend.com/sure-analysis-THO/","Thor Industries, Inc.")</f>
        <v>0</v>
      </c>
      <c r="C2788" t="s">
        <v>3223</v>
      </c>
      <c r="D2788">
        <v>79.98999999999999</v>
      </c>
      <c r="E2788">
        <v>0.0215026878359795</v>
      </c>
      <c r="F2788">
        <v>0.04878048780487787</v>
      </c>
      <c r="G2788">
        <v>0.05436481112522373</v>
      </c>
      <c r="H2788">
        <v>1.688125790715791</v>
      </c>
      <c r="I2788">
        <v>4401.869218</v>
      </c>
      <c r="J2788">
        <v>4.77218608561786</v>
      </c>
      <c r="K2788">
        <v>0.1020632279755617</v>
      </c>
      <c r="L2788">
        <v>1.027640066685315</v>
      </c>
      <c r="M2788">
        <v>145.56</v>
      </c>
      <c r="N2788">
        <v>76.36</v>
      </c>
    </row>
    <row r="2789" spans="1:14">
      <c r="A2789" s="1" t="s">
        <v>2801</v>
      </c>
      <c r="B2789">
        <f>HYPERLINK("https://www.suredividend.com/sure-analysis-research-database/","Thermon Group Holdings Inc")</f>
        <v>0</v>
      </c>
      <c r="C2789" t="s">
        <v>3220</v>
      </c>
      <c r="D2789">
        <v>15.87</v>
      </c>
      <c r="E2789">
        <v>0</v>
      </c>
      <c r="H2789">
        <v>0</v>
      </c>
      <c r="I2789">
        <v>529.269436</v>
      </c>
      <c r="J2789">
        <v>44.66031858661716</v>
      </c>
      <c r="K2789">
        <v>0</v>
      </c>
      <c r="L2789">
        <v>0.895037988370305</v>
      </c>
      <c r="M2789">
        <v>20.35</v>
      </c>
      <c r="N2789">
        <v>15.31</v>
      </c>
    </row>
    <row r="2790" spans="1:14">
      <c r="A2790" s="1" t="s">
        <v>2802</v>
      </c>
      <c r="B2790">
        <f>HYPERLINK("https://www.suredividend.com/sure-analysis-research-database/","Gentherm Inc")</f>
        <v>0</v>
      </c>
      <c r="C2790" t="s">
        <v>3223</v>
      </c>
      <c r="D2790">
        <v>69.09</v>
      </c>
      <c r="E2790">
        <v>0</v>
      </c>
      <c r="H2790">
        <v>0</v>
      </c>
      <c r="I2790">
        <v>2281.457922</v>
      </c>
      <c r="J2790">
        <v>24.4178556225785</v>
      </c>
      <c r="K2790">
        <v>0</v>
      </c>
      <c r="L2790">
        <v>1.233855937573269</v>
      </c>
      <c r="M2790">
        <v>99</v>
      </c>
      <c r="N2790">
        <v>61.15</v>
      </c>
    </row>
    <row r="2791" spans="1:14">
      <c r="A2791" s="1" t="s">
        <v>2803</v>
      </c>
      <c r="B2791">
        <f>HYPERLINK("https://www.suredividend.com/sure-analysis-research-database/","Treehouse Foods Inc")</f>
        <v>0</v>
      </c>
      <c r="C2791" t="s">
        <v>3225</v>
      </c>
      <c r="D2791">
        <v>33.72</v>
      </c>
      <c r="E2791">
        <v>0</v>
      </c>
      <c r="H2791">
        <v>0</v>
      </c>
      <c r="I2791">
        <v>1881.413402</v>
      </c>
      <c r="J2791" t="s">
        <v>3219</v>
      </c>
      <c r="K2791">
        <v>-0</v>
      </c>
      <c r="L2791">
        <v>0.429958991952941</v>
      </c>
      <c r="M2791">
        <v>52.17</v>
      </c>
      <c r="N2791">
        <v>29.47</v>
      </c>
    </row>
    <row r="2792" spans="1:14">
      <c r="A2792" s="1" t="s">
        <v>2804</v>
      </c>
      <c r="B2792">
        <f>HYPERLINK("https://www.suredividend.com/sure-analysis-research-database/","Tiffany &amp; Co.")</f>
        <v>0</v>
      </c>
      <c r="C2792" t="s">
        <v>3223</v>
      </c>
      <c r="D2792">
        <v>131.46</v>
      </c>
      <c r="E2792">
        <v>0.017524473752942</v>
      </c>
      <c r="H2792">
        <v>2.303767319561764</v>
      </c>
      <c r="I2792">
        <v>15960.711882</v>
      </c>
      <c r="J2792">
        <v>55.5155195908174</v>
      </c>
      <c r="K2792">
        <v>0.9761725930346458</v>
      </c>
      <c r="L2792">
        <v>0.243947514158117</v>
      </c>
      <c r="M2792">
        <v>131.77</v>
      </c>
      <c r="N2792">
        <v>109.07</v>
      </c>
    </row>
    <row r="2793" spans="1:14">
      <c r="A2793" s="1" t="s">
        <v>2805</v>
      </c>
      <c r="B2793">
        <f>HYPERLINK("https://www.suredividend.com/sure-analysis-research-database/","Interface Inc.")</f>
        <v>0</v>
      </c>
      <c r="C2793" t="s">
        <v>3223</v>
      </c>
      <c r="D2793">
        <v>12.73</v>
      </c>
      <c r="E2793">
        <v>0.003138783957683</v>
      </c>
      <c r="F2793">
        <v>0</v>
      </c>
      <c r="G2793">
        <v>-0.3011728812284208</v>
      </c>
      <c r="H2793">
        <v>0.03995671978130801</v>
      </c>
      <c r="I2793">
        <v>755.278092</v>
      </c>
      <c r="J2793">
        <v>13.67415165387262</v>
      </c>
      <c r="K2793">
        <v>0.04266145609791587</v>
      </c>
      <c r="L2793">
        <v>1.45395224708516</v>
      </c>
      <c r="M2793">
        <v>18</v>
      </c>
      <c r="N2793">
        <v>11.86</v>
      </c>
    </row>
    <row r="2794" spans="1:14">
      <c r="A2794" s="1" t="s">
        <v>2806</v>
      </c>
      <c r="B2794">
        <f>HYPERLINK("https://www.suredividend.com/sure-analysis-research-database/","Tiptree Inc")</f>
        <v>0</v>
      </c>
      <c r="C2794" t="s">
        <v>3221</v>
      </c>
      <c r="D2794">
        <v>12.2</v>
      </c>
      <c r="E2794">
        <v>0.013055832635838</v>
      </c>
      <c r="H2794">
        <v>0.159281158157227</v>
      </c>
      <c r="I2794">
        <v>413.583318</v>
      </c>
      <c r="J2794">
        <v>0</v>
      </c>
      <c r="K2794" t="s">
        <v>3219</v>
      </c>
      <c r="L2794">
        <v>1.370446406649799</v>
      </c>
      <c r="M2794">
        <v>17.2</v>
      </c>
      <c r="N2794">
        <v>7.94</v>
      </c>
    </row>
    <row r="2795" spans="1:14">
      <c r="A2795" s="1" t="s">
        <v>2807</v>
      </c>
      <c r="B2795">
        <f>HYPERLINK("https://www.suredividend.com/sure-analysis-research-database/","Team, Inc.")</f>
        <v>0</v>
      </c>
      <c r="C2795" t="s">
        <v>3220</v>
      </c>
      <c r="D2795">
        <v>2.04</v>
      </c>
      <c r="E2795">
        <v>0</v>
      </c>
      <c r="H2795">
        <v>0</v>
      </c>
      <c r="I2795">
        <v>87.973698</v>
      </c>
      <c r="J2795" t="s">
        <v>3219</v>
      </c>
      <c r="K2795">
        <v>-0</v>
      </c>
      <c r="L2795">
        <v>1.797638027635909</v>
      </c>
      <c r="M2795">
        <v>10.87</v>
      </c>
      <c r="N2795">
        <v>0.52</v>
      </c>
    </row>
    <row r="2796" spans="1:14">
      <c r="A2796" s="1" t="s">
        <v>2808</v>
      </c>
      <c r="B2796">
        <f>HYPERLINK("https://www.suredividend.com/sure-analysis-research-database/","Titan Machinery Inc")</f>
        <v>0</v>
      </c>
      <c r="C2796" t="s">
        <v>3220</v>
      </c>
      <c r="D2796">
        <v>25.9</v>
      </c>
      <c r="E2796">
        <v>0</v>
      </c>
      <c r="H2796">
        <v>0</v>
      </c>
      <c r="I2796">
        <v>0.00057</v>
      </c>
      <c r="J2796">
        <v>8.756723528e-06</v>
      </c>
      <c r="K2796">
        <v>0</v>
      </c>
      <c r="L2796">
        <v>1.400106129813566</v>
      </c>
      <c r="M2796">
        <v>38.58</v>
      </c>
      <c r="N2796">
        <v>23.83</v>
      </c>
    </row>
    <row r="2797" spans="1:14">
      <c r="A2797" s="1" t="s">
        <v>2809</v>
      </c>
      <c r="B2797">
        <f>HYPERLINK("https://www.suredividend.com/sure-analysis-TJX/","TJX Companies, Inc.")</f>
        <v>0</v>
      </c>
      <c r="C2797" t="s">
        <v>3223</v>
      </c>
      <c r="D2797">
        <v>62.71</v>
      </c>
      <c r="E2797">
        <v>0.01881677563387019</v>
      </c>
      <c r="H2797">
        <v>1.034253939598652</v>
      </c>
      <c r="I2797">
        <v>73698.55534200001</v>
      </c>
      <c r="J2797">
        <v>22.44980461661409</v>
      </c>
      <c r="K2797">
        <v>0.3830570146661674</v>
      </c>
      <c r="L2797">
        <v>1.129628506899055</v>
      </c>
      <c r="M2797">
        <v>77.06</v>
      </c>
      <c r="N2797">
        <v>57.92</v>
      </c>
    </row>
    <row r="2798" spans="1:14">
      <c r="A2798" s="1" t="s">
        <v>2810</v>
      </c>
      <c r="B2798">
        <f>HYPERLINK("https://www.suredividend.com/sure-analysis-research-database/","Timken Co.")</f>
        <v>0</v>
      </c>
      <c r="C2798" t="s">
        <v>3220</v>
      </c>
      <c r="D2798">
        <v>58.96</v>
      </c>
      <c r="E2798">
        <v>0.020224411617552</v>
      </c>
      <c r="F2798">
        <v>0.03448275862068995</v>
      </c>
      <c r="G2798">
        <v>0.02129568760013512</v>
      </c>
      <c r="H2798">
        <v>1.192431308970923</v>
      </c>
      <c r="I2798">
        <v>4417.907527</v>
      </c>
      <c r="J2798">
        <v>11.96940538455703</v>
      </c>
      <c r="K2798">
        <v>0.2489418181567689</v>
      </c>
      <c r="L2798">
        <v>1.108944128392139</v>
      </c>
      <c r="M2798">
        <v>90.92</v>
      </c>
      <c r="N2798">
        <v>55.32</v>
      </c>
    </row>
    <row r="2799" spans="1:14">
      <c r="A2799" s="1" t="s">
        <v>2811</v>
      </c>
      <c r="B2799">
        <f>HYPERLINK("https://www.suredividend.com/sure-analysis-research-database/","Tandy Leather Factory, Inc.")</f>
        <v>0</v>
      </c>
      <c r="C2799" t="s">
        <v>3223</v>
      </c>
      <c r="D2799">
        <v>3</v>
      </c>
      <c r="E2799">
        <v>0</v>
      </c>
      <c r="H2799">
        <v>0</v>
      </c>
      <c r="I2799">
        <v>0</v>
      </c>
      <c r="J2799">
        <v>0</v>
      </c>
      <c r="K2799" t="s">
        <v>3219</v>
      </c>
    </row>
    <row r="2800" spans="1:14">
      <c r="A2800" s="1" t="s">
        <v>2812</v>
      </c>
      <c r="B2800">
        <f>HYPERLINK("https://www.suredividend.com/sure-analysis-research-database/","Teligent Inc")</f>
        <v>0</v>
      </c>
      <c r="C2800" t="s">
        <v>3217</v>
      </c>
      <c r="D2800">
        <v>0.1735</v>
      </c>
      <c r="E2800">
        <v>0</v>
      </c>
      <c r="H2800">
        <v>0</v>
      </c>
      <c r="I2800">
        <v>0</v>
      </c>
      <c r="J2800">
        <v>0</v>
      </c>
      <c r="K2800" t="s">
        <v>3219</v>
      </c>
    </row>
    <row r="2801" spans="1:14">
      <c r="A2801" s="1" t="s">
        <v>2813</v>
      </c>
      <c r="B2801">
        <f>HYPERLINK("https://www.suredividend.com/sure-analysis-research-database/","Tillys Inc")</f>
        <v>0</v>
      </c>
      <c r="C2801" t="s">
        <v>3223</v>
      </c>
      <c r="D2801">
        <v>9.029999999999999</v>
      </c>
      <c r="E2801">
        <v>0</v>
      </c>
      <c r="H2801">
        <v>0</v>
      </c>
      <c r="I2801">
        <v>209.628019</v>
      </c>
      <c r="J2801">
        <v>3.43303558022993</v>
      </c>
      <c r="K2801">
        <v>0</v>
      </c>
      <c r="L2801">
        <v>1.560642249673206</v>
      </c>
      <c r="M2801">
        <v>16.95</v>
      </c>
      <c r="N2801">
        <v>8.76</v>
      </c>
    </row>
    <row r="2802" spans="1:14">
      <c r="A2802" s="1" t="s">
        <v>2814</v>
      </c>
      <c r="B2802">
        <f>HYPERLINK("https://www.suredividend.com/sure-analysis-research-database/","Transmedics Group Inc")</f>
        <v>0</v>
      </c>
      <c r="C2802" t="s">
        <v>3217</v>
      </c>
      <c r="D2802">
        <v>23.48</v>
      </c>
      <c r="E2802">
        <v>0</v>
      </c>
      <c r="H2802">
        <v>0</v>
      </c>
      <c r="I2802">
        <v>656.54668</v>
      </c>
      <c r="J2802">
        <v>0</v>
      </c>
      <c r="K2802" t="s">
        <v>3219</v>
      </c>
      <c r="M2802">
        <v>35.37</v>
      </c>
      <c r="N2802">
        <v>10</v>
      </c>
    </row>
    <row r="2803" spans="1:14">
      <c r="A2803" s="1" t="s">
        <v>2815</v>
      </c>
      <c r="B2803">
        <f>HYPERLINK("https://www.suredividend.com/sure-analysis-research-database/","Taylor Morrison Home Corp.")</f>
        <v>0</v>
      </c>
      <c r="C2803" t="s">
        <v>3223</v>
      </c>
      <c r="D2803">
        <v>26.83</v>
      </c>
      <c r="E2803">
        <v>0</v>
      </c>
      <c r="H2803">
        <v>0</v>
      </c>
      <c r="I2803">
        <v>3229.518917</v>
      </c>
      <c r="J2803">
        <v>4.870878241351019</v>
      </c>
      <c r="K2803">
        <v>0</v>
      </c>
      <c r="L2803">
        <v>1.554899762522664</v>
      </c>
      <c r="M2803">
        <v>35.51</v>
      </c>
      <c r="N2803">
        <v>22.64</v>
      </c>
    </row>
    <row r="2804" spans="1:14">
      <c r="A2804" s="1" t="s">
        <v>2816</v>
      </c>
      <c r="B2804">
        <f>HYPERLINK("https://www.suredividend.com/sure-analysis-TMO/","Thermo Fisher Scientific Inc.")</f>
        <v>0</v>
      </c>
      <c r="C2804" t="s">
        <v>3217</v>
      </c>
      <c r="D2804">
        <v>568.9</v>
      </c>
      <c r="E2804">
        <v>0.002109333802074178</v>
      </c>
      <c r="F2804">
        <v>0.153846153846154</v>
      </c>
      <c r="G2804">
        <v>0.1486983549970351</v>
      </c>
      <c r="H2804">
        <v>1.079233349016413</v>
      </c>
      <c r="I2804">
        <v>222689.925292</v>
      </c>
      <c r="J2804">
        <v>28.82717479509385</v>
      </c>
      <c r="K2804">
        <v>0.05545906212828432</v>
      </c>
      <c r="L2804">
        <v>0.685818764724285</v>
      </c>
      <c r="M2804">
        <v>671.96</v>
      </c>
      <c r="N2804">
        <v>437.85</v>
      </c>
    </row>
    <row r="2805" spans="1:14">
      <c r="A2805" s="1" t="s">
        <v>2817</v>
      </c>
      <c r="B2805">
        <f>HYPERLINK("https://www.suredividend.com/sure-analysis-TMP/","Tompkins Financial Corp")</f>
        <v>0</v>
      </c>
      <c r="C2805" t="s">
        <v>3221</v>
      </c>
      <c r="D2805">
        <v>76.94</v>
      </c>
      <c r="E2805">
        <v>0.02963348063426046</v>
      </c>
      <c r="F2805">
        <v>0.05555555555555558</v>
      </c>
      <c r="G2805">
        <v>0.04841317128472156</v>
      </c>
      <c r="H2805">
        <v>2.197063883409072</v>
      </c>
      <c r="I2805">
        <v>1128.72565</v>
      </c>
      <c r="J2805">
        <v>12.73252546153933</v>
      </c>
      <c r="K2805">
        <v>0.3631510551089375</v>
      </c>
      <c r="L2805">
        <v>0.762315565606773</v>
      </c>
      <c r="M2805">
        <v>85.8</v>
      </c>
      <c r="N2805">
        <v>71.65000000000001</v>
      </c>
    </row>
    <row r="2806" spans="1:14">
      <c r="A2806" s="1" t="s">
        <v>2818</v>
      </c>
      <c r="B2806">
        <f>HYPERLINK("https://www.suredividend.com/sure-analysis-research-database/","TimkenSteel Corp")</f>
        <v>0</v>
      </c>
      <c r="C2806" t="s">
        <v>3218</v>
      </c>
      <c r="D2806">
        <v>22.67</v>
      </c>
      <c r="E2806">
        <v>0</v>
      </c>
      <c r="H2806">
        <v>0</v>
      </c>
      <c r="I2806">
        <v>1051.472504</v>
      </c>
      <c r="J2806">
        <v>6.148962013099416</v>
      </c>
      <c r="K2806">
        <v>0</v>
      </c>
      <c r="L2806">
        <v>1.581347936729875</v>
      </c>
      <c r="M2806">
        <v>24.1</v>
      </c>
      <c r="N2806">
        <v>10.52</v>
      </c>
    </row>
    <row r="2807" spans="1:14">
      <c r="A2807" s="1" t="s">
        <v>2819</v>
      </c>
      <c r="B2807">
        <f>HYPERLINK("https://www.suredividend.com/sure-analysis-research-database/","T-Mobile US Inc")</f>
        <v>0</v>
      </c>
      <c r="C2807" t="s">
        <v>3228</v>
      </c>
      <c r="D2807">
        <v>132.96</v>
      </c>
      <c r="E2807">
        <v>0</v>
      </c>
      <c r="H2807">
        <v>0</v>
      </c>
      <c r="I2807">
        <v>166105.592284</v>
      </c>
      <c r="J2807">
        <v>54.92909797746032</v>
      </c>
      <c r="K2807">
        <v>0</v>
      </c>
      <c r="L2807">
        <v>0.61212015562995</v>
      </c>
      <c r="M2807">
        <v>150.2</v>
      </c>
      <c r="N2807">
        <v>101.51</v>
      </c>
    </row>
    <row r="2808" spans="1:14">
      <c r="A2808" s="1" t="s">
        <v>2820</v>
      </c>
      <c r="B2808">
        <f>HYPERLINK("https://www.suredividend.com/sure-analysis-research-database/","Telenav Inc")</f>
        <v>0</v>
      </c>
      <c r="C2808" t="s">
        <v>3222</v>
      </c>
      <c r="D2808">
        <v>4.79</v>
      </c>
      <c r="E2808">
        <v>0</v>
      </c>
      <c r="H2808">
        <v>0</v>
      </c>
      <c r="I2808">
        <v>0</v>
      </c>
      <c r="J2808">
        <v>0</v>
      </c>
      <c r="K2808">
        <v>-0</v>
      </c>
    </row>
    <row r="2809" spans="1:14">
      <c r="A2809" s="1" t="s">
        <v>2821</v>
      </c>
      <c r="B2809">
        <f>HYPERLINK("https://www.suredividend.com/sure-analysis-TNC/","Tennant Co.")</f>
        <v>0</v>
      </c>
      <c r="C2809" t="s">
        <v>3220</v>
      </c>
      <c r="D2809">
        <v>71.28</v>
      </c>
      <c r="E2809">
        <v>0.01402918069584736</v>
      </c>
      <c r="F2809">
        <v>0.08695652173913038</v>
      </c>
      <c r="G2809">
        <v>0.03548578845590522</v>
      </c>
      <c r="H2809">
        <v>0.9555719594597281</v>
      </c>
      <c r="I2809">
        <v>1323.917155</v>
      </c>
      <c r="J2809">
        <v>20.39933983728813</v>
      </c>
      <c r="K2809">
        <v>0.2777825463545721</v>
      </c>
      <c r="L2809">
        <v>0.8377009403092091</v>
      </c>
      <c r="M2809">
        <v>86.34</v>
      </c>
      <c r="N2809">
        <v>69.7</v>
      </c>
    </row>
    <row r="2810" spans="1:14">
      <c r="A2810" s="1" t="s">
        <v>2822</v>
      </c>
      <c r="B2810">
        <f>HYPERLINK("https://www.suredividend.com/sure-analysis-research-database/","Tandem Diabetes Care Inc")</f>
        <v>0</v>
      </c>
      <c r="C2810" t="s">
        <v>3217</v>
      </c>
      <c r="D2810">
        <v>115.32</v>
      </c>
      <c r="E2810">
        <v>0</v>
      </c>
      <c r="H2810">
        <v>0</v>
      </c>
      <c r="I2810">
        <v>7373.457935</v>
      </c>
      <c r="J2810">
        <v>473.6899611049724</v>
      </c>
      <c r="K2810">
        <v>0</v>
      </c>
      <c r="L2810">
        <v>1.202564640962673</v>
      </c>
      <c r="M2810">
        <v>155.86</v>
      </c>
      <c r="N2810">
        <v>76.19</v>
      </c>
    </row>
    <row r="2811" spans="1:14">
      <c r="A2811" s="1" t="s">
        <v>2823</v>
      </c>
      <c r="B2811">
        <f>HYPERLINK("https://www.suredividend.com/sure-analysis-research-database/","TriNet Group Inc")</f>
        <v>0</v>
      </c>
      <c r="C2811" t="s">
        <v>3220</v>
      </c>
      <c r="D2811">
        <v>96</v>
      </c>
      <c r="E2811">
        <v>0</v>
      </c>
      <c r="H2811">
        <v>0</v>
      </c>
      <c r="I2811">
        <v>5976.854016</v>
      </c>
      <c r="J2811">
        <v>17.68300004733728</v>
      </c>
      <c r="K2811">
        <v>0</v>
      </c>
      <c r="L2811">
        <v>0.9102372504754631</v>
      </c>
      <c r="M2811">
        <v>109.4</v>
      </c>
      <c r="N2811">
        <v>69.43000000000001</v>
      </c>
    </row>
    <row r="2812" spans="1:14">
      <c r="A2812" s="1" t="s">
        <v>2824</v>
      </c>
      <c r="B2812">
        <f>HYPERLINK("https://www.suredividend.com/sure-analysis-research-database/","Tonix Pharmaceuticals Holding Corp")</f>
        <v>0</v>
      </c>
      <c r="C2812" t="s">
        <v>3217</v>
      </c>
      <c r="D2812">
        <v>0.1879</v>
      </c>
      <c r="E2812">
        <v>0</v>
      </c>
      <c r="H2812">
        <v>0</v>
      </c>
      <c r="I2812">
        <v>100.325188</v>
      </c>
      <c r="J2812">
        <v>0</v>
      </c>
      <c r="K2812" t="s">
        <v>3219</v>
      </c>
      <c r="L2812">
        <v>1.251552503302126</v>
      </c>
      <c r="M2812">
        <v>1.42</v>
      </c>
      <c r="N2812">
        <v>0.15</v>
      </c>
    </row>
    <row r="2813" spans="1:14">
      <c r="A2813" s="1" t="s">
        <v>2825</v>
      </c>
      <c r="B2813">
        <f>HYPERLINK("https://www.suredividend.com/sure-analysis-research-database/","Toll Brothers Inc.")</f>
        <v>0</v>
      </c>
      <c r="C2813" t="s">
        <v>3223</v>
      </c>
      <c r="D2813">
        <v>46.18</v>
      </c>
      <c r="E2813">
        <v>0.015298109285541</v>
      </c>
      <c r="F2813">
        <v>0.1764705882352942</v>
      </c>
      <c r="G2813">
        <v>0.2011244339814313</v>
      </c>
      <c r="H2813">
        <v>0.7064666868063161</v>
      </c>
      <c r="I2813">
        <v>5416.86782</v>
      </c>
      <c r="J2813">
        <v>6.092995325252634</v>
      </c>
      <c r="K2813">
        <v>0.09908368678910465</v>
      </c>
      <c r="L2813">
        <v>1.592727829296114</v>
      </c>
      <c r="M2813">
        <v>75.09999999999999</v>
      </c>
      <c r="N2813">
        <v>44.84</v>
      </c>
    </row>
    <row r="2814" spans="1:14">
      <c r="A2814" s="1" t="s">
        <v>2826</v>
      </c>
      <c r="B2814">
        <f>HYPERLINK("https://www.suredividend.com/sure-analysis-research-database/","Townebank Portsmouth VA")</f>
        <v>0</v>
      </c>
      <c r="C2814" t="s">
        <v>3221</v>
      </c>
      <c r="D2814">
        <v>28.99</v>
      </c>
      <c r="E2814">
        <v>0.027328776552433</v>
      </c>
      <c r="F2814">
        <v>0.1111111111111112</v>
      </c>
      <c r="G2814">
        <v>0.07394092378577932</v>
      </c>
      <c r="H2814">
        <v>0.7922612322550411</v>
      </c>
      <c r="I2814">
        <v>1498.164556</v>
      </c>
      <c r="J2814">
        <v>0</v>
      </c>
      <c r="K2814" t="s">
        <v>3219</v>
      </c>
      <c r="L2814">
        <v>0.8420803854262011</v>
      </c>
      <c r="M2814">
        <v>34.56</v>
      </c>
      <c r="N2814">
        <v>27.39</v>
      </c>
    </row>
    <row r="2815" spans="1:14">
      <c r="A2815" s="1" t="s">
        <v>2827</v>
      </c>
      <c r="B2815">
        <f>HYPERLINK("https://www.suredividend.com/sure-analysis-research-database/","Turning Point Brands Inc")</f>
        <v>0</v>
      </c>
      <c r="C2815" t="s">
        <v>3225</v>
      </c>
      <c r="D2815">
        <v>31</v>
      </c>
      <c r="E2815">
        <v>0.007240002812793</v>
      </c>
      <c r="H2815">
        <v>0.224440087196587</v>
      </c>
      <c r="I2815">
        <v>566.33714</v>
      </c>
      <c r="J2815">
        <v>0</v>
      </c>
      <c r="K2815" t="s">
        <v>3219</v>
      </c>
      <c r="L2815">
        <v>0.524443888436084</v>
      </c>
      <c r="M2815">
        <v>54.24</v>
      </c>
      <c r="N2815">
        <v>28.98</v>
      </c>
    </row>
    <row r="2816" spans="1:14">
      <c r="A2816" s="1" t="s">
        <v>2828</v>
      </c>
      <c r="B2816">
        <f>HYPERLINK("https://www.suredividend.com/sure-analysis-research-database/","Tutor Perini Corp")</f>
        <v>0</v>
      </c>
      <c r="C2816" t="s">
        <v>3220</v>
      </c>
      <c r="D2816">
        <v>10.31</v>
      </c>
      <c r="E2816">
        <v>0</v>
      </c>
      <c r="H2816">
        <v>0</v>
      </c>
      <c r="I2816">
        <v>526.956101</v>
      </c>
      <c r="J2816">
        <v>5.732456903345119</v>
      </c>
      <c r="K2816">
        <v>0</v>
      </c>
      <c r="L2816">
        <v>1.056646832020525</v>
      </c>
      <c r="M2816">
        <v>17.62</v>
      </c>
      <c r="N2816">
        <v>9.19</v>
      </c>
    </row>
    <row r="2817" spans="1:14">
      <c r="A2817" s="1" t="s">
        <v>2829</v>
      </c>
      <c r="B2817">
        <f>HYPERLINK("https://www.suredividend.com/sure-analysis-research-database/","Tribune Publishing Co")</f>
        <v>0</v>
      </c>
      <c r="C2817" t="s">
        <v>3228</v>
      </c>
      <c r="D2817">
        <v>17.26</v>
      </c>
      <c r="E2817">
        <v>0</v>
      </c>
      <c r="H2817">
        <v>0</v>
      </c>
      <c r="I2817">
        <v>0</v>
      </c>
      <c r="J2817">
        <v>0</v>
      </c>
      <c r="K2817">
        <v>0</v>
      </c>
    </row>
    <row r="2818" spans="1:14">
      <c r="A2818" s="1" t="s">
        <v>2830</v>
      </c>
      <c r="B2818">
        <f>HYPERLINK("https://www.suredividend.com/sure-analysis-research-database/","Tri Pointe Homes Inc.")</f>
        <v>0</v>
      </c>
      <c r="C2818" t="s">
        <v>3223</v>
      </c>
      <c r="D2818">
        <v>19.92</v>
      </c>
      <c r="E2818">
        <v>0</v>
      </c>
      <c r="H2818">
        <v>0</v>
      </c>
      <c r="I2818">
        <v>2142.863144</v>
      </c>
      <c r="J2818">
        <v>4.566404933481365</v>
      </c>
      <c r="K2818">
        <v>0</v>
      </c>
      <c r="L2818">
        <v>1.441245930363885</v>
      </c>
      <c r="M2818">
        <v>28.29</v>
      </c>
      <c r="N2818">
        <v>18.5</v>
      </c>
    </row>
    <row r="2819" spans="1:14">
      <c r="A2819" s="1" t="s">
        <v>2831</v>
      </c>
      <c r="B2819">
        <f>HYPERLINK("https://www.suredividend.com/sure-analysis-research-database/","Trinity Place Holdings Inc")</f>
        <v>0</v>
      </c>
      <c r="C2819" t="s">
        <v>3224</v>
      </c>
      <c r="D2819">
        <v>1.58</v>
      </c>
      <c r="E2819">
        <v>0</v>
      </c>
      <c r="H2819">
        <v>0</v>
      </c>
      <c r="I2819">
        <v>58.201111</v>
      </c>
      <c r="J2819">
        <v>0</v>
      </c>
      <c r="K2819" t="s">
        <v>3219</v>
      </c>
      <c r="L2819">
        <v>0.736367056931242</v>
      </c>
      <c r="M2819">
        <v>2.98</v>
      </c>
      <c r="N2819">
        <v>1.56</v>
      </c>
    </row>
    <row r="2820" spans="1:14">
      <c r="A2820" s="1" t="s">
        <v>2832</v>
      </c>
      <c r="B2820">
        <f>HYPERLINK("https://www.suredividend.com/sure-analysis-research-database/","TPI Composites Inc")</f>
        <v>0</v>
      </c>
      <c r="C2820" t="s">
        <v>3220</v>
      </c>
      <c r="D2820">
        <v>12.87</v>
      </c>
      <c r="E2820">
        <v>0</v>
      </c>
      <c r="H2820">
        <v>0</v>
      </c>
      <c r="I2820">
        <v>479.509482</v>
      </c>
      <c r="J2820" t="s">
        <v>3219</v>
      </c>
      <c r="K2820">
        <v>-0</v>
      </c>
      <c r="L2820">
        <v>1.286145656559389</v>
      </c>
      <c r="M2820">
        <v>59.63</v>
      </c>
      <c r="N2820">
        <v>9.23</v>
      </c>
    </row>
    <row r="2821" spans="1:14">
      <c r="A2821" s="1" t="s">
        <v>2833</v>
      </c>
      <c r="B2821">
        <f>HYPERLINK("https://www.suredividend.com/sure-analysis-TPR/","Tapestry Inc")</f>
        <v>0</v>
      </c>
      <c r="C2821" t="s">
        <v>3223</v>
      </c>
      <c r="D2821">
        <v>33.74</v>
      </c>
      <c r="E2821">
        <v>0.02963841138114997</v>
      </c>
      <c r="H2821">
        <v>0.745378960015144</v>
      </c>
      <c r="I2821">
        <v>8907.013118999999</v>
      </c>
      <c r="J2821">
        <v>10.65049996300371</v>
      </c>
      <c r="K2821">
        <v>0.2526708339034386</v>
      </c>
      <c r="L2821">
        <v>1.70159091114673</v>
      </c>
      <c r="M2821">
        <v>48.75</v>
      </c>
      <c r="N2821">
        <v>31.71</v>
      </c>
    </row>
    <row r="2822" spans="1:14">
      <c r="A2822" s="1" t="s">
        <v>2834</v>
      </c>
      <c r="B2822">
        <f>HYPERLINK("https://www.suredividend.com/sure-analysis-research-database/","Turning Point Therapeutics Inc")</f>
        <v>0</v>
      </c>
      <c r="C2822" t="s">
        <v>3217</v>
      </c>
      <c r="D2822">
        <v>32.9</v>
      </c>
      <c r="E2822">
        <v>0</v>
      </c>
      <c r="H2822">
        <v>0</v>
      </c>
      <c r="I2822">
        <v>1632.586764</v>
      </c>
      <c r="J2822">
        <v>0</v>
      </c>
      <c r="K2822" t="s">
        <v>3219</v>
      </c>
      <c r="L2822">
        <v>1.864650885912809</v>
      </c>
      <c r="M2822">
        <v>83.06</v>
      </c>
      <c r="N2822">
        <v>23.77</v>
      </c>
    </row>
    <row r="2823" spans="1:14">
      <c r="A2823" s="1" t="s">
        <v>2835</v>
      </c>
      <c r="B2823">
        <f>HYPERLINK("https://www.suredividend.com/sure-analysis-research-database/","Tempur Sealy International Inc")</f>
        <v>0</v>
      </c>
      <c r="C2823" t="s">
        <v>3223</v>
      </c>
      <c r="D2823">
        <v>28.62</v>
      </c>
      <c r="E2823">
        <v>0.01218595363308</v>
      </c>
      <c r="H2823">
        <v>0.348761992978763</v>
      </c>
      <c r="I2823">
        <v>5123.017464</v>
      </c>
      <c r="J2823">
        <v>8.2033906542514</v>
      </c>
      <c r="K2823">
        <v>0.1139745075093997</v>
      </c>
      <c r="L2823">
        <v>1.483791607559446</v>
      </c>
      <c r="M2823">
        <v>50.25</v>
      </c>
      <c r="N2823">
        <v>26.9</v>
      </c>
    </row>
    <row r="2824" spans="1:14">
      <c r="A2824" s="1" t="s">
        <v>2836</v>
      </c>
      <c r="B2824">
        <f>HYPERLINK("https://www.suredividend.com/sure-analysis-TR/","Tootsie Roll Industries, Inc.")</f>
        <v>0</v>
      </c>
      <c r="C2824" t="s">
        <v>3225</v>
      </c>
      <c r="D2824">
        <v>36.41</v>
      </c>
      <c r="E2824">
        <v>0.009887393573194177</v>
      </c>
      <c r="F2824">
        <v>0</v>
      </c>
      <c r="G2824">
        <v>0</v>
      </c>
      <c r="H2824">
        <v>0.3508000590057621</v>
      </c>
      <c r="I2824">
        <v>1432.538743</v>
      </c>
      <c r="J2824">
        <v>21.92907483865536</v>
      </c>
      <c r="K2824">
        <v>0.3729534967103573</v>
      </c>
      <c r="L2824">
        <v>0.4566121028268391</v>
      </c>
      <c r="M2824">
        <v>38.09</v>
      </c>
      <c r="N2824">
        <v>28.78</v>
      </c>
    </row>
    <row r="2825" spans="1:14">
      <c r="A2825" s="1" t="s">
        <v>2837</v>
      </c>
      <c r="B2825">
        <f>HYPERLINK("https://www.suredividend.com/sure-analysis-research-database/","Tejon Ranch Co.")</f>
        <v>0</v>
      </c>
      <c r="C2825" t="s">
        <v>3220</v>
      </c>
      <c r="D2825">
        <v>19.19</v>
      </c>
      <c r="E2825">
        <v>0</v>
      </c>
      <c r="H2825">
        <v>0</v>
      </c>
      <c r="I2825">
        <v>507.124573</v>
      </c>
      <c r="J2825">
        <v>94.82508851533284</v>
      </c>
      <c r="K2825">
        <v>0</v>
      </c>
      <c r="L2825">
        <v>0.714498278990626</v>
      </c>
      <c r="M2825">
        <v>21.69</v>
      </c>
      <c r="N2825">
        <v>14.79</v>
      </c>
    </row>
    <row r="2826" spans="1:14">
      <c r="A2826" s="1" t="s">
        <v>2838</v>
      </c>
      <c r="B2826">
        <f>HYPERLINK("https://www.suredividend.com/sure-analysis-research-database/","Torchlight Energy Resources Inc")</f>
        <v>0</v>
      </c>
      <c r="C2826" t="s">
        <v>3226</v>
      </c>
      <c r="D2826">
        <v>4.95</v>
      </c>
      <c r="E2826">
        <v>0</v>
      </c>
      <c r="H2826">
        <v>0</v>
      </c>
      <c r="I2826">
        <v>785.778152</v>
      </c>
      <c r="J2826">
        <v>0</v>
      </c>
      <c r="K2826" t="s">
        <v>3219</v>
      </c>
      <c r="L2826">
        <v>1.688944579339885</v>
      </c>
      <c r="M2826">
        <v>10.88</v>
      </c>
      <c r="N2826">
        <v>0.2111</v>
      </c>
    </row>
    <row r="2827" spans="1:14">
      <c r="A2827" s="1" t="s">
        <v>2839</v>
      </c>
      <c r="B2827">
        <f>HYPERLINK("https://www.suredividend.com/sure-analysis-research-database/","Trecora Resources")</f>
        <v>0</v>
      </c>
      <c r="C2827" t="s">
        <v>3218</v>
      </c>
      <c r="D2827">
        <v>8.4</v>
      </c>
      <c r="E2827">
        <v>0</v>
      </c>
      <c r="H2827">
        <v>0</v>
      </c>
      <c r="I2827">
        <v>208.611421</v>
      </c>
      <c r="J2827">
        <v>42.03333088857546</v>
      </c>
      <c r="K2827">
        <v>0</v>
      </c>
      <c r="L2827">
        <v>0.361598506345152</v>
      </c>
      <c r="M2827">
        <v>9.380000000000001</v>
      </c>
      <c r="N2827">
        <v>7.46</v>
      </c>
    </row>
    <row r="2828" spans="1:14">
      <c r="A2828" s="1" t="s">
        <v>2840</v>
      </c>
      <c r="B2828">
        <f>HYPERLINK("https://www.suredividend.com/sure-analysis-research-database/","LendingTree Inc.")</f>
        <v>0</v>
      </c>
      <c r="C2828" t="s">
        <v>3221</v>
      </c>
      <c r="D2828">
        <v>104.17</v>
      </c>
      <c r="E2828">
        <v>0</v>
      </c>
      <c r="H2828">
        <v>0</v>
      </c>
      <c r="I2828">
        <v>1350.744056</v>
      </c>
      <c r="J2828">
        <v>19.5434284274036</v>
      </c>
      <c r="K2828">
        <v>0</v>
      </c>
      <c r="L2828">
        <v>1.769532331060565</v>
      </c>
      <c r="M2828">
        <v>250</v>
      </c>
      <c r="N2828">
        <v>90.97</v>
      </c>
    </row>
    <row r="2829" spans="1:14">
      <c r="A2829" s="1" t="s">
        <v>2841</v>
      </c>
      <c r="B2829">
        <f>HYPERLINK("https://www.suredividend.com/sure-analysis-research-database/","TREX Co., Inc.")</f>
        <v>0</v>
      </c>
      <c r="C2829" t="s">
        <v>3220</v>
      </c>
      <c r="D2829">
        <v>60.99</v>
      </c>
      <c r="E2829">
        <v>0</v>
      </c>
      <c r="H2829">
        <v>0</v>
      </c>
      <c r="I2829">
        <v>6974.672342</v>
      </c>
      <c r="J2829">
        <v>33.41368488394487</v>
      </c>
      <c r="K2829">
        <v>0</v>
      </c>
      <c r="L2829">
        <v>1.743515079442901</v>
      </c>
      <c r="M2829">
        <v>140.98</v>
      </c>
      <c r="N2829">
        <v>60.86</v>
      </c>
    </row>
    <row r="2830" spans="1:14">
      <c r="A2830" s="1" t="s">
        <v>2842</v>
      </c>
      <c r="B2830">
        <f>HYPERLINK("https://www.suredividend.com/sure-analysis-TRGP/","Targa Resources Corp")</f>
        <v>0</v>
      </c>
      <c r="C2830" t="s">
        <v>3226</v>
      </c>
      <c r="D2830">
        <v>78.64</v>
      </c>
      <c r="E2830">
        <v>0.01780264496439471</v>
      </c>
      <c r="F2830">
        <v>2.5</v>
      </c>
      <c r="G2830">
        <v>-0.1739519118078667</v>
      </c>
      <c r="H2830">
        <v>0.6475873892617621</v>
      </c>
      <c r="I2830">
        <v>17968.143051</v>
      </c>
      <c r="J2830">
        <v>0</v>
      </c>
      <c r="K2830" t="s">
        <v>3219</v>
      </c>
      <c r="L2830">
        <v>0.922708925236396</v>
      </c>
      <c r="M2830">
        <v>79.43000000000001</v>
      </c>
      <c r="N2830">
        <v>30.96</v>
      </c>
    </row>
    <row r="2831" spans="1:14">
      <c r="A2831" s="1" t="s">
        <v>2843</v>
      </c>
      <c r="B2831">
        <f>HYPERLINK("https://www.suredividend.com/sure-analysis-research-database/","Tabula Rasa HealthCare Inc")</f>
        <v>0</v>
      </c>
      <c r="C2831" t="s">
        <v>3217</v>
      </c>
      <c r="D2831">
        <v>4.45</v>
      </c>
      <c r="E2831">
        <v>0</v>
      </c>
      <c r="H2831">
        <v>0</v>
      </c>
      <c r="I2831">
        <v>114.506541</v>
      </c>
      <c r="J2831">
        <v>0</v>
      </c>
      <c r="K2831" t="s">
        <v>3219</v>
      </c>
      <c r="L2831">
        <v>1.255936006545846</v>
      </c>
      <c r="M2831">
        <v>53.38</v>
      </c>
      <c r="N2831">
        <v>4.25</v>
      </c>
    </row>
    <row r="2832" spans="1:14">
      <c r="A2832" s="1" t="s">
        <v>2844</v>
      </c>
      <c r="B2832">
        <f>HYPERLINK("https://www.suredividend.com/sure-analysis-research-database/","TripAdvisor Inc.")</f>
        <v>0</v>
      </c>
      <c r="C2832" t="s">
        <v>3223</v>
      </c>
      <c r="D2832">
        <v>26.83</v>
      </c>
      <c r="E2832">
        <v>0</v>
      </c>
      <c r="H2832">
        <v>0</v>
      </c>
      <c r="I2832">
        <v>3377.177554</v>
      </c>
      <c r="J2832" t="s">
        <v>3219</v>
      </c>
      <c r="K2832">
        <v>-0</v>
      </c>
      <c r="L2832">
        <v>1.52028701943838</v>
      </c>
      <c r="M2832">
        <v>54.27</v>
      </c>
      <c r="N2832">
        <v>20.25</v>
      </c>
    </row>
    <row r="2833" spans="1:14">
      <c r="A2833" s="1" t="s">
        <v>2845</v>
      </c>
      <c r="B2833">
        <f>HYPERLINK("https://www.suredividend.com/sure-analysis-research-database/","Trimble Inc")</f>
        <v>0</v>
      </c>
      <c r="C2833" t="s">
        <v>3222</v>
      </c>
      <c r="D2833">
        <v>67.47</v>
      </c>
      <c r="E2833">
        <v>0</v>
      </c>
      <c r="H2833">
        <v>0</v>
      </c>
      <c r="I2833">
        <v>16892.479081</v>
      </c>
      <c r="J2833">
        <v>34.285526853562</v>
      </c>
      <c r="K2833">
        <v>0</v>
      </c>
      <c r="L2833">
        <v>1.493312778026569</v>
      </c>
      <c r="M2833">
        <v>96.48999999999999</v>
      </c>
      <c r="N2833">
        <v>62.32</v>
      </c>
    </row>
    <row r="2834" spans="1:14">
      <c r="A2834" s="1" t="s">
        <v>2846</v>
      </c>
      <c r="B2834">
        <f>HYPERLINK("https://www.suredividend.com/sure-analysis-research-database/","Trustmark Corp.")</f>
        <v>0</v>
      </c>
      <c r="C2834" t="s">
        <v>3221</v>
      </c>
      <c r="D2834">
        <v>29.61</v>
      </c>
      <c r="E2834">
        <v>0.030735270836446</v>
      </c>
      <c r="F2834">
        <v>0</v>
      </c>
      <c r="G2834">
        <v>0</v>
      </c>
      <c r="H2834">
        <v>0.910071369467177</v>
      </c>
      <c r="I2834">
        <v>1821.543805</v>
      </c>
      <c r="J2834">
        <v>12.36076276585349</v>
      </c>
      <c r="K2834">
        <v>0.3889193886611868</v>
      </c>
      <c r="L2834">
        <v>0.850632995335957</v>
      </c>
      <c r="M2834">
        <v>35.05</v>
      </c>
      <c r="N2834">
        <v>28.19</v>
      </c>
    </row>
    <row r="2835" spans="1:14">
      <c r="A2835" s="1" t="s">
        <v>2847</v>
      </c>
      <c r="B2835">
        <f>HYPERLINK("https://www.suredividend.com/sure-analysis-research-database/","Trinity Industries, Inc.")</f>
        <v>0</v>
      </c>
      <c r="C2835" t="s">
        <v>3220</v>
      </c>
      <c r="D2835">
        <v>31.74</v>
      </c>
      <c r="E2835">
        <v>0.027429704578238</v>
      </c>
      <c r="F2835">
        <v>0.09523809523809534</v>
      </c>
      <c r="G2835">
        <v>0.1208742617958329</v>
      </c>
      <c r="H2835">
        <v>0.8706188233132861</v>
      </c>
      <c r="I2835">
        <v>2645.279143</v>
      </c>
      <c r="J2835">
        <v>14.53450078417582</v>
      </c>
      <c r="K2835">
        <v>0.4974964704647349</v>
      </c>
      <c r="L2835">
        <v>1.032422652925261</v>
      </c>
      <c r="M2835">
        <v>35.09</v>
      </c>
      <c r="N2835">
        <v>24.16</v>
      </c>
    </row>
    <row r="2836" spans="1:14">
      <c r="A2836" s="1" t="s">
        <v>2848</v>
      </c>
      <c r="B2836">
        <f>HYPERLINK("https://www.suredividend.com/sure-analysis-research-database/","Terreno Realty Corp")</f>
        <v>0</v>
      </c>
      <c r="C2836" t="s">
        <v>3224</v>
      </c>
      <c r="D2836">
        <v>73.97</v>
      </c>
      <c r="E2836">
        <v>0.017591113829047</v>
      </c>
      <c r="F2836">
        <v>0.1724137931034484</v>
      </c>
      <c r="G2836">
        <v>0.1119615859385787</v>
      </c>
      <c r="H2836">
        <v>1.301214689934625</v>
      </c>
      <c r="I2836">
        <v>5584.344143</v>
      </c>
      <c r="J2836">
        <v>64.229945395489</v>
      </c>
      <c r="K2836">
        <v>1.057898121898069</v>
      </c>
      <c r="L2836">
        <v>0.7843710184178131</v>
      </c>
      <c r="M2836">
        <v>85.59</v>
      </c>
      <c r="N2836">
        <v>60.06</v>
      </c>
    </row>
    <row r="2837" spans="1:14">
      <c r="A2837" s="1" t="s">
        <v>2849</v>
      </c>
      <c r="B2837">
        <f>HYPERLINK("https://www.suredividend.com/sure-analysis-research-database/","Transcat Inc")</f>
        <v>0</v>
      </c>
      <c r="C2837" t="s">
        <v>3220</v>
      </c>
      <c r="D2837">
        <v>77.54000000000001</v>
      </c>
      <c r="E2837">
        <v>0</v>
      </c>
      <c r="H2837">
        <v>0</v>
      </c>
      <c r="I2837">
        <v>583.007597</v>
      </c>
      <c r="J2837">
        <v>0</v>
      </c>
      <c r="K2837" t="s">
        <v>3219</v>
      </c>
      <c r="L2837">
        <v>0.9236232725058101</v>
      </c>
      <c r="M2837">
        <v>101.05</v>
      </c>
      <c r="N2837">
        <v>46.03</v>
      </c>
    </row>
    <row r="2838" spans="1:14">
      <c r="A2838" s="1" t="s">
        <v>2850</v>
      </c>
      <c r="B2838">
        <f>HYPERLINK("https://www.suredividend.com/sure-analysis-TROW/","T. Rowe Price Group Inc.")</f>
        <v>0</v>
      </c>
      <c r="C2838" t="s">
        <v>3221</v>
      </c>
      <c r="D2838">
        <v>138.96</v>
      </c>
      <c r="E2838">
        <v>0.03454231433506045</v>
      </c>
      <c r="F2838">
        <v>0.1111111111111109</v>
      </c>
      <c r="G2838">
        <v>0.160543111353167</v>
      </c>
      <c r="H2838">
        <v>4.377842319130023</v>
      </c>
      <c r="I2838">
        <v>31656.470513</v>
      </c>
      <c r="J2838">
        <v>0</v>
      </c>
      <c r="K2838" t="s">
        <v>3219</v>
      </c>
      <c r="L2838">
        <v>1.342351154358367</v>
      </c>
      <c r="M2838">
        <v>220.21</v>
      </c>
      <c r="N2838">
        <v>131.9</v>
      </c>
    </row>
    <row r="2839" spans="1:14">
      <c r="A2839" s="1" t="s">
        <v>2851</v>
      </c>
      <c r="B2839">
        <f>HYPERLINK("https://www.suredividend.com/sure-analysis-research-database/","Tronox Holdings plc")</f>
        <v>0</v>
      </c>
      <c r="C2839" t="s">
        <v>3218</v>
      </c>
      <c r="D2839">
        <v>19.24</v>
      </c>
      <c r="E2839">
        <v>0.020895135155768</v>
      </c>
      <c r="F2839">
        <v>0.5625</v>
      </c>
      <c r="G2839">
        <v>0.2267032046963888</v>
      </c>
      <c r="H2839">
        <v>0.4020224003969901</v>
      </c>
      <c r="I2839">
        <v>3002.590013</v>
      </c>
      <c r="J2839">
        <v>0</v>
      </c>
      <c r="K2839" t="s">
        <v>3219</v>
      </c>
      <c r="L2839">
        <v>1.529629561049424</v>
      </c>
      <c r="M2839">
        <v>26.05</v>
      </c>
      <c r="N2839">
        <v>15.54</v>
      </c>
    </row>
    <row r="2840" spans="1:14">
      <c r="A2840" s="1" t="s">
        <v>2852</v>
      </c>
      <c r="B2840">
        <f>HYPERLINK("https://www.suredividend.com/sure-analysis-research-database/","Trimas Corporation")</f>
        <v>0</v>
      </c>
      <c r="C2840" t="s">
        <v>3220</v>
      </c>
      <c r="D2840">
        <v>31.31</v>
      </c>
      <c r="E2840">
        <v>0.002553498166957</v>
      </c>
      <c r="H2840">
        <v>0.07995002760745101</v>
      </c>
      <c r="I2840">
        <v>1337.1521</v>
      </c>
      <c r="J2840">
        <v>23.3319158907695</v>
      </c>
      <c r="K2840">
        <v>0.06056820273291743</v>
      </c>
      <c r="L2840">
        <v>0.9658448517593861</v>
      </c>
      <c r="M2840">
        <v>38.67</v>
      </c>
      <c r="N2840">
        <v>27.79</v>
      </c>
    </row>
    <row r="2841" spans="1:14">
      <c r="A2841" s="1" t="s">
        <v>2853</v>
      </c>
      <c r="B2841">
        <f>HYPERLINK("https://www.suredividend.com/sure-analysis-TRST/","Trustco Bank Corp.")</f>
        <v>0</v>
      </c>
      <c r="C2841" t="s">
        <v>3221</v>
      </c>
      <c r="D2841">
        <v>30.77</v>
      </c>
      <c r="E2841">
        <v>0.04549886252843679</v>
      </c>
      <c r="F2841">
        <v>4.137614678899084</v>
      </c>
      <c r="G2841">
        <v>0.3976542375431587</v>
      </c>
      <c r="H2841">
        <v>1.359868437308776</v>
      </c>
      <c r="I2841">
        <v>590.841694</v>
      </c>
      <c r="J2841">
        <v>9.604214856385831</v>
      </c>
      <c r="K2841">
        <v>0.4262910461782997</v>
      </c>
      <c r="L2841">
        <v>0.4497838345410821</v>
      </c>
      <c r="M2841">
        <v>39.81</v>
      </c>
      <c r="N2841">
        <v>29.16</v>
      </c>
    </row>
    <row r="2842" spans="1:14">
      <c r="A2842" s="1" t="s">
        <v>2854</v>
      </c>
      <c r="B2842">
        <f>HYPERLINK("https://www.suredividend.com/sure-analysis-research-database/","Trio-Tech International")</f>
        <v>0</v>
      </c>
      <c r="C2842" t="s">
        <v>3222</v>
      </c>
      <c r="D2842">
        <v>6.4</v>
      </c>
      <c r="E2842">
        <v>0</v>
      </c>
      <c r="H2842">
        <v>0</v>
      </c>
      <c r="I2842">
        <v>25.274752</v>
      </c>
      <c r="J2842">
        <v>0</v>
      </c>
      <c r="K2842" t="s">
        <v>3219</v>
      </c>
      <c r="L2842">
        <v>2.323114294255465</v>
      </c>
      <c r="M2842">
        <v>13.73</v>
      </c>
      <c r="N2842">
        <v>3.86</v>
      </c>
    </row>
    <row r="2843" spans="1:14">
      <c r="A2843" s="1" t="s">
        <v>2855</v>
      </c>
      <c r="B2843">
        <f>HYPERLINK("https://www.suredividend.com/sure-analysis-TRTN/","Triton International Ltd")</f>
        <v>0</v>
      </c>
      <c r="C2843" t="s">
        <v>3220</v>
      </c>
      <c r="D2843">
        <v>61.92</v>
      </c>
      <c r="E2843">
        <v>0.04198966408268734</v>
      </c>
      <c r="F2843">
        <v>0.1403508771929824</v>
      </c>
      <c r="G2843">
        <v>0.07631692251481081</v>
      </c>
      <c r="H2843">
        <v>2.404077715287425</v>
      </c>
      <c r="I2843">
        <v>4031.489032</v>
      </c>
      <c r="J2843">
        <v>8.320926794303405</v>
      </c>
      <c r="K2843">
        <v>0.3329747528098926</v>
      </c>
      <c r="L2843">
        <v>1.218682612734793</v>
      </c>
      <c r="M2843">
        <v>72.34</v>
      </c>
      <c r="N2843">
        <v>45.3</v>
      </c>
    </row>
    <row r="2844" spans="1:14">
      <c r="A2844" s="1" t="s">
        <v>2856</v>
      </c>
      <c r="B2844">
        <f>HYPERLINK("https://www.suredividend.com/sure-analysis-research-database/","TPG RE Finance Trust Inc")</f>
        <v>0</v>
      </c>
      <c r="C2844" t="s">
        <v>3224</v>
      </c>
      <c r="D2844">
        <v>11.59</v>
      </c>
      <c r="E2844">
        <v>0.077207556672681</v>
      </c>
      <c r="F2844">
        <v>0.2</v>
      </c>
      <c r="G2844">
        <v>-0.1058870393420188</v>
      </c>
      <c r="H2844">
        <v>0.8948355818363821</v>
      </c>
      <c r="I2844">
        <v>894.5613080000001</v>
      </c>
      <c r="J2844">
        <v>12.65202331207128</v>
      </c>
      <c r="K2844">
        <v>1.033774932805432</v>
      </c>
      <c r="L2844">
        <v>0.844863941891671</v>
      </c>
      <c r="M2844">
        <v>13.54</v>
      </c>
      <c r="N2844">
        <v>10.51</v>
      </c>
    </row>
    <row r="2845" spans="1:14">
      <c r="A2845" s="1" t="s">
        <v>2857</v>
      </c>
      <c r="B2845">
        <f>HYPERLINK("https://www.suredividend.com/sure-analysis-research-database/","TransUnion")</f>
        <v>0</v>
      </c>
      <c r="C2845" t="s">
        <v>3220</v>
      </c>
      <c r="D2845">
        <v>93.69</v>
      </c>
      <c r="E2845">
        <v>0.004050290543686001</v>
      </c>
      <c r="H2845">
        <v>0.379471721037993</v>
      </c>
      <c r="I2845">
        <v>18025.918711</v>
      </c>
      <c r="J2845">
        <v>12.99539954680989</v>
      </c>
      <c r="K2845">
        <v>0.05277770807204354</v>
      </c>
      <c r="L2845">
        <v>1.175903752029363</v>
      </c>
      <c r="M2845">
        <v>125.12</v>
      </c>
      <c r="N2845">
        <v>83.38</v>
      </c>
    </row>
    <row r="2846" spans="1:14">
      <c r="A2846" s="1" t="s">
        <v>2858</v>
      </c>
      <c r="B2846">
        <f>HYPERLINK("https://www.suredividend.com/sure-analysis-research-database/","Trupanion Inc")</f>
        <v>0</v>
      </c>
      <c r="C2846" t="s">
        <v>3221</v>
      </c>
      <c r="D2846">
        <v>81.06999999999999</v>
      </c>
      <c r="E2846">
        <v>0</v>
      </c>
      <c r="H2846">
        <v>0</v>
      </c>
      <c r="I2846">
        <v>3283.765482</v>
      </c>
      <c r="J2846" t="s">
        <v>3219</v>
      </c>
      <c r="K2846">
        <v>-0</v>
      </c>
      <c r="L2846">
        <v>2.45059858629888</v>
      </c>
      <c r="M2846">
        <v>158.25</v>
      </c>
      <c r="N2846">
        <v>70.48999999999999</v>
      </c>
    </row>
    <row r="2847" spans="1:14">
      <c r="A2847" s="1" t="s">
        <v>2859</v>
      </c>
      <c r="B2847">
        <f>HYPERLINK("https://www.suredividend.com/sure-analysis-TRV/","Travelers Companies Inc.")</f>
        <v>0</v>
      </c>
      <c r="C2847" t="s">
        <v>3221</v>
      </c>
      <c r="D2847">
        <v>184.24</v>
      </c>
      <c r="E2847">
        <v>0.01910551454624403</v>
      </c>
      <c r="F2847">
        <v>0.03529411764705892</v>
      </c>
      <c r="G2847">
        <v>0.04095039696925684</v>
      </c>
      <c r="H2847">
        <v>3.49135780787055</v>
      </c>
      <c r="I2847">
        <v>44209.102114</v>
      </c>
      <c r="J2847">
        <v>12.16206385536176</v>
      </c>
      <c r="K2847">
        <v>0.2409494691422049</v>
      </c>
      <c r="L2847">
        <v>0.602027752033202</v>
      </c>
      <c r="M2847">
        <v>187.98</v>
      </c>
      <c r="N2847">
        <v>142.07</v>
      </c>
    </row>
    <row r="2848" spans="1:14">
      <c r="A2848" s="1" t="s">
        <v>2860</v>
      </c>
      <c r="B2848">
        <f>HYPERLINK("https://www.suredividend.com/sure-analysis-research-database/","Trevena Inc")</f>
        <v>0</v>
      </c>
      <c r="C2848" t="s">
        <v>3217</v>
      </c>
      <c r="D2848">
        <v>0.4003</v>
      </c>
      <c r="E2848">
        <v>0</v>
      </c>
      <c r="H2848">
        <v>0</v>
      </c>
      <c r="I2848">
        <v>66.257659</v>
      </c>
      <c r="J2848">
        <v>0</v>
      </c>
      <c r="K2848" t="s">
        <v>3219</v>
      </c>
      <c r="L2848">
        <v>1.333816434979316</v>
      </c>
      <c r="M2848">
        <v>2.2</v>
      </c>
      <c r="N2848">
        <v>0.3888</v>
      </c>
    </row>
    <row r="2849" spans="1:14">
      <c r="A2849" s="1" t="s">
        <v>2861</v>
      </c>
      <c r="B2849">
        <f>HYPERLINK("https://www.suredividend.com/sure-analysis-research-database/","TransEnterix Inc")</f>
        <v>0</v>
      </c>
      <c r="C2849" t="s">
        <v>3217</v>
      </c>
      <c r="D2849">
        <v>4.08</v>
      </c>
      <c r="E2849">
        <v>0</v>
      </c>
      <c r="H2849">
        <v>0</v>
      </c>
      <c r="I2849">
        <v>582.529768</v>
      </c>
      <c r="J2849">
        <v>0</v>
      </c>
      <c r="K2849" t="s">
        <v>3219</v>
      </c>
      <c r="L2849">
        <v>0.427552673763591</v>
      </c>
      <c r="M2849">
        <v>6.95</v>
      </c>
      <c r="N2849">
        <v>0.28</v>
      </c>
    </row>
    <row r="2850" spans="1:14">
      <c r="A2850" s="1" t="s">
        <v>2862</v>
      </c>
      <c r="B2850">
        <f>HYPERLINK("https://www.suredividend.com/sure-analysis-research-database/","Timberland Bancorp, Inc.")</f>
        <v>0</v>
      </c>
      <c r="C2850" t="s">
        <v>3221</v>
      </c>
      <c r="D2850">
        <v>25.9</v>
      </c>
      <c r="E2850">
        <v>0.0324796484257</v>
      </c>
      <c r="F2850">
        <v>0.04761904761904767</v>
      </c>
      <c r="G2850">
        <v>0.1109534595426207</v>
      </c>
      <c r="H2850">
        <v>0.8412228942256431</v>
      </c>
      <c r="I2850">
        <v>216.264896</v>
      </c>
      <c r="J2850">
        <v>0</v>
      </c>
      <c r="K2850" t="s">
        <v>3219</v>
      </c>
      <c r="L2850">
        <v>0.270733901361169</v>
      </c>
      <c r="M2850">
        <v>29.62</v>
      </c>
      <c r="N2850">
        <v>25.75</v>
      </c>
    </row>
    <row r="2851" spans="1:14">
      <c r="A2851" s="1" t="s">
        <v>2863</v>
      </c>
      <c r="B2851">
        <f>HYPERLINK("https://www.suredividend.com/sure-analysis-research-database/","Tristate Capital Holdings Inc")</f>
        <v>0</v>
      </c>
      <c r="C2851" t="s">
        <v>3221</v>
      </c>
      <c r="D2851">
        <v>33.91</v>
      </c>
      <c r="E2851">
        <v>0</v>
      </c>
      <c r="H2851">
        <v>0</v>
      </c>
      <c r="I2851">
        <v>1138.741985</v>
      </c>
      <c r="J2851">
        <v>17.32928513406988</v>
      </c>
      <c r="K2851">
        <v>0</v>
      </c>
      <c r="L2851">
        <v>1.207655043323708</v>
      </c>
      <c r="M2851">
        <v>34.55</v>
      </c>
      <c r="N2851">
        <v>18.36</v>
      </c>
    </row>
    <row r="2852" spans="1:14">
      <c r="A2852" s="1" t="s">
        <v>2864</v>
      </c>
      <c r="B2852">
        <f>HYPERLINK("https://www.suredividend.com/sure-analysis-TSCO/","Tractor Supply Co.")</f>
        <v>0</v>
      </c>
      <c r="C2852" t="s">
        <v>3223</v>
      </c>
      <c r="D2852">
        <v>228.23</v>
      </c>
      <c r="E2852">
        <v>0.01612408535249529</v>
      </c>
      <c r="F2852">
        <v>0.7692307692307692</v>
      </c>
      <c r="G2852">
        <v>0.2778645216135123</v>
      </c>
      <c r="H2852">
        <v>2.469599019524846</v>
      </c>
      <c r="I2852">
        <v>25595.151647</v>
      </c>
      <c r="J2852">
        <v>25.66923305320154</v>
      </c>
      <c r="K2852">
        <v>0.2868291544163585</v>
      </c>
      <c r="L2852">
        <v>0.738795205816647</v>
      </c>
      <c r="M2852">
        <v>241.54</v>
      </c>
      <c r="N2852">
        <v>169.25</v>
      </c>
    </row>
    <row r="2853" spans="1:14">
      <c r="A2853" s="1" t="s">
        <v>2865</v>
      </c>
      <c r="B2853">
        <f>HYPERLINK("https://www.suredividend.com/sure-analysis-research-database/","Trinseo PLC")</f>
        <v>0</v>
      </c>
      <c r="C2853" t="s">
        <v>3218</v>
      </c>
      <c r="D2853">
        <v>50.01</v>
      </c>
      <c r="E2853">
        <v>0.01275433846585</v>
      </c>
      <c r="F2853">
        <v>3</v>
      </c>
      <c r="G2853">
        <v>-0.02328131613882611</v>
      </c>
      <c r="H2853">
        <v>0.6378444666772011</v>
      </c>
      <c r="I2853">
        <v>1852.696865</v>
      </c>
      <c r="J2853">
        <v>0</v>
      </c>
      <c r="K2853" t="s">
        <v>3219</v>
      </c>
      <c r="M2853">
        <v>60.87</v>
      </c>
      <c r="N2853">
        <v>42.95</v>
      </c>
    </row>
    <row r="2854" spans="1:14">
      <c r="A2854" s="1" t="s">
        <v>2866</v>
      </c>
      <c r="B2854">
        <f>HYPERLINK("https://www.suredividend.com/sure-analysis-research-database/","Tesla Inc")</f>
        <v>0</v>
      </c>
      <c r="C2854" t="s">
        <v>3223</v>
      </c>
      <c r="D2854">
        <v>985</v>
      </c>
      <c r="E2854">
        <v>0</v>
      </c>
      <c r="H2854">
        <v>0</v>
      </c>
      <c r="I2854">
        <v>989200.87922</v>
      </c>
      <c r="J2854">
        <v>179.0732945727733</v>
      </c>
      <c r="K2854">
        <v>0</v>
      </c>
      <c r="L2854">
        <v>1.819855726364666</v>
      </c>
      <c r="M2854">
        <v>1243.49</v>
      </c>
      <c r="N2854">
        <v>546.98</v>
      </c>
    </row>
    <row r="2855" spans="1:14">
      <c r="A2855" s="1" t="s">
        <v>2867</v>
      </c>
      <c r="B2855">
        <f>HYPERLINK("https://www.suredividend.com/sure-analysis-TSN/","Tyson Foods, Inc.")</f>
        <v>0</v>
      </c>
      <c r="C2855" t="s">
        <v>3225</v>
      </c>
      <c r="D2855">
        <v>95.45</v>
      </c>
      <c r="E2855">
        <v>0.01927710843373494</v>
      </c>
      <c r="F2855">
        <v>0.03370786516853941</v>
      </c>
      <c r="G2855">
        <v>0.1537588961630676</v>
      </c>
      <c r="H2855">
        <v>1.795867087487798</v>
      </c>
      <c r="I2855">
        <v>34756.7812</v>
      </c>
      <c r="J2855">
        <v>9.391186490137802</v>
      </c>
      <c r="K2855">
        <v>0.1771072078390333</v>
      </c>
      <c r="L2855">
        <v>0.297842351939626</v>
      </c>
      <c r="M2855">
        <v>100.22</v>
      </c>
      <c r="N2855">
        <v>68.75</v>
      </c>
    </row>
    <row r="2856" spans="1:14">
      <c r="A2856" s="1" t="s">
        <v>2868</v>
      </c>
      <c r="B2856">
        <f>HYPERLINK("https://www.suredividend.com/sure-analysis-research-database/","Townsquare Media Inc")</f>
        <v>0</v>
      </c>
      <c r="C2856" t="s">
        <v>3228</v>
      </c>
      <c r="D2856">
        <v>11.91</v>
      </c>
      <c r="E2856">
        <v>0</v>
      </c>
      <c r="H2856">
        <v>0</v>
      </c>
      <c r="I2856">
        <v>152.271375</v>
      </c>
      <c r="J2856">
        <v>0</v>
      </c>
      <c r="K2856" t="s">
        <v>3219</v>
      </c>
      <c r="L2856">
        <v>0.790117898653482</v>
      </c>
      <c r="M2856">
        <v>15.33</v>
      </c>
      <c r="N2856">
        <v>9.390000000000001</v>
      </c>
    </row>
    <row r="2857" spans="1:14">
      <c r="A2857" s="1" t="s">
        <v>2869</v>
      </c>
      <c r="B2857">
        <f>HYPERLINK("https://www.suredividend.com/sure-analysis-TTC/","Toro Co.")</f>
        <v>0</v>
      </c>
      <c r="C2857" t="s">
        <v>3220</v>
      </c>
      <c r="D2857">
        <v>83.38</v>
      </c>
      <c r="E2857">
        <v>0.01439194051331255</v>
      </c>
      <c r="F2857">
        <v>0.142857142857143</v>
      </c>
      <c r="G2857">
        <v>0.1138241786028791</v>
      </c>
      <c r="H2857">
        <v>1.119908472325041</v>
      </c>
      <c r="I2857">
        <v>8716.342336</v>
      </c>
      <c r="J2857">
        <v>23.67869934302068</v>
      </c>
      <c r="K2857">
        <v>0.3274586176389009</v>
      </c>
      <c r="L2857">
        <v>0.9124108949988251</v>
      </c>
      <c r="M2857">
        <v>116.77</v>
      </c>
      <c r="N2857">
        <v>80.87</v>
      </c>
    </row>
    <row r="2858" spans="1:14">
      <c r="A2858" s="1" t="s">
        <v>2870</v>
      </c>
      <c r="B2858">
        <f>HYPERLINK("https://www.suredividend.com/sure-analysis-research-database/","Trade Desk Inc")</f>
        <v>0</v>
      </c>
      <c r="C2858" t="s">
        <v>3222</v>
      </c>
      <c r="D2858">
        <v>63.58</v>
      </c>
      <c r="E2858">
        <v>0</v>
      </c>
      <c r="H2858">
        <v>0</v>
      </c>
      <c r="I2858">
        <v>28089.076103</v>
      </c>
      <c r="J2858">
        <v>203.8956759007564</v>
      </c>
      <c r="K2858">
        <v>0</v>
      </c>
      <c r="L2858">
        <v>2.728863127117423</v>
      </c>
      <c r="M2858">
        <v>114.09</v>
      </c>
      <c r="N2858">
        <v>46.71</v>
      </c>
    </row>
    <row r="2859" spans="1:14">
      <c r="A2859" s="1" t="s">
        <v>2871</v>
      </c>
      <c r="B2859">
        <f>HYPERLINK("https://www.suredividend.com/sure-analysis-research-database/","TTEC Holdings Inc")</f>
        <v>0</v>
      </c>
      <c r="C2859" t="s">
        <v>3222</v>
      </c>
      <c r="D2859">
        <v>80.69</v>
      </c>
      <c r="E2859">
        <v>0.01198666398099</v>
      </c>
      <c r="H2859">
        <v>0.967203916626134</v>
      </c>
      <c r="I2859">
        <v>3795.305307</v>
      </c>
      <c r="J2859">
        <v>26.92278717074555</v>
      </c>
      <c r="K2859">
        <v>0.3256578843859038</v>
      </c>
      <c r="L2859">
        <v>1.409087660566867</v>
      </c>
      <c r="M2859">
        <v>112.13</v>
      </c>
      <c r="N2859">
        <v>68.42</v>
      </c>
    </row>
    <row r="2860" spans="1:14">
      <c r="A2860" s="1" t="s">
        <v>2872</v>
      </c>
      <c r="B2860">
        <f>HYPERLINK("https://www.suredividend.com/sure-analysis-research-database/","Tetra Tech, Inc.")</f>
        <v>0</v>
      </c>
      <c r="C2860" t="s">
        <v>3220</v>
      </c>
      <c r="D2860">
        <v>148.72</v>
      </c>
      <c r="E2860">
        <v>0.005369024989222</v>
      </c>
      <c r="F2860">
        <v>0.1764705882352942</v>
      </c>
      <c r="G2860">
        <v>0.1486983549970351</v>
      </c>
      <c r="H2860">
        <v>0.7984813963971891</v>
      </c>
      <c r="I2860">
        <v>8030.792255</v>
      </c>
      <c r="J2860">
        <v>32.2699326746041</v>
      </c>
      <c r="K2860">
        <v>0.175490416790591</v>
      </c>
      <c r="L2860">
        <v>1.141026630258619</v>
      </c>
      <c r="M2860">
        <v>192.45</v>
      </c>
      <c r="N2860">
        <v>115.56</v>
      </c>
    </row>
    <row r="2861" spans="1:14">
      <c r="A2861" s="1" t="s">
        <v>2873</v>
      </c>
      <c r="B2861">
        <f>HYPERLINK("https://www.suredividend.com/sure-analysis-research-database/","Techtarget Inc.")</f>
        <v>0</v>
      </c>
      <c r="C2861" t="s">
        <v>3228</v>
      </c>
      <c r="D2861">
        <v>74.16</v>
      </c>
      <c r="E2861">
        <v>0</v>
      </c>
      <c r="H2861">
        <v>0</v>
      </c>
      <c r="I2861">
        <v>2201.203104</v>
      </c>
      <c r="J2861">
        <v>2319.497474984194</v>
      </c>
      <c r="K2861">
        <v>0</v>
      </c>
      <c r="L2861">
        <v>2.048713275545014</v>
      </c>
      <c r="M2861">
        <v>111.44</v>
      </c>
      <c r="N2861">
        <v>63.76</v>
      </c>
    </row>
    <row r="2862" spans="1:14">
      <c r="A2862" s="1" t="s">
        <v>2874</v>
      </c>
      <c r="B2862">
        <f>HYPERLINK("https://www.suredividend.com/sure-analysis-research-database/","Tetra Technologies, Inc.")</f>
        <v>0</v>
      </c>
      <c r="C2862" t="s">
        <v>3226</v>
      </c>
      <c r="D2862">
        <v>4.23</v>
      </c>
      <c r="E2862">
        <v>0</v>
      </c>
      <c r="H2862">
        <v>0</v>
      </c>
      <c r="I2862">
        <v>539.9466660000001</v>
      </c>
      <c r="J2862">
        <v>5.22530717370056</v>
      </c>
      <c r="K2862">
        <v>0</v>
      </c>
      <c r="L2862">
        <v>0.913156854580594</v>
      </c>
      <c r="M2862">
        <v>4.49</v>
      </c>
      <c r="N2862">
        <v>2.32</v>
      </c>
    </row>
    <row r="2863" spans="1:14">
      <c r="A2863" s="1" t="s">
        <v>2875</v>
      </c>
      <c r="B2863">
        <f>HYPERLINK("https://www.suredividend.com/sure-analysis-research-database/","TTM Technologies Inc")</f>
        <v>0</v>
      </c>
      <c r="C2863" t="s">
        <v>3222</v>
      </c>
      <c r="D2863">
        <v>13.6</v>
      </c>
      <c r="E2863">
        <v>0</v>
      </c>
      <c r="H2863">
        <v>0</v>
      </c>
      <c r="I2863">
        <v>1382.165729</v>
      </c>
      <c r="J2863">
        <v>25.40092124820818</v>
      </c>
      <c r="K2863">
        <v>0</v>
      </c>
      <c r="L2863">
        <v>0.6927493332444661</v>
      </c>
      <c r="M2863">
        <v>15.89</v>
      </c>
      <c r="N2863">
        <v>9.76</v>
      </c>
    </row>
    <row r="2864" spans="1:14">
      <c r="A2864" s="1" t="s">
        <v>2876</v>
      </c>
      <c r="B2864">
        <f>HYPERLINK("https://www.suredividend.com/sure-analysis-research-database/","Titan Pharmaceuticals, Inc. (de)")</f>
        <v>0</v>
      </c>
      <c r="C2864" t="s">
        <v>3217</v>
      </c>
      <c r="D2864">
        <v>0.8797</v>
      </c>
      <c r="E2864">
        <v>0</v>
      </c>
      <c r="H2864">
        <v>0</v>
      </c>
      <c r="I2864">
        <v>10.591079</v>
      </c>
      <c r="J2864" t="s">
        <v>3219</v>
      </c>
      <c r="K2864">
        <v>-0</v>
      </c>
      <c r="L2864">
        <v>0.774654974673981</v>
      </c>
      <c r="M2864">
        <v>3.1</v>
      </c>
      <c r="N2864">
        <v>0.8373</v>
      </c>
    </row>
    <row r="2865" spans="1:14">
      <c r="A2865" s="1" t="s">
        <v>2877</v>
      </c>
      <c r="B2865">
        <f>HYPERLINK("https://www.suredividend.com/sure-analysis-research-database/","T2 Biosystems Inc")</f>
        <v>0</v>
      </c>
      <c r="C2865" t="s">
        <v>3217</v>
      </c>
      <c r="D2865">
        <v>0.49</v>
      </c>
      <c r="E2865">
        <v>0</v>
      </c>
      <c r="H2865">
        <v>0</v>
      </c>
      <c r="I2865">
        <v>83.808126</v>
      </c>
      <c r="J2865">
        <v>0</v>
      </c>
      <c r="K2865" t="s">
        <v>3219</v>
      </c>
      <c r="L2865">
        <v>0.929122817824475</v>
      </c>
      <c r="M2865">
        <v>1.56</v>
      </c>
      <c r="N2865">
        <v>0.35</v>
      </c>
    </row>
    <row r="2866" spans="1:14">
      <c r="A2866" s="1" t="s">
        <v>2878</v>
      </c>
      <c r="B2866">
        <f>HYPERLINK("https://www.suredividend.com/sure-analysis-research-database/","Tile Shop Holdings, Inc.")</f>
        <v>0</v>
      </c>
      <c r="C2866" t="s">
        <v>3219</v>
      </c>
      <c r="D2866">
        <v>1.46</v>
      </c>
      <c r="E2866">
        <v>0</v>
      </c>
      <c r="H2866">
        <v>0</v>
      </c>
      <c r="I2866">
        <v>0</v>
      </c>
      <c r="J2866">
        <v>0</v>
      </c>
      <c r="K2866">
        <v>0</v>
      </c>
    </row>
    <row r="2867" spans="1:14">
      <c r="A2867" s="1" t="s">
        <v>2879</v>
      </c>
      <c r="B2867">
        <f>HYPERLINK("https://www.suredividend.com/sure-analysis-research-database/","Take-Two Interactive Software, Inc.")</f>
        <v>0</v>
      </c>
      <c r="C2867" t="s">
        <v>3228</v>
      </c>
      <c r="D2867">
        <v>137.96</v>
      </c>
      <c r="E2867">
        <v>0</v>
      </c>
      <c r="H2867">
        <v>0</v>
      </c>
      <c r="I2867">
        <v>15928.470345</v>
      </c>
      <c r="J2867">
        <v>30.29020987529048</v>
      </c>
      <c r="K2867">
        <v>0</v>
      </c>
      <c r="L2867">
        <v>0.647468675617008</v>
      </c>
      <c r="M2867">
        <v>195.83</v>
      </c>
      <c r="N2867">
        <v>133.54</v>
      </c>
    </row>
    <row r="2868" spans="1:14">
      <c r="A2868" s="1" t="s">
        <v>2880</v>
      </c>
      <c r="B2868">
        <f>HYPERLINK("https://www.suredividend.com/sure-analysis-research-database/","Tupperware Brands Corporation")</f>
        <v>0</v>
      </c>
      <c r="C2868" t="s">
        <v>3223</v>
      </c>
      <c r="D2868">
        <v>19.95</v>
      </c>
      <c r="E2868">
        <v>0</v>
      </c>
      <c r="H2868">
        <v>0</v>
      </c>
      <c r="I2868">
        <v>911.070056</v>
      </c>
      <c r="J2868">
        <v>48.9822610967742</v>
      </c>
      <c r="K2868">
        <v>0</v>
      </c>
      <c r="L2868">
        <v>1.251373814711412</v>
      </c>
      <c r="M2868">
        <v>29.2</v>
      </c>
      <c r="N2868">
        <v>13.28</v>
      </c>
    </row>
    <row r="2869" spans="1:14">
      <c r="A2869" s="1" t="s">
        <v>2881</v>
      </c>
      <c r="B2869">
        <f>HYPERLINK("https://www.suredividend.com/sure-analysis-research-database/","Mammoth Energy Services Inc")</f>
        <v>0</v>
      </c>
      <c r="C2869" t="s">
        <v>3226</v>
      </c>
      <c r="D2869">
        <v>2.56</v>
      </c>
      <c r="E2869">
        <v>0</v>
      </c>
      <c r="H2869">
        <v>0</v>
      </c>
      <c r="I2869">
        <v>119.511206</v>
      </c>
      <c r="J2869" t="s">
        <v>3219</v>
      </c>
      <c r="K2869">
        <v>-0</v>
      </c>
      <c r="L2869">
        <v>0.546222457481319</v>
      </c>
      <c r="M2869">
        <v>5.08</v>
      </c>
      <c r="N2869">
        <v>1.35</v>
      </c>
    </row>
    <row r="2870" spans="1:14">
      <c r="A2870" s="1" t="s">
        <v>2882</v>
      </c>
      <c r="B2870">
        <f>HYPERLINK("https://www.suredividend.com/sure-analysis-research-database/","Tivity Health Inc")</f>
        <v>0</v>
      </c>
      <c r="C2870" t="s">
        <v>3217</v>
      </c>
      <c r="D2870">
        <v>32.26</v>
      </c>
      <c r="E2870">
        <v>0</v>
      </c>
      <c r="H2870">
        <v>0</v>
      </c>
      <c r="I2870">
        <v>1607.300045</v>
      </c>
      <c r="J2870">
        <v>15.32016742398536</v>
      </c>
      <c r="K2870">
        <v>0</v>
      </c>
      <c r="L2870">
        <v>0.673233788872954</v>
      </c>
      <c r="M2870">
        <v>32.89</v>
      </c>
      <c r="N2870">
        <v>21.25</v>
      </c>
    </row>
    <row r="2871" spans="1:14">
      <c r="A2871" s="1" t="s">
        <v>2883</v>
      </c>
      <c r="B2871">
        <f>HYPERLINK("https://www.suredividend.com/sure-analysis-research-database/","Tradeweb Markets Inc")</f>
        <v>0</v>
      </c>
      <c r="C2871" t="s">
        <v>3221</v>
      </c>
      <c r="D2871">
        <v>85.69</v>
      </c>
      <c r="E2871">
        <v>0.003729314066664</v>
      </c>
      <c r="H2871">
        <v>0.319564922372482</v>
      </c>
      <c r="I2871">
        <v>9169.670362000001</v>
      </c>
      <c r="J2871">
        <v>40.42565451280265</v>
      </c>
      <c r="K2871">
        <v>0.2931788278646624</v>
      </c>
      <c r="L2871">
        <v>0.8581437020861941</v>
      </c>
      <c r="M2871">
        <v>102.23</v>
      </c>
      <c r="N2871">
        <v>76.56999999999999</v>
      </c>
    </row>
    <row r="2872" spans="1:14">
      <c r="A2872" s="1" t="s">
        <v>2884</v>
      </c>
      <c r="B2872">
        <f>HYPERLINK("https://www.suredividend.com/sure-analysis-research-database/","Titan International, Inc.")</f>
        <v>0</v>
      </c>
      <c r="C2872" t="s">
        <v>3220</v>
      </c>
      <c r="D2872">
        <v>14.84</v>
      </c>
      <c r="E2872">
        <v>0</v>
      </c>
      <c r="H2872">
        <v>0</v>
      </c>
      <c r="I2872">
        <v>926.332092</v>
      </c>
      <c r="J2872">
        <v>18.6813231960634</v>
      </c>
      <c r="K2872">
        <v>0</v>
      </c>
      <c r="L2872">
        <v>1.927726293433243</v>
      </c>
      <c r="M2872">
        <v>15.77</v>
      </c>
      <c r="N2872">
        <v>6.69</v>
      </c>
    </row>
    <row r="2873" spans="1:14">
      <c r="A2873" s="1" t="s">
        <v>2885</v>
      </c>
      <c r="B2873">
        <f>HYPERLINK("https://www.suredividend.com/sure-analysis-research-database/","Twin Disc Incorporated")</f>
        <v>0</v>
      </c>
      <c r="C2873" t="s">
        <v>3220</v>
      </c>
      <c r="D2873">
        <v>14.81</v>
      </c>
      <c r="E2873">
        <v>0</v>
      </c>
      <c r="H2873">
        <v>0</v>
      </c>
      <c r="I2873">
        <v>202.336782</v>
      </c>
      <c r="J2873" t="s">
        <v>3219</v>
      </c>
      <c r="K2873">
        <v>-0</v>
      </c>
      <c r="L2873">
        <v>0.670305449830488</v>
      </c>
      <c r="M2873">
        <v>18.2</v>
      </c>
      <c r="N2873">
        <v>9.4</v>
      </c>
    </row>
    <row r="2874" spans="1:14">
      <c r="A2874" s="1" t="s">
        <v>2886</v>
      </c>
      <c r="B2874">
        <f>HYPERLINK("https://www.suredividend.com/sure-analysis-research-database/","Twilio Inc")</f>
        <v>0</v>
      </c>
      <c r="C2874" t="s">
        <v>3228</v>
      </c>
      <c r="D2874">
        <v>137.09</v>
      </c>
      <c r="E2874">
        <v>0</v>
      </c>
      <c r="H2874">
        <v>0</v>
      </c>
      <c r="I2874">
        <v>23538.743158</v>
      </c>
      <c r="J2874" t="s">
        <v>3219</v>
      </c>
      <c r="K2874">
        <v>-0</v>
      </c>
      <c r="L2874">
        <v>1.811692064943257</v>
      </c>
      <c r="M2874">
        <v>412.68</v>
      </c>
      <c r="N2874">
        <v>123.05</v>
      </c>
    </row>
    <row r="2875" spans="1:14">
      <c r="A2875" s="1" t="s">
        <v>2887</v>
      </c>
      <c r="B2875">
        <f>HYPERLINK("https://www.suredividend.com/sure-analysis-research-database/","Hostess Brands Inc")</f>
        <v>0</v>
      </c>
      <c r="C2875" t="s">
        <v>3225</v>
      </c>
      <c r="D2875">
        <v>22.9</v>
      </c>
      <c r="E2875">
        <v>0</v>
      </c>
      <c r="H2875">
        <v>0</v>
      </c>
      <c r="I2875">
        <v>3173.128012</v>
      </c>
      <c r="J2875">
        <v>26.59811072850569</v>
      </c>
      <c r="K2875">
        <v>0</v>
      </c>
      <c r="L2875">
        <v>0.438390204421108</v>
      </c>
      <c r="M2875">
        <v>23.51</v>
      </c>
      <c r="N2875">
        <v>14.71</v>
      </c>
    </row>
    <row r="2876" spans="1:14">
      <c r="A2876" s="1" t="s">
        <v>2888</v>
      </c>
      <c r="B2876">
        <f>HYPERLINK("https://www.suredividend.com/sure-analysis-TWO/","Two Harbors Investment Corp")</f>
        <v>0</v>
      </c>
      <c r="C2876" t="s">
        <v>3224</v>
      </c>
      <c r="D2876">
        <v>5.14</v>
      </c>
      <c r="E2876">
        <v>0.132295719844358</v>
      </c>
      <c r="F2876">
        <v>0</v>
      </c>
      <c r="G2876">
        <v>-0.0814662577923444</v>
      </c>
      <c r="H2876">
        <v>0.6510222920662231</v>
      </c>
      <c r="I2876">
        <v>1768.810107</v>
      </c>
      <c r="J2876">
        <v>13.81472771520955</v>
      </c>
      <c r="K2876">
        <v>1.515415018776124</v>
      </c>
      <c r="L2876">
        <v>0.801198318061892</v>
      </c>
      <c r="M2876">
        <v>7.32</v>
      </c>
      <c r="N2876">
        <v>4.62</v>
      </c>
    </row>
    <row r="2877" spans="1:14">
      <c r="A2877" s="1" t="s">
        <v>2889</v>
      </c>
      <c r="B2877">
        <f>HYPERLINK("https://www.suredividend.com/sure-analysis-research-database/","2U Inc")</f>
        <v>0</v>
      </c>
      <c r="C2877" t="s">
        <v>3225</v>
      </c>
      <c r="D2877">
        <v>11.84</v>
      </c>
      <c r="E2877">
        <v>0</v>
      </c>
      <c r="H2877">
        <v>0</v>
      </c>
      <c r="I2877">
        <v>903.991897</v>
      </c>
      <c r="J2877" t="s">
        <v>3219</v>
      </c>
      <c r="K2877">
        <v>-0</v>
      </c>
      <c r="L2877">
        <v>1.80002985489112</v>
      </c>
      <c r="M2877">
        <v>46.52</v>
      </c>
      <c r="N2877">
        <v>8.630000000000001</v>
      </c>
    </row>
    <row r="2878" spans="1:14">
      <c r="A2878" s="1" t="s">
        <v>2890</v>
      </c>
      <c r="B2878">
        <f>HYPERLINK("https://www.suredividend.com/sure-analysis-research-database/","Twist Bioscience Corp")</f>
        <v>0</v>
      </c>
      <c r="C2878" t="s">
        <v>3217</v>
      </c>
      <c r="D2878">
        <v>42.59</v>
      </c>
      <c r="E2878">
        <v>0</v>
      </c>
      <c r="H2878">
        <v>0</v>
      </c>
      <c r="I2878">
        <v>2167.195046</v>
      </c>
      <c r="J2878" t="s">
        <v>3219</v>
      </c>
      <c r="K2878">
        <v>-0</v>
      </c>
      <c r="L2878">
        <v>2.40452874399668</v>
      </c>
      <c r="M2878">
        <v>144.14</v>
      </c>
      <c r="N2878">
        <v>38.08</v>
      </c>
    </row>
    <row r="2879" spans="1:14">
      <c r="A2879" s="1" t="s">
        <v>2891</v>
      </c>
      <c r="B2879">
        <f>HYPERLINK("https://www.suredividend.com/sure-analysis-research-database/","Twitter Inc")</f>
        <v>0</v>
      </c>
      <c r="C2879" t="s">
        <v>3228</v>
      </c>
      <c r="D2879">
        <v>45.08</v>
      </c>
      <c r="E2879">
        <v>0</v>
      </c>
      <c r="H2879">
        <v>0</v>
      </c>
      <c r="I2879">
        <v>34422.075188</v>
      </c>
      <c r="J2879" t="s">
        <v>3219</v>
      </c>
      <c r="K2879">
        <v>-0</v>
      </c>
      <c r="L2879">
        <v>1.587757452486342</v>
      </c>
      <c r="M2879">
        <v>73.34</v>
      </c>
      <c r="N2879">
        <v>31.3</v>
      </c>
    </row>
    <row r="2880" spans="1:14">
      <c r="A2880" s="1" t="s">
        <v>2892</v>
      </c>
      <c r="B2880">
        <f>HYPERLINK("https://www.suredividend.com/sure-analysis-research-database/","TherapeuticsMD Inc")</f>
        <v>0</v>
      </c>
      <c r="C2880" t="s">
        <v>3217</v>
      </c>
      <c r="D2880">
        <v>0.2901</v>
      </c>
      <c r="E2880">
        <v>0</v>
      </c>
      <c r="H2880">
        <v>0</v>
      </c>
      <c r="I2880">
        <v>125.737427</v>
      </c>
      <c r="J2880" t="s">
        <v>3219</v>
      </c>
      <c r="K2880">
        <v>-0</v>
      </c>
      <c r="L2880">
        <v>1.801490266937178</v>
      </c>
      <c r="M2880">
        <v>1.39</v>
      </c>
      <c r="N2880">
        <v>0.18</v>
      </c>
    </row>
    <row r="2881" spans="1:14">
      <c r="A2881" s="1" t="s">
        <v>2893</v>
      </c>
      <c r="B2881">
        <f>HYPERLINK("https://www.suredividend.com/sure-analysis-TXN/","Texas Instruments Inc.")</f>
        <v>0</v>
      </c>
      <c r="C2881" t="s">
        <v>3222</v>
      </c>
      <c r="D2881">
        <v>173.66</v>
      </c>
      <c r="E2881">
        <v>0.02648854082690314</v>
      </c>
      <c r="F2881">
        <v>0.1274509803921569</v>
      </c>
      <c r="G2881">
        <v>0.1812601880431084</v>
      </c>
      <c r="H2881">
        <v>4.301023726075179</v>
      </c>
      <c r="I2881">
        <v>160266.913944</v>
      </c>
      <c r="J2881">
        <v>20.71702610441055</v>
      </c>
      <c r="K2881">
        <v>0.5207050515829516</v>
      </c>
      <c r="L2881">
        <v>1.20136008122276</v>
      </c>
      <c r="M2881">
        <v>199.7</v>
      </c>
      <c r="N2881">
        <v>161.04</v>
      </c>
    </row>
    <row r="2882" spans="1:14">
      <c r="A2882" s="1" t="s">
        <v>2894</v>
      </c>
      <c r="B2882">
        <f>HYPERLINK("https://www.suredividend.com/sure-analysis-research-database/","Texas Roadhouse Inc")</f>
        <v>0</v>
      </c>
      <c r="C2882" t="s">
        <v>3223</v>
      </c>
      <c r="D2882">
        <v>81.84</v>
      </c>
      <c r="E2882">
        <v>0.020144371461162</v>
      </c>
      <c r="H2882">
        <v>1.648615360381578</v>
      </c>
      <c r="I2882">
        <v>5656.761895</v>
      </c>
      <c r="J2882">
        <v>23.06115068024493</v>
      </c>
      <c r="K2882">
        <v>0.4710329601090223</v>
      </c>
      <c r="L2882">
        <v>1.262816155004585</v>
      </c>
      <c r="M2882">
        <v>109.09</v>
      </c>
      <c r="N2882">
        <v>69.54000000000001</v>
      </c>
    </row>
    <row r="2883" spans="1:14">
      <c r="A2883" s="1" t="s">
        <v>2895</v>
      </c>
      <c r="B2883">
        <f>HYPERLINK("https://www.suredividend.com/sure-analysis-TXT/","Textron Inc.")</f>
        <v>0</v>
      </c>
      <c r="C2883" t="s">
        <v>3220</v>
      </c>
      <c r="D2883">
        <v>68.65000000000001</v>
      </c>
      <c r="E2883">
        <v>0.001165331391114348</v>
      </c>
      <c r="F2883">
        <v>0</v>
      </c>
      <c r="G2883">
        <v>0</v>
      </c>
      <c r="H2883">
        <v>0.07996658239955101</v>
      </c>
      <c r="I2883">
        <v>14851.0118</v>
      </c>
      <c r="J2883">
        <v>19.9075225197051</v>
      </c>
      <c r="K2883">
        <v>0.02430595209712797</v>
      </c>
      <c r="L2883">
        <v>1.259224680874351</v>
      </c>
      <c r="M2883">
        <v>79.43000000000001</v>
      </c>
      <c r="N2883">
        <v>57.26</v>
      </c>
    </row>
    <row r="2884" spans="1:14">
      <c r="A2884" s="1" t="s">
        <v>2896</v>
      </c>
      <c r="B2884">
        <f>HYPERLINK("https://www.suredividend.com/sure-analysis-research-database/","Tyler Technologies, Inc.")</f>
        <v>0</v>
      </c>
      <c r="C2884" t="s">
        <v>3222</v>
      </c>
      <c r="D2884">
        <v>404.83</v>
      </c>
      <c r="E2884">
        <v>0</v>
      </c>
      <c r="H2884">
        <v>0</v>
      </c>
      <c r="I2884">
        <v>16772.611723</v>
      </c>
      <c r="J2884">
        <v>103.8821967509197</v>
      </c>
      <c r="K2884">
        <v>0</v>
      </c>
      <c r="L2884">
        <v>1.339420683342024</v>
      </c>
      <c r="M2884">
        <v>557.55</v>
      </c>
      <c r="N2884">
        <v>384.38</v>
      </c>
    </row>
    <row r="2885" spans="1:14">
      <c r="A2885" s="1" t="s">
        <v>2897</v>
      </c>
      <c r="B2885">
        <f>HYPERLINK("https://www.suredividend.com/sure-analysis-research-database/","Tyme Technologies Inc")</f>
        <v>0</v>
      </c>
      <c r="C2885" t="s">
        <v>3217</v>
      </c>
      <c r="D2885">
        <v>0.345</v>
      </c>
      <c r="E2885">
        <v>0</v>
      </c>
      <c r="H2885">
        <v>0</v>
      </c>
      <c r="I2885">
        <v>59.411378</v>
      </c>
      <c r="J2885">
        <v>0</v>
      </c>
      <c r="K2885" t="s">
        <v>3219</v>
      </c>
      <c r="L2885">
        <v>1.265539227258422</v>
      </c>
      <c r="M2885">
        <v>2.02</v>
      </c>
      <c r="N2885">
        <v>0.28</v>
      </c>
    </row>
    <row r="2886" spans="1:14">
      <c r="A2886" s="1" t="s">
        <v>2898</v>
      </c>
      <c r="B2886">
        <f>HYPERLINK("https://www.suredividend.com/sure-analysis-research-database/","Travelzoo")</f>
        <v>0</v>
      </c>
      <c r="C2886" t="s">
        <v>3223</v>
      </c>
      <c r="D2886">
        <v>5.94</v>
      </c>
      <c r="E2886">
        <v>0</v>
      </c>
      <c r="H2886">
        <v>0</v>
      </c>
      <c r="I2886">
        <v>71.611226</v>
      </c>
      <c r="J2886">
        <v>78.60727363336993</v>
      </c>
      <c r="K2886">
        <v>0</v>
      </c>
      <c r="L2886">
        <v>1.556324089773934</v>
      </c>
      <c r="M2886">
        <v>18.47</v>
      </c>
      <c r="N2886">
        <v>5.2</v>
      </c>
    </row>
    <row r="2887" spans="1:14">
      <c r="A2887" s="1" t="s">
        <v>2899</v>
      </c>
      <c r="B2887">
        <f>HYPERLINK("https://www.suredividend.com/sure-analysis-research-database/","Under Armour Inc")</f>
        <v>0</v>
      </c>
      <c r="C2887" t="s">
        <v>3223</v>
      </c>
      <c r="D2887">
        <v>14.88</v>
      </c>
      <c r="E2887">
        <v>0</v>
      </c>
      <c r="H2887">
        <v>0</v>
      </c>
      <c r="I2887">
        <v>7220.25216</v>
      </c>
      <c r="J2887">
        <v>0</v>
      </c>
      <c r="K2887" t="s">
        <v>3219</v>
      </c>
      <c r="L2887">
        <v>1.559717683592</v>
      </c>
      <c r="M2887">
        <v>23</v>
      </c>
      <c r="N2887">
        <v>12.61</v>
      </c>
    </row>
    <row r="2888" spans="1:14">
      <c r="A2888" s="1" t="s">
        <v>2900</v>
      </c>
      <c r="B2888">
        <f>HYPERLINK("https://www.suredividend.com/sure-analysis-research-database/","Under Armour Inc")</f>
        <v>0</v>
      </c>
      <c r="C2888" t="s">
        <v>3223</v>
      </c>
      <c r="D2888">
        <v>16.06</v>
      </c>
      <c r="E2888">
        <v>0</v>
      </c>
      <c r="H2888">
        <v>0</v>
      </c>
      <c r="I2888">
        <v>7220.25216</v>
      </c>
      <c r="J2888">
        <v>20.05291384769205</v>
      </c>
      <c r="K2888">
        <v>0</v>
      </c>
      <c r="L2888">
        <v>1.666026219862189</v>
      </c>
      <c r="M2888">
        <v>27.28</v>
      </c>
      <c r="N2888">
        <v>13.7</v>
      </c>
    </row>
    <row r="2889" spans="1:14">
      <c r="A2889" s="1" t="s">
        <v>2901</v>
      </c>
      <c r="B2889">
        <f>HYPERLINK("https://www.suredividend.com/sure-analysis-research-database/","United Airlines Holdings Inc")</f>
        <v>0</v>
      </c>
      <c r="C2889" t="s">
        <v>3220</v>
      </c>
      <c r="D2889">
        <v>45.13</v>
      </c>
      <c r="E2889">
        <v>0</v>
      </c>
      <c r="H2889">
        <v>0</v>
      </c>
      <c r="I2889">
        <v>14650.386363</v>
      </c>
      <c r="J2889" t="s">
        <v>3219</v>
      </c>
      <c r="K2889">
        <v>-0</v>
      </c>
      <c r="L2889">
        <v>1.828240671680306</v>
      </c>
      <c r="M2889">
        <v>60.59</v>
      </c>
      <c r="N2889">
        <v>30.54</v>
      </c>
    </row>
    <row r="2890" spans="1:14">
      <c r="A2890" s="1" t="s">
        <v>2902</v>
      </c>
      <c r="B2890">
        <f>HYPERLINK("https://www.suredividend.com/sure-analysis-research-database/","United States Antimony Corp.")</f>
        <v>0</v>
      </c>
      <c r="C2890" t="s">
        <v>3218</v>
      </c>
      <c r="D2890">
        <v>0.5083</v>
      </c>
      <c r="E2890">
        <v>0</v>
      </c>
      <c r="H2890">
        <v>0</v>
      </c>
      <c r="I2890">
        <v>54.001975</v>
      </c>
      <c r="J2890">
        <v>0</v>
      </c>
      <c r="K2890" t="s">
        <v>3219</v>
      </c>
      <c r="L2890">
        <v>0.856481907482712</v>
      </c>
      <c r="M2890">
        <v>1.15</v>
      </c>
      <c r="N2890">
        <v>0.37</v>
      </c>
    </row>
    <row r="2891" spans="1:14">
      <c r="A2891" s="1" t="s">
        <v>2903</v>
      </c>
      <c r="B2891">
        <f>HYPERLINK("https://www.suredividend.com/sure-analysis-UBA/","Urstadt Biddle Properties, Inc.")</f>
        <v>0</v>
      </c>
      <c r="C2891" t="s">
        <v>3224</v>
      </c>
      <c r="D2891">
        <v>18.31</v>
      </c>
      <c r="E2891">
        <v>0.05188421627525942</v>
      </c>
      <c r="F2891">
        <v>0.6964285714285714</v>
      </c>
      <c r="G2891">
        <v>-0.02167410697515426</v>
      </c>
      <c r="H2891">
        <v>0.9186876879306071</v>
      </c>
      <c r="I2891">
        <v>729.201629</v>
      </c>
      <c r="J2891">
        <v>21.10508028769066</v>
      </c>
      <c r="K2891">
        <v>1.024634940810403</v>
      </c>
      <c r="L2891">
        <v>0.6588171240134021</v>
      </c>
      <c r="M2891">
        <v>21.37</v>
      </c>
      <c r="N2891">
        <v>16.76</v>
      </c>
    </row>
    <row r="2892" spans="1:14">
      <c r="A2892" s="1" t="s">
        <v>2904</v>
      </c>
      <c r="B2892">
        <f>HYPERLINK("https://www.suredividend.com/sure-analysis-research-database/","United Bancorp, Inc. (Martins Ferry, OH)")</f>
        <v>0</v>
      </c>
      <c r="C2892" t="s">
        <v>3221</v>
      </c>
      <c r="D2892">
        <v>19</v>
      </c>
      <c r="E2892">
        <v>0.030897621250016</v>
      </c>
      <c r="F2892">
        <v>0.05172413793103448</v>
      </c>
      <c r="G2892">
        <v>0.03244113189969844</v>
      </c>
      <c r="H2892">
        <v>0.587054803750316</v>
      </c>
      <c r="I2892">
        <v>112.660272</v>
      </c>
      <c r="J2892">
        <v>0</v>
      </c>
      <c r="K2892" t="s">
        <v>3219</v>
      </c>
      <c r="M2892">
        <v>20.64</v>
      </c>
      <c r="N2892">
        <v>12.38</v>
      </c>
    </row>
    <row r="2893" spans="1:14">
      <c r="A2893" s="1" t="s">
        <v>2905</v>
      </c>
      <c r="B2893">
        <f>HYPERLINK("https://www.suredividend.com/sure-analysis-research-database/","Uber Technologies Inc")</f>
        <v>0</v>
      </c>
      <c r="C2893" t="s">
        <v>3222</v>
      </c>
      <c r="D2893">
        <v>32.68</v>
      </c>
      <c r="E2893">
        <v>0</v>
      </c>
      <c r="H2893">
        <v>0</v>
      </c>
      <c r="I2893">
        <v>60814.409485</v>
      </c>
      <c r="J2893" t="s">
        <v>3219</v>
      </c>
      <c r="K2893">
        <v>-0</v>
      </c>
      <c r="L2893">
        <v>1.705809392842729</v>
      </c>
      <c r="M2893">
        <v>60.22</v>
      </c>
      <c r="N2893">
        <v>28.28</v>
      </c>
    </row>
    <row r="2894" spans="1:14">
      <c r="A2894" s="1" t="s">
        <v>2906</v>
      </c>
      <c r="B2894">
        <f>HYPERLINK("https://www.suredividend.com/sure-analysis-research-database/","United Security Bancshares (CA)")</f>
        <v>0</v>
      </c>
      <c r="C2894" t="s">
        <v>3221</v>
      </c>
      <c r="D2894">
        <v>7.92</v>
      </c>
      <c r="E2894">
        <v>0.05445696156287701</v>
      </c>
      <c r="F2894">
        <v>0</v>
      </c>
      <c r="G2894">
        <v>0.1708049129648923</v>
      </c>
      <c r="H2894">
        <v>0.43129913557799</v>
      </c>
      <c r="I2894">
        <v>134.911791</v>
      </c>
      <c r="J2894">
        <v>13.36024862745098</v>
      </c>
      <c r="K2894">
        <v>0.727439931823225</v>
      </c>
      <c r="L2894">
        <v>0.322340204277761</v>
      </c>
      <c r="M2894">
        <v>8.630000000000001</v>
      </c>
      <c r="N2894">
        <v>7.32</v>
      </c>
    </row>
    <row r="2895" spans="1:14">
      <c r="A2895" s="1" t="s">
        <v>2907</v>
      </c>
      <c r="B2895">
        <f>HYPERLINK("https://www.suredividend.com/sure-analysis-research-database/","United Bancshares Inc. (OH)")</f>
        <v>0</v>
      </c>
      <c r="C2895" t="s">
        <v>3221</v>
      </c>
      <c r="D2895">
        <v>34.21</v>
      </c>
      <c r="E2895">
        <v>0.022582805575912</v>
      </c>
      <c r="F2895">
        <v>0.3125</v>
      </c>
      <c r="G2895">
        <v>0.1184269147201447</v>
      </c>
      <c r="H2895">
        <v>0.7725577787519501</v>
      </c>
      <c r="I2895">
        <v>112.182698</v>
      </c>
      <c r="J2895">
        <v>0</v>
      </c>
      <c r="K2895" t="s">
        <v>3219</v>
      </c>
      <c r="M2895">
        <v>36.95</v>
      </c>
      <c r="N2895">
        <v>24.75</v>
      </c>
    </row>
    <row r="2896" spans="1:14">
      <c r="A2896" s="1" t="s">
        <v>2908</v>
      </c>
      <c r="B2896">
        <f>HYPERLINK("https://www.suredividend.com/sure-analysis-UBSI/","United Bankshares, Inc.")</f>
        <v>0</v>
      </c>
      <c r="C2896" t="s">
        <v>3221</v>
      </c>
      <c r="D2896">
        <v>34.17</v>
      </c>
      <c r="E2896">
        <v>0.04214223002633889</v>
      </c>
      <c r="F2896">
        <v>0.02857142857142847</v>
      </c>
      <c r="G2896">
        <v>0.01755457717558762</v>
      </c>
      <c r="H2896">
        <v>1.39855248383744</v>
      </c>
      <c r="I2896">
        <v>4666.760267</v>
      </c>
      <c r="J2896">
        <v>12.69044881619522</v>
      </c>
      <c r="K2896">
        <v>0.4924480576892394</v>
      </c>
      <c r="L2896">
        <v>0.9532687059838081</v>
      </c>
      <c r="M2896">
        <v>40.84</v>
      </c>
      <c r="N2896">
        <v>31.09</v>
      </c>
    </row>
    <row r="2897" spans="1:14">
      <c r="A2897" s="1" t="s">
        <v>2909</v>
      </c>
      <c r="B2897">
        <f>HYPERLINK("https://www.suredividend.com/sure-analysis-research-database/","United Community Banks Inc")</f>
        <v>0</v>
      </c>
      <c r="C2897" t="s">
        <v>3221</v>
      </c>
      <c r="D2897">
        <v>31.04</v>
      </c>
      <c r="E2897">
        <v>0.025552071354253</v>
      </c>
      <c r="F2897">
        <v>0.1052631578947367</v>
      </c>
      <c r="G2897">
        <v>0.1846644525422441</v>
      </c>
      <c r="H2897">
        <v>0.7931362948360381</v>
      </c>
      <c r="I2897">
        <v>3290.942528</v>
      </c>
      <c r="J2897">
        <v>12.59599312708358</v>
      </c>
      <c r="K2897">
        <v>0.2670492575205516</v>
      </c>
      <c r="L2897">
        <v>0.9394068588912771</v>
      </c>
      <c r="M2897">
        <v>39.1</v>
      </c>
      <c r="N2897">
        <v>27.29</v>
      </c>
    </row>
    <row r="2898" spans="1:14">
      <c r="A2898" s="1" t="s">
        <v>2910</v>
      </c>
      <c r="B2898">
        <f>HYPERLINK("https://www.suredividend.com/sure-analysis-research-database/","Ultra Clean Hldgs Inc")</f>
        <v>0</v>
      </c>
      <c r="C2898" t="s">
        <v>3222</v>
      </c>
      <c r="D2898">
        <v>33.75</v>
      </c>
      <c r="E2898">
        <v>0</v>
      </c>
      <c r="H2898">
        <v>0</v>
      </c>
      <c r="I2898">
        <v>1517.060981</v>
      </c>
      <c r="J2898">
        <v>12.69507097280335</v>
      </c>
      <c r="K2898">
        <v>0</v>
      </c>
      <c r="L2898">
        <v>2.383913010422991</v>
      </c>
      <c r="M2898">
        <v>60.84</v>
      </c>
      <c r="N2898">
        <v>32.58</v>
      </c>
    </row>
    <row r="2899" spans="1:14">
      <c r="A2899" s="1" t="s">
        <v>2911</v>
      </c>
      <c r="B2899">
        <f>HYPERLINK("https://www.suredividend.com/sure-analysis-UDR/","UDR Inc")</f>
        <v>0</v>
      </c>
      <c r="C2899" t="s">
        <v>3224</v>
      </c>
      <c r="D2899">
        <v>57.58</v>
      </c>
      <c r="E2899">
        <v>0.02639805488016672</v>
      </c>
      <c r="F2899">
        <v>0.04827586206896539</v>
      </c>
      <c r="G2899">
        <v>0.04156021015686417</v>
      </c>
      <c r="H2899">
        <v>1.45369796920596</v>
      </c>
      <c r="I2899">
        <v>18333.560097</v>
      </c>
      <c r="J2899">
        <v>125.7557950804941</v>
      </c>
      <c r="K2899">
        <v>3.008480896535513</v>
      </c>
      <c r="L2899">
        <v>0.7348051876735461</v>
      </c>
      <c r="M2899">
        <v>60.3</v>
      </c>
      <c r="N2899">
        <v>43.51</v>
      </c>
    </row>
    <row r="2900" spans="1:14">
      <c r="A2900" s="1" t="s">
        <v>2912</v>
      </c>
      <c r="B2900">
        <f>HYPERLINK("https://www.suredividend.com/sure-analysis-UE/","Urban Edge Properties")</f>
        <v>0</v>
      </c>
      <c r="C2900" t="s">
        <v>3224</v>
      </c>
      <c r="D2900">
        <v>19.19</v>
      </c>
      <c r="E2900">
        <v>0.03335070349140177</v>
      </c>
      <c r="H2900">
        <v>0.6023710406026971</v>
      </c>
      <c r="I2900">
        <v>2253.475118</v>
      </c>
      <c r="J2900">
        <v>21.95534950486657</v>
      </c>
      <c r="K2900">
        <v>0.7127807840524163</v>
      </c>
      <c r="L2900">
        <v>0.9277642837475411</v>
      </c>
      <c r="M2900">
        <v>19.79</v>
      </c>
      <c r="N2900">
        <v>13.65</v>
      </c>
    </row>
    <row r="2901" spans="1:14">
      <c r="A2901" s="1" t="s">
        <v>2913</v>
      </c>
      <c r="B2901">
        <f>HYPERLINK("https://www.suredividend.com/sure-analysis-research-database/","Uranium Energy Corp")</f>
        <v>0</v>
      </c>
      <c r="C2901" t="s">
        <v>3226</v>
      </c>
      <c r="D2901">
        <v>6.4</v>
      </c>
      <c r="E2901">
        <v>0</v>
      </c>
      <c r="H2901">
        <v>0</v>
      </c>
      <c r="I2901">
        <v>1811.297126</v>
      </c>
      <c r="J2901">
        <v>0</v>
      </c>
      <c r="K2901" t="s">
        <v>3219</v>
      </c>
      <c r="L2901">
        <v>2.041250156022759</v>
      </c>
      <c r="M2901">
        <v>6.6</v>
      </c>
      <c r="N2901">
        <v>1.89</v>
      </c>
    </row>
    <row r="2902" spans="1:14">
      <c r="A2902" s="1" t="s">
        <v>2914</v>
      </c>
      <c r="B2902">
        <f>HYPERLINK("https://www.suredividend.com/sure-analysis-research-database/","Universal Electronics Inc.")</f>
        <v>0</v>
      </c>
      <c r="C2902" t="s">
        <v>3222</v>
      </c>
      <c r="D2902">
        <v>29.88</v>
      </c>
      <c r="E2902">
        <v>0</v>
      </c>
      <c r="H2902">
        <v>0</v>
      </c>
      <c r="I2902">
        <v>382.851783</v>
      </c>
      <c r="J2902">
        <v>72.22255850594227</v>
      </c>
      <c r="K2902">
        <v>0</v>
      </c>
      <c r="L2902">
        <v>0.8083445071580551</v>
      </c>
      <c r="M2902">
        <v>59.33</v>
      </c>
      <c r="N2902">
        <v>29.28</v>
      </c>
    </row>
    <row r="2903" spans="1:14">
      <c r="A2903" s="1" t="s">
        <v>2915</v>
      </c>
      <c r="B2903">
        <f>HYPERLINK("https://www.suredividend.com/sure-analysis-research-database/","Unique Fabricating Inc")</f>
        <v>0</v>
      </c>
      <c r="C2903" t="s">
        <v>3223</v>
      </c>
      <c r="D2903">
        <v>1.7606</v>
      </c>
      <c r="E2903">
        <v>0</v>
      </c>
      <c r="H2903">
        <v>0</v>
      </c>
      <c r="I2903">
        <v>20.657379</v>
      </c>
      <c r="J2903">
        <v>0</v>
      </c>
      <c r="K2903" t="s">
        <v>3219</v>
      </c>
      <c r="L2903">
        <v>0.260192770915138</v>
      </c>
      <c r="M2903">
        <v>5.25</v>
      </c>
      <c r="N2903">
        <v>1.65</v>
      </c>
    </row>
    <row r="2904" spans="1:14">
      <c r="A2904" s="1" t="s">
        <v>2916</v>
      </c>
      <c r="B2904">
        <f>HYPERLINK("https://www.suredividend.com/sure-analysis-research-database/","United Fire Group Inc")</f>
        <v>0</v>
      </c>
      <c r="C2904" t="s">
        <v>3221</v>
      </c>
      <c r="D2904">
        <v>29.59</v>
      </c>
      <c r="E2904">
        <v>0.020096500401519</v>
      </c>
      <c r="F2904">
        <v>0</v>
      </c>
      <c r="G2904">
        <v>-0.1173538208668529</v>
      </c>
      <c r="H2904">
        <v>0.5946554468809711</v>
      </c>
      <c r="I2904">
        <v>743.27843</v>
      </c>
      <c r="J2904">
        <v>9.222503287589648</v>
      </c>
      <c r="K2904">
        <v>0.1881821034433453</v>
      </c>
      <c r="L2904">
        <v>0.783521770878964</v>
      </c>
      <c r="M2904">
        <v>33.51</v>
      </c>
      <c r="N2904">
        <v>19.61</v>
      </c>
    </row>
    <row r="2905" spans="1:14">
      <c r="A2905" s="1" t="s">
        <v>2917</v>
      </c>
      <c r="B2905">
        <f>HYPERLINK("https://www.suredividend.com/sure-analysis-research-database/","UNIFI, Inc.")</f>
        <v>0</v>
      </c>
      <c r="C2905" t="s">
        <v>3223</v>
      </c>
      <c r="D2905">
        <v>16.73</v>
      </c>
      <c r="E2905">
        <v>0</v>
      </c>
      <c r="H2905">
        <v>0</v>
      </c>
      <c r="I2905">
        <v>309.989702</v>
      </c>
      <c r="J2905">
        <v>11.15632698337292</v>
      </c>
      <c r="K2905">
        <v>0</v>
      </c>
      <c r="L2905">
        <v>1.055492300372585</v>
      </c>
      <c r="M2905">
        <v>29.44</v>
      </c>
      <c r="N2905">
        <v>16.31</v>
      </c>
    </row>
    <row r="2906" spans="1:14">
      <c r="A2906" s="1" t="s">
        <v>2918</v>
      </c>
      <c r="B2906">
        <f>HYPERLINK("https://www.suredividend.com/sure-analysis-research-database/","UFP Industries Inc")</f>
        <v>0</v>
      </c>
      <c r="C2906" t="s">
        <v>3218</v>
      </c>
      <c r="D2906">
        <v>73.23999999999999</v>
      </c>
      <c r="E2906">
        <v>0.009528109828026</v>
      </c>
      <c r="H2906">
        <v>0.697838763804642</v>
      </c>
      <c r="I2906">
        <v>4547.116313</v>
      </c>
      <c r="J2906">
        <v>8.773169706925358</v>
      </c>
      <c r="K2906">
        <v>0.08123850568156485</v>
      </c>
      <c r="L2906">
        <v>1.170640560506141</v>
      </c>
      <c r="M2906">
        <v>94.58</v>
      </c>
      <c r="N2906">
        <v>67.18000000000001</v>
      </c>
    </row>
    <row r="2907" spans="1:14">
      <c r="A2907" s="1" t="s">
        <v>2919</v>
      </c>
      <c r="B2907">
        <f>HYPERLINK("https://www.suredividend.com/sure-analysis-research-database/","UFP Technologies Inc.")</f>
        <v>0</v>
      </c>
      <c r="C2907" t="s">
        <v>3223</v>
      </c>
      <c r="D2907">
        <v>72.90000000000001</v>
      </c>
      <c r="E2907">
        <v>0</v>
      </c>
      <c r="H2907">
        <v>0</v>
      </c>
      <c r="I2907">
        <v>551.232986</v>
      </c>
      <c r="J2907">
        <v>0</v>
      </c>
      <c r="K2907" t="s">
        <v>3219</v>
      </c>
      <c r="L2907">
        <v>0.916221411349996</v>
      </c>
      <c r="M2907">
        <v>76.01000000000001</v>
      </c>
      <c r="N2907">
        <v>49.21</v>
      </c>
    </row>
    <row r="2908" spans="1:14">
      <c r="A2908" s="1" t="s">
        <v>2920</v>
      </c>
      <c r="B2908">
        <f>HYPERLINK("https://www.suredividend.com/sure-analysis-research-database/","Domtar Corporation")</f>
        <v>0</v>
      </c>
      <c r="C2908" t="s">
        <v>3218</v>
      </c>
      <c r="D2908">
        <v>55.49</v>
      </c>
      <c r="E2908">
        <v>0</v>
      </c>
      <c r="H2908">
        <v>0</v>
      </c>
      <c r="I2908">
        <v>2795.535704</v>
      </c>
      <c r="J2908">
        <v>121.5450306130435</v>
      </c>
      <c r="K2908">
        <v>0</v>
      </c>
      <c r="L2908">
        <v>0.297009864263881</v>
      </c>
      <c r="M2908">
        <v>55.5</v>
      </c>
      <c r="N2908">
        <v>29.07</v>
      </c>
    </row>
    <row r="2909" spans="1:14">
      <c r="A2909" s="1" t="s">
        <v>2921</v>
      </c>
      <c r="B2909">
        <f>HYPERLINK("https://www.suredividend.com/sure-analysis-research-database/","United-Guardian, Inc.")</f>
        <v>0</v>
      </c>
      <c r="C2909" t="s">
        <v>3225</v>
      </c>
      <c r="D2909">
        <v>24.69</v>
      </c>
      <c r="E2909">
        <v>0.04502813104947</v>
      </c>
      <c r="H2909">
        <v>1.111744555611424</v>
      </c>
      <c r="I2909">
        <v>113.433736</v>
      </c>
      <c r="J2909">
        <v>0</v>
      </c>
      <c r="K2909" t="s">
        <v>3219</v>
      </c>
      <c r="M2909">
        <v>26.09</v>
      </c>
      <c r="N2909">
        <v>13.16</v>
      </c>
    </row>
    <row r="2910" spans="1:14">
      <c r="A2910" s="1" t="s">
        <v>2922</v>
      </c>
      <c r="B2910">
        <f>HYPERLINK("https://www.suredividend.com/sure-analysis-UGI/","UGI Corp.")</f>
        <v>0</v>
      </c>
      <c r="C2910" t="s">
        <v>3227</v>
      </c>
      <c r="D2910">
        <v>35.73</v>
      </c>
      <c r="E2910">
        <v>0.03862300587741394</v>
      </c>
      <c r="F2910">
        <v>0.04545454545454541</v>
      </c>
      <c r="G2910">
        <v>0.06653673185724296</v>
      </c>
      <c r="H2910">
        <v>1.361425907464783</v>
      </c>
      <c r="I2910">
        <v>7496.30771</v>
      </c>
      <c r="J2910">
        <v>7.025592980749765</v>
      </c>
      <c r="K2910">
        <v>0.2706612142077103</v>
      </c>
      <c r="L2910">
        <v>0.7236456351681151</v>
      </c>
      <c r="M2910">
        <v>47.31</v>
      </c>
      <c r="N2910">
        <v>32.7</v>
      </c>
    </row>
    <row r="2911" spans="1:14">
      <c r="A2911" s="1" t="s">
        <v>2923</v>
      </c>
      <c r="B2911">
        <f>HYPERLINK("https://www.suredividend.com/sure-analysis-research-database/","Amerco")</f>
        <v>0</v>
      </c>
      <c r="C2911" t="s">
        <v>3220</v>
      </c>
      <c r="D2911">
        <v>549.3200000000001</v>
      </c>
      <c r="E2911">
        <v>0</v>
      </c>
      <c r="H2911">
        <v>0</v>
      </c>
      <c r="I2911">
        <v>10770.950104</v>
      </c>
      <c r="J2911">
        <v>9.700770773228236</v>
      </c>
      <c r="K2911">
        <v>0</v>
      </c>
      <c r="L2911">
        <v>0.9919422184875881</v>
      </c>
      <c r="M2911">
        <v>769.2</v>
      </c>
      <c r="N2911">
        <v>522.21</v>
      </c>
    </row>
    <row r="2912" spans="1:14">
      <c r="A2912" s="1" t="s">
        <v>2924</v>
      </c>
      <c r="B2912">
        <f>HYPERLINK("https://www.suredividend.com/sure-analysis-research-database/","Universal Health Services, Inc.")</f>
        <v>0</v>
      </c>
      <c r="C2912" t="s">
        <v>3217</v>
      </c>
      <c r="D2912">
        <v>151.14</v>
      </c>
      <c r="E2912">
        <v>0.005281573775285001</v>
      </c>
      <c r="H2912">
        <v>0.7982570603966841</v>
      </c>
      <c r="I2912">
        <v>12843.756288</v>
      </c>
      <c r="J2912">
        <v>12.97964014063228</v>
      </c>
      <c r="K2912">
        <v>0.06753443827383114</v>
      </c>
      <c r="L2912">
        <v>0.7497930220223951</v>
      </c>
      <c r="M2912">
        <v>164.29</v>
      </c>
      <c r="N2912">
        <v>116.07</v>
      </c>
    </row>
    <row r="2913" spans="1:14">
      <c r="A2913" s="1" t="s">
        <v>2925</v>
      </c>
      <c r="B2913">
        <f>HYPERLINK("https://www.suredividend.com/sure-analysis-UHT/","Universal Health Realty Income Trust")</f>
        <v>0</v>
      </c>
      <c r="C2913" t="s">
        <v>3224</v>
      </c>
      <c r="D2913">
        <v>58.52</v>
      </c>
      <c r="E2913">
        <v>0.04818865345181134</v>
      </c>
      <c r="F2913">
        <v>0.014388489208633</v>
      </c>
      <c r="G2913">
        <v>0.01327898648986037</v>
      </c>
      <c r="H2913">
        <v>2.760214886316669</v>
      </c>
      <c r="I2913">
        <v>806.718916</v>
      </c>
      <c r="J2913">
        <v>7.389836726453291</v>
      </c>
      <c r="K2913">
        <v>0.3485119805955391</v>
      </c>
      <c r="L2913">
        <v>0.54461878019188</v>
      </c>
      <c r="M2913">
        <v>70.67</v>
      </c>
      <c r="N2913">
        <v>53.4</v>
      </c>
    </row>
    <row r="2914" spans="1:14">
      <c r="A2914" s="1" t="s">
        <v>2926</v>
      </c>
      <c r="B2914">
        <f>HYPERLINK("https://www.suredividend.com/sure-analysis-research-database/","Ubiquiti Inc")</f>
        <v>0</v>
      </c>
      <c r="C2914" t="s">
        <v>3222</v>
      </c>
      <c r="D2914">
        <v>289.65</v>
      </c>
      <c r="E2914">
        <v>0.007569992634141</v>
      </c>
      <c r="H2914">
        <v>2.192648366479169</v>
      </c>
      <c r="I2914">
        <v>17823.542944</v>
      </c>
      <c r="J2914">
        <v>33.24010351310876</v>
      </c>
      <c r="K2914">
        <v>0.2561505101027066</v>
      </c>
      <c r="M2914">
        <v>341.99</v>
      </c>
      <c r="N2914">
        <v>225.14</v>
      </c>
    </row>
    <row r="2915" spans="1:14">
      <c r="A2915" s="1" t="s">
        <v>2927</v>
      </c>
      <c r="B2915">
        <f>HYPERLINK("https://www.suredividend.com/sure-analysis-research-database/","United Insurance Holdings Corp")</f>
        <v>0</v>
      </c>
      <c r="C2915" t="s">
        <v>3221</v>
      </c>
      <c r="D2915">
        <v>2.95</v>
      </c>
      <c r="E2915">
        <v>0.079475569934916</v>
      </c>
      <c r="F2915">
        <v>0</v>
      </c>
      <c r="G2915">
        <v>0</v>
      </c>
      <c r="H2915">
        <v>0.234452931308003</v>
      </c>
      <c r="I2915">
        <v>127.783168</v>
      </c>
      <c r="J2915">
        <v>0</v>
      </c>
      <c r="K2915" t="s">
        <v>3219</v>
      </c>
      <c r="L2915">
        <v>0.8188840770968341</v>
      </c>
      <c r="M2915">
        <v>6.68</v>
      </c>
      <c r="N2915">
        <v>2.68</v>
      </c>
    </row>
    <row r="2916" spans="1:14">
      <c r="A2916" s="1" t="s">
        <v>2928</v>
      </c>
      <c r="B2916">
        <f>HYPERLINK("https://www.suredividend.com/sure-analysis-research-database/","Unisys Corp.")</f>
        <v>0</v>
      </c>
      <c r="C2916" t="s">
        <v>3222</v>
      </c>
      <c r="D2916">
        <v>18.53</v>
      </c>
      <c r="E2916">
        <v>0</v>
      </c>
      <c r="H2916">
        <v>0</v>
      </c>
      <c r="I2916">
        <v>1253.227575</v>
      </c>
      <c r="J2916" t="s">
        <v>3219</v>
      </c>
      <c r="K2916">
        <v>-0</v>
      </c>
      <c r="L2916">
        <v>1.281601943903698</v>
      </c>
      <c r="M2916">
        <v>28.6</v>
      </c>
      <c r="N2916">
        <v>16.66</v>
      </c>
    </row>
    <row r="2917" spans="1:14">
      <c r="A2917" s="1" t="s">
        <v>2929</v>
      </c>
      <c r="B2917">
        <f>HYPERLINK("https://www.suredividend.com/sure-analysis-research-database/","Ultralife Corp")</f>
        <v>0</v>
      </c>
      <c r="C2917" t="s">
        <v>3220</v>
      </c>
      <c r="D2917">
        <v>4.8</v>
      </c>
      <c r="E2917">
        <v>0</v>
      </c>
      <c r="H2917">
        <v>0</v>
      </c>
      <c r="I2917">
        <v>77.409994</v>
      </c>
      <c r="J2917" t="s">
        <v>3219</v>
      </c>
      <c r="K2917">
        <v>-0</v>
      </c>
      <c r="L2917">
        <v>0.5862524069221501</v>
      </c>
      <c r="M2917">
        <v>11.78</v>
      </c>
      <c r="N2917">
        <v>4.24</v>
      </c>
    </row>
    <row r="2918" spans="1:14">
      <c r="A2918" s="1" t="s">
        <v>2930</v>
      </c>
      <c r="B2918">
        <f>HYPERLINK("https://www.suredividend.com/sure-analysis-research-database/","Universal Logistics Holdings Inc")</f>
        <v>0</v>
      </c>
      <c r="C2918" t="s">
        <v>3220</v>
      </c>
      <c r="D2918">
        <v>18.56</v>
      </c>
      <c r="E2918">
        <v>0.022446390745525</v>
      </c>
      <c r="F2918">
        <v>0</v>
      </c>
      <c r="G2918">
        <v>0.08447177119769855</v>
      </c>
      <c r="H2918">
        <v>0.416605012236952</v>
      </c>
      <c r="I2918">
        <v>497.463179</v>
      </c>
      <c r="J2918">
        <v>6.74681864131393</v>
      </c>
      <c r="K2918">
        <v>0.1520456249039971</v>
      </c>
      <c r="L2918">
        <v>0.822481695839223</v>
      </c>
      <c r="M2918">
        <v>26.5</v>
      </c>
      <c r="N2918">
        <v>15.77</v>
      </c>
    </row>
    <row r="2919" spans="1:14">
      <c r="A2919" s="1" t="s">
        <v>2931</v>
      </c>
      <c r="B2919">
        <f>HYPERLINK("https://www.suredividend.com/sure-analysis-research-database/","Ulta Beauty Inc")</f>
        <v>0</v>
      </c>
      <c r="C2919" t="s">
        <v>3223</v>
      </c>
      <c r="D2919">
        <v>415.65</v>
      </c>
      <c r="E2919">
        <v>0</v>
      </c>
      <c r="H2919">
        <v>0</v>
      </c>
      <c r="I2919">
        <v>21749.826866</v>
      </c>
      <c r="J2919">
        <v>22.06229515219047</v>
      </c>
      <c r="K2919">
        <v>0</v>
      </c>
      <c r="L2919">
        <v>1.329428991982947</v>
      </c>
      <c r="M2919">
        <v>422.43</v>
      </c>
      <c r="N2919">
        <v>299.77</v>
      </c>
    </row>
    <row r="2920" spans="1:14">
      <c r="A2920" s="1" t="s">
        <v>2932</v>
      </c>
      <c r="B2920">
        <f>HYPERLINK("https://www.suredividend.com/sure-analysis-UMBF/","UMB Financial Corp.")</f>
        <v>0</v>
      </c>
      <c r="C2920" t="s">
        <v>3221</v>
      </c>
      <c r="D2920">
        <v>93.18000000000001</v>
      </c>
      <c r="E2920">
        <v>0.01588323674608285</v>
      </c>
      <c r="F2920">
        <v>0.15625</v>
      </c>
      <c r="G2920">
        <v>0.07728920677708295</v>
      </c>
      <c r="H2920">
        <v>1.422220390712317</v>
      </c>
      <c r="I2920">
        <v>4511.592874</v>
      </c>
      <c r="J2920">
        <v>12.78006468231082</v>
      </c>
      <c r="K2920">
        <v>0.1964392804851267</v>
      </c>
      <c r="L2920">
        <v>1.026225133525042</v>
      </c>
      <c r="M2920">
        <v>111.81</v>
      </c>
      <c r="N2920">
        <v>83.25</v>
      </c>
    </row>
    <row r="2921" spans="1:14">
      <c r="A2921" s="1" t="s">
        <v>2933</v>
      </c>
      <c r="B2921">
        <f>HYPERLINK("https://www.suredividend.com/sure-analysis-UMH/","UMH Properties Inc")</f>
        <v>0</v>
      </c>
      <c r="C2921" t="s">
        <v>3224</v>
      </c>
      <c r="D2921">
        <v>24.09</v>
      </c>
      <c r="E2921">
        <v>0.03320880033208801</v>
      </c>
      <c r="F2921">
        <v>0.05263157894736836</v>
      </c>
      <c r="G2921">
        <v>0.02129568760013512</v>
      </c>
      <c r="H2921">
        <v>0.7606644221040021</v>
      </c>
      <c r="I2921">
        <v>1255.293645</v>
      </c>
      <c r="J2921">
        <v>59.07542211633488</v>
      </c>
      <c r="K2921">
        <v>1.697911656482147</v>
      </c>
      <c r="L2921">
        <v>0.7370301571718391</v>
      </c>
      <c r="M2921">
        <v>27.27</v>
      </c>
      <c r="N2921">
        <v>19.04</v>
      </c>
    </row>
    <row r="2922" spans="1:14">
      <c r="A2922" s="1" t="s">
        <v>2934</v>
      </c>
      <c r="B2922">
        <f>HYPERLINK("https://www.suredividend.com/sure-analysis-research-database/","Umpqua Holdings Corp")</f>
        <v>0</v>
      </c>
      <c r="C2922" t="s">
        <v>3221</v>
      </c>
      <c r="D2922">
        <v>17.85</v>
      </c>
      <c r="E2922">
        <v>0.04635181973159901</v>
      </c>
      <c r="H2922">
        <v>0.8273799822090561</v>
      </c>
      <c r="I2922">
        <v>3866.78597</v>
      </c>
      <c r="J2922">
        <v>9.200061789793006</v>
      </c>
      <c r="K2922">
        <v>0.433183236758668</v>
      </c>
      <c r="L2922">
        <v>1.120451931834313</v>
      </c>
      <c r="M2922">
        <v>22.06</v>
      </c>
      <c r="N2922">
        <v>16.52</v>
      </c>
    </row>
    <row r="2923" spans="1:14">
      <c r="A2923" s="1" t="s">
        <v>2935</v>
      </c>
      <c r="B2923">
        <f>HYPERLINK("https://www.suredividend.com/sure-analysis-research-database/","Unico American Corp.")</f>
        <v>0</v>
      </c>
      <c r="C2923" t="s">
        <v>3221</v>
      </c>
      <c r="D2923">
        <v>2.74</v>
      </c>
      <c r="E2923">
        <v>0</v>
      </c>
      <c r="H2923">
        <v>0</v>
      </c>
      <c r="I2923">
        <v>14.535325</v>
      </c>
      <c r="J2923">
        <v>0</v>
      </c>
      <c r="K2923" t="s">
        <v>3219</v>
      </c>
      <c r="M2923">
        <v>5.17</v>
      </c>
      <c r="N2923">
        <v>2.53</v>
      </c>
    </row>
    <row r="2924" spans="1:14">
      <c r="A2924" s="1" t="s">
        <v>2936</v>
      </c>
      <c r="B2924">
        <f>HYPERLINK("https://www.suredividend.com/sure-analysis-research-database/","Union Bankshares, Inc.")</f>
        <v>0</v>
      </c>
      <c r="C2924" t="s">
        <v>3221</v>
      </c>
      <c r="D2924">
        <v>31.295</v>
      </c>
      <c r="E2924">
        <v>0.042152437494892</v>
      </c>
      <c r="F2924">
        <v>0.06060606060606055</v>
      </c>
      <c r="G2924">
        <v>0.0383266700886169</v>
      </c>
      <c r="H2924">
        <v>1.319160531402667</v>
      </c>
      <c r="I2924">
        <v>140.691993</v>
      </c>
      <c r="J2924">
        <v>0</v>
      </c>
      <c r="K2924" t="s">
        <v>3219</v>
      </c>
      <c r="M2924">
        <v>37.19</v>
      </c>
      <c r="N2924">
        <v>28.3</v>
      </c>
    </row>
    <row r="2925" spans="1:14">
      <c r="A2925" s="1" t="s">
        <v>2937</v>
      </c>
      <c r="B2925">
        <f>HYPERLINK("https://www.suredividend.com/sure-analysis-UNF/","Unifirst Corp.")</f>
        <v>0</v>
      </c>
      <c r="C2925" t="s">
        <v>3220</v>
      </c>
      <c r="D2925">
        <v>171.45</v>
      </c>
      <c r="E2925">
        <v>0.00699912510936133</v>
      </c>
      <c r="F2925">
        <v>0.2000000000000002</v>
      </c>
      <c r="G2925">
        <v>0.5157165665103982</v>
      </c>
      <c r="H2925">
        <v>1.097561210603666</v>
      </c>
      <c r="I2925">
        <v>2602.703754</v>
      </c>
      <c r="J2925">
        <v>20.2095239734909</v>
      </c>
      <c r="K2925">
        <v>0.1621213014185622</v>
      </c>
      <c r="L2925">
        <v>0.7360390686078351</v>
      </c>
      <c r="M2925">
        <v>241.74</v>
      </c>
      <c r="N2925">
        <v>165.52</v>
      </c>
    </row>
    <row r="2926" spans="1:14">
      <c r="A2926" s="1" t="s">
        <v>2938</v>
      </c>
      <c r="B2926">
        <f>HYPERLINK("https://www.suredividend.com/sure-analysis-research-database/","United Natural Foods Inc.")</f>
        <v>0</v>
      </c>
      <c r="C2926" t="s">
        <v>3225</v>
      </c>
      <c r="D2926">
        <v>44.26</v>
      </c>
      <c r="E2926">
        <v>0</v>
      </c>
      <c r="H2926">
        <v>0</v>
      </c>
      <c r="I2926">
        <v>2578.81222</v>
      </c>
      <c r="J2926">
        <v>11.06392237743636</v>
      </c>
      <c r="K2926">
        <v>0</v>
      </c>
      <c r="L2926">
        <v>0.995200785188403</v>
      </c>
      <c r="M2926">
        <v>57.89</v>
      </c>
      <c r="N2926">
        <v>30.61</v>
      </c>
    </row>
    <row r="2927" spans="1:14">
      <c r="A2927" s="1" t="s">
        <v>2939</v>
      </c>
      <c r="B2927">
        <f>HYPERLINK("https://www.suredividend.com/sure-analysis-UNH/","Unitedhealth Group Inc")</f>
        <v>0</v>
      </c>
      <c r="C2927" t="s">
        <v>3217</v>
      </c>
      <c r="D2927">
        <v>534.8200000000001</v>
      </c>
      <c r="E2927">
        <v>0.01084477020305897</v>
      </c>
      <c r="F2927">
        <v>0.1599999999999999</v>
      </c>
      <c r="G2927">
        <v>0.1409361684229278</v>
      </c>
      <c r="H2927">
        <v>5.772725172130199</v>
      </c>
      <c r="I2927">
        <v>503211.681264</v>
      </c>
      <c r="J2927">
        <v>29.11262257817299</v>
      </c>
      <c r="K2927">
        <v>0.3192878966886172</v>
      </c>
      <c r="L2927">
        <v>0.649438268283962</v>
      </c>
      <c r="M2927">
        <v>553.29</v>
      </c>
      <c r="N2927">
        <v>380.75</v>
      </c>
    </row>
    <row r="2928" spans="1:14">
      <c r="A2928" s="1" t="s">
        <v>2940</v>
      </c>
      <c r="B2928">
        <f>HYPERLINK("https://www.suredividend.com/sure-analysis-UNIT/","Uniti Group Inc")</f>
        <v>0</v>
      </c>
      <c r="C2928" t="s">
        <v>3224</v>
      </c>
      <c r="D2928">
        <v>13.38</v>
      </c>
      <c r="E2928">
        <v>0.04484304932735426</v>
      </c>
      <c r="F2928">
        <v>0</v>
      </c>
      <c r="G2928">
        <v>-0.242141716744801</v>
      </c>
      <c r="H2928">
        <v>0.5900089557185541</v>
      </c>
      <c r="I2928">
        <v>3170.231845</v>
      </c>
      <c r="J2928">
        <v>25.86403078084081</v>
      </c>
      <c r="K2928">
        <v>1.271023170440659</v>
      </c>
      <c r="L2928">
        <v>0.909218437512562</v>
      </c>
      <c r="M2928">
        <v>14.28</v>
      </c>
      <c r="N2928">
        <v>9.83</v>
      </c>
    </row>
    <row r="2929" spans="1:14">
      <c r="A2929" s="1" t="s">
        <v>2941</v>
      </c>
      <c r="B2929">
        <f>HYPERLINK("https://www.suredividend.com/sure-analysis-UNM/","Unum Group")</f>
        <v>0</v>
      </c>
      <c r="C2929" t="s">
        <v>3221</v>
      </c>
      <c r="D2929">
        <v>32.76</v>
      </c>
      <c r="E2929">
        <v>0.03663003663003663</v>
      </c>
      <c r="F2929">
        <v>0.05263157894736836</v>
      </c>
      <c r="G2929">
        <v>0.08447177119769855</v>
      </c>
      <c r="H2929">
        <v>1.165448591988017</v>
      </c>
      <c r="I2929">
        <v>6613.152306</v>
      </c>
      <c r="J2929">
        <v>8.02372276845426</v>
      </c>
      <c r="K2929">
        <v>0.2899125850716461</v>
      </c>
      <c r="L2929">
        <v>1.059947556806059</v>
      </c>
      <c r="M2929">
        <v>32.87</v>
      </c>
      <c r="N2929">
        <v>22</v>
      </c>
    </row>
    <row r="2930" spans="1:14">
      <c r="A2930" s="1" t="s">
        <v>2942</v>
      </c>
      <c r="B2930">
        <f>HYPERLINK("https://www.suredividend.com/sure-analysis-UNP/","Union Pacific Corp.")</f>
        <v>0</v>
      </c>
      <c r="C2930" t="s">
        <v>3220</v>
      </c>
      <c r="D2930">
        <v>246.21</v>
      </c>
      <c r="E2930">
        <v>0.01917062670078388</v>
      </c>
      <c r="F2930">
        <v>0.2164948453608246</v>
      </c>
      <c r="G2930">
        <v>0.1429449853885714</v>
      </c>
      <c r="H2930">
        <v>4.468578651890827</v>
      </c>
      <c r="I2930">
        <v>154715.165978</v>
      </c>
      <c r="J2930">
        <v>23.71840655807297</v>
      </c>
      <c r="K2930">
        <v>0.4491033820995806</v>
      </c>
      <c r="L2930">
        <v>0.65398833868018</v>
      </c>
      <c r="M2930">
        <v>278.94</v>
      </c>
      <c r="N2930">
        <v>193.8</v>
      </c>
    </row>
    <row r="2931" spans="1:14">
      <c r="A2931" s="1" t="s">
        <v>2943</v>
      </c>
      <c r="B2931">
        <f>HYPERLINK("https://www.suredividend.com/sure-analysis-research-database/","Unity Bancorp, Inc.")</f>
        <v>0</v>
      </c>
      <c r="C2931" t="s">
        <v>3221</v>
      </c>
      <c r="D2931">
        <v>28.35</v>
      </c>
      <c r="E2931">
        <v>0.013331229913079</v>
      </c>
      <c r="F2931">
        <v>0.25</v>
      </c>
      <c r="G2931">
        <v>0.1075663432482901</v>
      </c>
      <c r="H2931">
        <v>0.377940368035791</v>
      </c>
      <c r="I2931">
        <v>296.49615</v>
      </c>
      <c r="J2931">
        <v>0</v>
      </c>
      <c r="K2931" t="s">
        <v>3219</v>
      </c>
      <c r="L2931">
        <v>0.433465994648854</v>
      </c>
      <c r="M2931">
        <v>31.26</v>
      </c>
      <c r="N2931">
        <v>20.69</v>
      </c>
    </row>
    <row r="2932" spans="1:14">
      <c r="A2932" s="1" t="s">
        <v>2944</v>
      </c>
      <c r="B2932">
        <f>HYPERLINK("https://www.suredividend.com/sure-analysis-research-database/","Univar Solutions Inc")</f>
        <v>0</v>
      </c>
      <c r="C2932" t="s">
        <v>3218</v>
      </c>
      <c r="D2932">
        <v>30.8</v>
      </c>
      <c r="E2932">
        <v>0</v>
      </c>
      <c r="H2932">
        <v>0</v>
      </c>
      <c r="I2932">
        <v>5232.164076</v>
      </c>
      <c r="J2932">
        <v>11.35945305167173</v>
      </c>
      <c r="K2932">
        <v>0</v>
      </c>
      <c r="L2932">
        <v>1.130967855645264</v>
      </c>
      <c r="M2932">
        <v>34</v>
      </c>
      <c r="N2932">
        <v>21.56</v>
      </c>
    </row>
    <row r="2933" spans="1:14">
      <c r="A2933" s="1" t="s">
        <v>2945</v>
      </c>
      <c r="B2933">
        <f>HYPERLINK("https://www.suredividend.com/sure-analysis-research-database/","Urban One Inc")</f>
        <v>0</v>
      </c>
      <c r="C2933" t="s">
        <v>3228</v>
      </c>
      <c r="D2933">
        <v>8.1</v>
      </c>
      <c r="E2933">
        <v>0</v>
      </c>
      <c r="H2933">
        <v>0</v>
      </c>
      <c r="I2933">
        <v>298.470249</v>
      </c>
      <c r="J2933">
        <v>0</v>
      </c>
      <c r="K2933" t="s">
        <v>3219</v>
      </c>
      <c r="L2933">
        <v>1.216977517107643</v>
      </c>
      <c r="M2933">
        <v>24.16</v>
      </c>
      <c r="N2933">
        <v>3.73</v>
      </c>
    </row>
    <row r="2934" spans="1:14">
      <c r="A2934" s="1" t="s">
        <v>2946</v>
      </c>
      <c r="B2934">
        <f>HYPERLINK("https://www.suredividend.com/sure-analysis-research-database/","Urban One Inc")</f>
        <v>0</v>
      </c>
      <c r="C2934" t="s">
        <v>3228</v>
      </c>
      <c r="D2934">
        <v>6.02</v>
      </c>
      <c r="E2934">
        <v>0</v>
      </c>
      <c r="H2934">
        <v>0</v>
      </c>
      <c r="I2934">
        <v>298.470249</v>
      </c>
      <c r="J2934">
        <v>7.782390725385899</v>
      </c>
      <c r="K2934">
        <v>0</v>
      </c>
      <c r="L2934">
        <v>1.42893309299432</v>
      </c>
      <c r="M2934">
        <v>7.59</v>
      </c>
      <c r="N2934">
        <v>1.67</v>
      </c>
    </row>
    <row r="2935" spans="1:14">
      <c r="A2935" s="1" t="s">
        <v>2947</v>
      </c>
      <c r="B2935">
        <f>HYPERLINK("https://www.suredividend.com/sure-analysis-research-database/","Upland Software Inc")</f>
        <v>0</v>
      </c>
      <c r="C2935" t="s">
        <v>3222</v>
      </c>
      <c r="D2935">
        <v>16.14</v>
      </c>
      <c r="E2935">
        <v>0</v>
      </c>
      <c r="H2935">
        <v>0</v>
      </c>
      <c r="I2935">
        <v>502.479083</v>
      </c>
      <c r="J2935">
        <v>0</v>
      </c>
      <c r="K2935" t="s">
        <v>3219</v>
      </c>
      <c r="L2935">
        <v>1.364375201960554</v>
      </c>
      <c r="M2935">
        <v>53</v>
      </c>
      <c r="N2935">
        <v>15.08</v>
      </c>
    </row>
    <row r="2936" spans="1:14">
      <c r="A2936" s="1" t="s">
        <v>2948</v>
      </c>
      <c r="B2936">
        <f>HYPERLINK("https://www.suredividend.com/sure-analysis-UPS/","United Parcel Service, Inc.")</f>
        <v>0</v>
      </c>
      <c r="C2936" t="s">
        <v>3220</v>
      </c>
      <c r="D2936">
        <v>188.02</v>
      </c>
      <c r="E2936">
        <v>0.03233698542708222</v>
      </c>
      <c r="F2936">
        <v>0.4901960784313726</v>
      </c>
      <c r="G2936">
        <v>0.1286339217757424</v>
      </c>
      <c r="H2936">
        <v>4.542672689895152</v>
      </c>
      <c r="I2936">
        <v>162524.488</v>
      </c>
      <c r="J2936">
        <v>12.60857160589604</v>
      </c>
      <c r="K2936">
        <v>0.3094463685214681</v>
      </c>
      <c r="L2936">
        <v>0.8625128274578261</v>
      </c>
      <c r="M2936">
        <v>232.03</v>
      </c>
      <c r="N2936">
        <v>170.86</v>
      </c>
    </row>
    <row r="2937" spans="1:14">
      <c r="A2937" s="1" t="s">
        <v>2949</v>
      </c>
      <c r="B2937">
        <f>HYPERLINK("https://www.suredividend.com/sure-analysis-research-database/","Upwork Inc")</f>
        <v>0</v>
      </c>
      <c r="C2937" t="s">
        <v>3220</v>
      </c>
      <c r="D2937">
        <v>20.86</v>
      </c>
      <c r="E2937">
        <v>0</v>
      </c>
      <c r="H2937">
        <v>0</v>
      </c>
      <c r="I2937">
        <v>2695.437938</v>
      </c>
      <c r="J2937" t="s">
        <v>3219</v>
      </c>
      <c r="K2937">
        <v>-0</v>
      </c>
      <c r="L2937">
        <v>2.185446104744281</v>
      </c>
      <c r="M2937">
        <v>64.48999999999999</v>
      </c>
      <c r="N2937">
        <v>17.85</v>
      </c>
    </row>
    <row r="2938" spans="1:14">
      <c r="A2938" s="1" t="s">
        <v>2950</v>
      </c>
      <c r="B2938">
        <f>HYPERLINK("https://www.suredividend.com/sure-analysis-research-database/","Urban Outfitters, Inc.")</f>
        <v>0</v>
      </c>
      <c r="C2938" t="s">
        <v>3223</v>
      </c>
      <c r="D2938">
        <v>26.06</v>
      </c>
      <c r="E2938">
        <v>0</v>
      </c>
      <c r="H2938">
        <v>0</v>
      </c>
      <c r="I2938">
        <v>2492.951199</v>
      </c>
      <c r="J2938">
        <v>8.025829959821774</v>
      </c>
      <c r="K2938">
        <v>0</v>
      </c>
      <c r="L2938">
        <v>1.317878371278621</v>
      </c>
      <c r="M2938">
        <v>42.1</v>
      </c>
      <c r="N2938">
        <v>23.5</v>
      </c>
    </row>
    <row r="2939" spans="1:14">
      <c r="A2939" s="1" t="s">
        <v>2951</v>
      </c>
      <c r="B2939">
        <f>HYPERLINK("https://www.suredividend.com/sure-analysis-research-database/","United Rentals, Inc.")</f>
        <v>0</v>
      </c>
      <c r="C2939" t="s">
        <v>3220</v>
      </c>
      <c r="D2939">
        <v>331.07</v>
      </c>
      <c r="E2939">
        <v>0</v>
      </c>
      <c r="H2939">
        <v>0</v>
      </c>
      <c r="I2939">
        <v>23900.624311</v>
      </c>
      <c r="J2939">
        <v>17.24431768469697</v>
      </c>
      <c r="K2939">
        <v>0</v>
      </c>
      <c r="L2939">
        <v>1.370816239823431</v>
      </c>
      <c r="M2939">
        <v>414.99</v>
      </c>
      <c r="N2939">
        <v>285.59</v>
      </c>
    </row>
    <row r="2940" spans="1:14">
      <c r="A2940" s="1" t="s">
        <v>2952</v>
      </c>
      <c r="B2940">
        <f>HYPERLINK("https://www.suredividend.com/sure-analysis-research-database/","Urovant Sciences Ltd")</f>
        <v>0</v>
      </c>
      <c r="C2940" t="s">
        <v>3217</v>
      </c>
      <c r="D2940">
        <v>16.24</v>
      </c>
      <c r="E2940">
        <v>0</v>
      </c>
      <c r="H2940">
        <v>0</v>
      </c>
      <c r="I2940">
        <v>0</v>
      </c>
      <c r="J2940">
        <v>0</v>
      </c>
      <c r="K2940" t="s">
        <v>3219</v>
      </c>
    </row>
    <row r="2941" spans="1:14">
      <c r="A2941" s="1" t="s">
        <v>2953</v>
      </c>
      <c r="B2941">
        <f>HYPERLINK("https://www.suredividend.com/sure-analysis-research-database/","USA Truck, Inc.")</f>
        <v>0</v>
      </c>
      <c r="C2941" t="s">
        <v>3220</v>
      </c>
      <c r="D2941">
        <v>14.86</v>
      </c>
      <c r="E2941">
        <v>0</v>
      </c>
      <c r="H2941">
        <v>0</v>
      </c>
      <c r="I2941">
        <v>133.869237</v>
      </c>
      <c r="J2941">
        <v>5.404927221414729</v>
      </c>
      <c r="K2941">
        <v>0</v>
      </c>
      <c r="L2941">
        <v>1.584198478931897</v>
      </c>
      <c r="M2941">
        <v>29.09</v>
      </c>
      <c r="N2941">
        <v>13.01</v>
      </c>
    </row>
    <row r="2942" spans="1:14">
      <c r="A2942" s="1" t="s">
        <v>2954</v>
      </c>
      <c r="B2942">
        <f>HYPERLINK("https://www.suredividend.com/sure-analysis-research-database/","Universal Stainless &amp; Alloy Products, Inc.")</f>
        <v>0</v>
      </c>
      <c r="C2942" t="s">
        <v>3218</v>
      </c>
      <c r="D2942">
        <v>8.653600000000001</v>
      </c>
      <c r="E2942">
        <v>0</v>
      </c>
      <c r="H2942">
        <v>0</v>
      </c>
      <c r="I2942">
        <v>77.48157399999999</v>
      </c>
      <c r="J2942" t="s">
        <v>3219</v>
      </c>
      <c r="K2942">
        <v>-0</v>
      </c>
      <c r="L2942">
        <v>0.8052879769504641</v>
      </c>
      <c r="M2942">
        <v>12.47</v>
      </c>
      <c r="N2942">
        <v>7.5</v>
      </c>
    </row>
    <row r="2943" spans="1:14">
      <c r="A2943" s="1" t="s">
        <v>2955</v>
      </c>
      <c r="B2943">
        <f>HYPERLINK("https://www.suredividend.com/sure-analysis-research-database/","Cantaloupe Inc")</f>
        <v>0</v>
      </c>
      <c r="C2943" t="s">
        <v>3222</v>
      </c>
      <c r="D2943">
        <v>12.16</v>
      </c>
      <c r="E2943">
        <v>0</v>
      </c>
      <c r="H2943">
        <v>0</v>
      </c>
      <c r="I2943">
        <v>864.315265</v>
      </c>
      <c r="J2943">
        <v>0</v>
      </c>
      <c r="K2943" t="s">
        <v>3219</v>
      </c>
      <c r="M2943">
        <v>12.94</v>
      </c>
      <c r="N2943">
        <v>7.75</v>
      </c>
    </row>
    <row r="2944" spans="1:14">
      <c r="A2944" s="1" t="s">
        <v>2956</v>
      </c>
      <c r="B2944">
        <f>HYPERLINK("https://www.suredividend.com/sure-analysis-USB/","U.S. Bancorp.")</f>
        <v>0</v>
      </c>
      <c r="C2944" t="s">
        <v>3221</v>
      </c>
      <c r="D2944">
        <v>52.71</v>
      </c>
      <c r="E2944">
        <v>0.03490798709922216</v>
      </c>
      <c r="F2944">
        <v>0.09523809523809534</v>
      </c>
      <c r="G2944">
        <v>0.1043836287043816</v>
      </c>
      <c r="H2944">
        <v>1.778920815717495</v>
      </c>
      <c r="I2944">
        <v>78276.384079</v>
      </c>
      <c r="J2944">
        <v>10.29275267309665</v>
      </c>
      <c r="K2944">
        <v>0.3488080030818618</v>
      </c>
      <c r="L2944">
        <v>0.937269199844976</v>
      </c>
      <c r="M2944">
        <v>63.06</v>
      </c>
      <c r="N2944">
        <v>49.78</v>
      </c>
    </row>
    <row r="2945" spans="1:14">
      <c r="A2945" s="1" t="s">
        <v>2957</v>
      </c>
      <c r="B2945">
        <f>HYPERLINK("https://www.suredividend.com/sure-analysis-research-database/","U.S. Concrete, Inc.")</f>
        <v>0</v>
      </c>
      <c r="C2945" t="s">
        <v>3218</v>
      </c>
      <c r="D2945">
        <v>73.98999999999999</v>
      </c>
      <c r="E2945">
        <v>0</v>
      </c>
      <c r="H2945">
        <v>0</v>
      </c>
      <c r="I2945">
        <v>0</v>
      </c>
      <c r="J2945">
        <v>0</v>
      </c>
      <c r="K2945">
        <v>-0</v>
      </c>
    </row>
    <row r="2946" spans="1:14">
      <c r="A2946" s="1" t="s">
        <v>2958</v>
      </c>
      <c r="B2946">
        <f>HYPERLINK("https://www.suredividend.com/sure-analysis-research-database/","ProShares Trust")</f>
        <v>0</v>
      </c>
      <c r="D2946">
        <v>29.5</v>
      </c>
      <c r="E2946">
        <v>0</v>
      </c>
      <c r="H2946">
        <v>0</v>
      </c>
      <c r="I2946">
        <v>266.975</v>
      </c>
      <c r="J2946">
        <v>0</v>
      </c>
      <c r="K2946" t="s">
        <v>3219</v>
      </c>
      <c r="L2946">
        <v>3.65232176099163</v>
      </c>
      <c r="M2946">
        <v>58.41</v>
      </c>
      <c r="N2946">
        <v>24.81</v>
      </c>
    </row>
    <row r="2947" spans="1:14">
      <c r="A2947" s="1" t="s">
        <v>2959</v>
      </c>
      <c r="B2947">
        <f>HYPERLINK("https://www.suredividend.com/sure-analysis-research-database/","U.S. Energy Corp.")</f>
        <v>0</v>
      </c>
      <c r="C2947" t="s">
        <v>3226</v>
      </c>
      <c r="D2947">
        <v>4.79</v>
      </c>
      <c r="E2947">
        <v>0.004697286199179001</v>
      </c>
      <c r="H2947">
        <v>0.022500000894069</v>
      </c>
      <c r="I2947">
        <v>119.145559</v>
      </c>
      <c r="J2947" t="s">
        <v>3219</v>
      </c>
      <c r="K2947" t="s">
        <v>3219</v>
      </c>
      <c r="L2947">
        <v>0.118871624634296</v>
      </c>
      <c r="M2947">
        <v>13.85</v>
      </c>
      <c r="N2947">
        <v>2.89</v>
      </c>
    </row>
    <row r="2948" spans="1:14">
      <c r="A2948" s="1" t="s">
        <v>2960</v>
      </c>
      <c r="B2948">
        <f>HYPERLINK("https://www.suredividend.com/sure-analysis-research-database/","US Foods Holding Corp")</f>
        <v>0</v>
      </c>
      <c r="C2948" t="s">
        <v>3225</v>
      </c>
      <c r="D2948">
        <v>36.53</v>
      </c>
      <c r="E2948">
        <v>0</v>
      </c>
      <c r="H2948">
        <v>0</v>
      </c>
      <c r="I2948">
        <v>8150.456485</v>
      </c>
      <c r="J2948">
        <v>67.35914450264464</v>
      </c>
      <c r="K2948">
        <v>0</v>
      </c>
      <c r="L2948">
        <v>1.446080639538608</v>
      </c>
      <c r="M2948">
        <v>42.1</v>
      </c>
      <c r="N2948">
        <v>30.02</v>
      </c>
    </row>
    <row r="2949" spans="1:14">
      <c r="A2949" s="1" t="s">
        <v>2961</v>
      </c>
      <c r="B2949">
        <f>HYPERLINK("https://www.suredividend.com/sure-analysis-research-database/","Usio Inc")</f>
        <v>0</v>
      </c>
      <c r="C2949" t="s">
        <v>3222</v>
      </c>
      <c r="D2949">
        <v>3.15</v>
      </c>
      <c r="E2949">
        <v>0</v>
      </c>
      <c r="H2949">
        <v>0</v>
      </c>
      <c r="I2949">
        <v>80.428991</v>
      </c>
      <c r="J2949">
        <v>0</v>
      </c>
      <c r="K2949" t="s">
        <v>3219</v>
      </c>
      <c r="L2949">
        <v>1.674946332830231</v>
      </c>
      <c r="M2949">
        <v>8.619999999999999</v>
      </c>
      <c r="N2949">
        <v>2.54</v>
      </c>
    </row>
    <row r="2950" spans="1:14">
      <c r="A2950" s="1" t="s">
        <v>2962</v>
      </c>
      <c r="B2950">
        <f>HYPERLINK("https://www.suredividend.com/sure-analysis-research-database/","United States Lime &amp; Minerals Inc.")</f>
        <v>0</v>
      </c>
      <c r="C2950" t="s">
        <v>3218</v>
      </c>
      <c r="D2950">
        <v>116.26</v>
      </c>
      <c r="E2950">
        <v>0.005837241676607</v>
      </c>
      <c r="F2950">
        <v>0.25</v>
      </c>
      <c r="G2950">
        <v>0.08178074106640287</v>
      </c>
      <c r="H2950">
        <v>0.6786377173224131</v>
      </c>
      <c r="I2950">
        <v>658.980863</v>
      </c>
      <c r="J2950">
        <v>17.78865873667161</v>
      </c>
      <c r="K2950">
        <v>0.1037672350645892</v>
      </c>
      <c r="L2950">
        <v>0.7636822023353731</v>
      </c>
      <c r="M2950">
        <v>153.18</v>
      </c>
      <c r="N2950">
        <v>111.51</v>
      </c>
    </row>
    <row r="2951" spans="1:14">
      <c r="A2951" s="1" t="s">
        <v>2963</v>
      </c>
      <c r="B2951">
        <f>HYPERLINK("https://www.suredividend.com/sure-analysis-research-database/","United States Cellular Corporation")</f>
        <v>0</v>
      </c>
      <c r="C2951" t="s">
        <v>3228</v>
      </c>
      <c r="D2951">
        <v>32.31</v>
      </c>
      <c r="E2951">
        <v>0</v>
      </c>
      <c r="H2951">
        <v>0</v>
      </c>
      <c r="I2951">
        <v>1699.685611</v>
      </c>
      <c r="J2951">
        <v>10.96571362122581</v>
      </c>
      <c r="K2951">
        <v>0</v>
      </c>
      <c r="L2951">
        <v>0.556105496684397</v>
      </c>
      <c r="M2951">
        <v>39.96</v>
      </c>
      <c r="N2951">
        <v>25.44</v>
      </c>
    </row>
    <row r="2952" spans="1:14">
      <c r="A2952" s="1" t="s">
        <v>2964</v>
      </c>
      <c r="B2952">
        <f>HYPERLINK("https://www.suredividend.com/sure-analysis-research-database/","Usana Health Sciences Inc")</f>
        <v>0</v>
      </c>
      <c r="C2952" t="s">
        <v>3225</v>
      </c>
      <c r="D2952">
        <v>82.11</v>
      </c>
      <c r="E2952">
        <v>0</v>
      </c>
      <c r="H2952">
        <v>0</v>
      </c>
      <c r="I2952">
        <v>1575.240937</v>
      </c>
      <c r="J2952">
        <v>13.52080114329857</v>
      </c>
      <c r="K2952">
        <v>0</v>
      </c>
      <c r="L2952">
        <v>0.358181798456599</v>
      </c>
      <c r="M2952">
        <v>107.85</v>
      </c>
      <c r="N2952">
        <v>77.03</v>
      </c>
    </row>
    <row r="2953" spans="1:14">
      <c r="A2953" s="1" t="s">
        <v>2965</v>
      </c>
      <c r="B2953">
        <f>HYPERLINK("https://www.suredividend.com/sure-analysis-research-database/","U.S. Physical Therapy, Inc.")</f>
        <v>0</v>
      </c>
      <c r="C2953" t="s">
        <v>3217</v>
      </c>
      <c r="D2953">
        <v>106.85</v>
      </c>
      <c r="E2953">
        <v>0.01414481855554</v>
      </c>
      <c r="H2953">
        <v>1.51137386265955</v>
      </c>
      <c r="I2953">
        <v>1388.134937</v>
      </c>
      <c r="J2953">
        <v>44.57150451451323</v>
      </c>
      <c r="K2953">
        <v>0.6271260840910995</v>
      </c>
      <c r="L2953">
        <v>0.6909985472287471</v>
      </c>
      <c r="M2953">
        <v>121.97</v>
      </c>
      <c r="N2953">
        <v>84.06999999999999</v>
      </c>
    </row>
    <row r="2954" spans="1:14">
      <c r="A2954" s="1" t="s">
        <v>2966</v>
      </c>
      <c r="B2954">
        <f>HYPERLINK("https://www.suredividend.com/sure-analysis-research-database/","U.S. Well Services Inc")</f>
        <v>0</v>
      </c>
      <c r="C2954" t="s">
        <v>3226</v>
      </c>
      <c r="D2954">
        <v>1.06</v>
      </c>
      <c r="E2954">
        <v>0</v>
      </c>
      <c r="H2954">
        <v>0</v>
      </c>
      <c r="I2954">
        <v>81.718874</v>
      </c>
      <c r="J2954">
        <v>0</v>
      </c>
      <c r="K2954" t="s">
        <v>3219</v>
      </c>
      <c r="L2954">
        <v>0.244243498456314</v>
      </c>
      <c r="M2954">
        <v>5.6</v>
      </c>
      <c r="N2954">
        <v>0.7901</v>
      </c>
    </row>
    <row r="2955" spans="1:14">
      <c r="A2955" s="1" t="s">
        <v>2967</v>
      </c>
      <c r="B2955">
        <f>HYPERLINK("https://www.suredividend.com/sure-analysis-research-database/","U.S. Xpress Enterprises Inc")</f>
        <v>0</v>
      </c>
      <c r="C2955" t="s">
        <v>3220</v>
      </c>
      <c r="D2955">
        <v>3.4</v>
      </c>
      <c r="E2955">
        <v>0</v>
      </c>
      <c r="H2955">
        <v>0</v>
      </c>
      <c r="I2955">
        <v>123.884705</v>
      </c>
      <c r="J2955">
        <v>0</v>
      </c>
      <c r="K2955" t="s">
        <v>3219</v>
      </c>
      <c r="L2955">
        <v>1.243508563146564</v>
      </c>
      <c r="M2955">
        <v>12.05</v>
      </c>
      <c r="N2955">
        <v>3.07</v>
      </c>
    </row>
    <row r="2956" spans="1:14">
      <c r="A2956" s="1" t="s">
        <v>2968</v>
      </c>
      <c r="B2956">
        <f>HYPERLINK("https://www.suredividend.com/sure-analysis-research-database/","United Therapeutics Corp")</f>
        <v>0</v>
      </c>
      <c r="C2956" t="s">
        <v>3217</v>
      </c>
      <c r="D2956">
        <v>191.91</v>
      </c>
      <c r="E2956">
        <v>0</v>
      </c>
      <c r="H2956">
        <v>0</v>
      </c>
      <c r="I2956">
        <v>8661.301695</v>
      </c>
      <c r="J2956">
        <v>18.20366056078184</v>
      </c>
      <c r="K2956">
        <v>0</v>
      </c>
      <c r="L2956">
        <v>0.476371558285913</v>
      </c>
      <c r="M2956">
        <v>218.38</v>
      </c>
      <c r="N2956">
        <v>158.38</v>
      </c>
    </row>
    <row r="2957" spans="1:14">
      <c r="A2957" s="1" t="s">
        <v>2969</v>
      </c>
      <c r="B2957">
        <f>HYPERLINK("https://www.suredividend.com/sure-analysis-research-database/","Universal Technical Institute Inc")</f>
        <v>0</v>
      </c>
      <c r="C2957" t="s">
        <v>3225</v>
      </c>
      <c r="D2957">
        <v>9.57</v>
      </c>
      <c r="E2957">
        <v>0</v>
      </c>
      <c r="H2957">
        <v>0</v>
      </c>
      <c r="I2957">
        <v>315.523216</v>
      </c>
      <c r="J2957">
        <v>22.30476571539658</v>
      </c>
      <c r="K2957">
        <v>0</v>
      </c>
      <c r="L2957">
        <v>0.5303726651199611</v>
      </c>
      <c r="M2957">
        <v>9.73</v>
      </c>
      <c r="N2957">
        <v>5.34</v>
      </c>
    </row>
    <row r="2958" spans="1:14">
      <c r="A2958" s="1" t="s">
        <v>2970</v>
      </c>
      <c r="B2958">
        <f>HYPERLINK("https://www.suredividend.com/sure-analysis-research-database/","Unitil Corp.")</f>
        <v>0</v>
      </c>
      <c r="C2958" t="s">
        <v>3227</v>
      </c>
      <c r="D2958">
        <v>51.09</v>
      </c>
      <c r="E2958">
        <v>0.029589265158833</v>
      </c>
      <c r="F2958">
        <v>0.02631578947368429</v>
      </c>
      <c r="G2958">
        <v>0.01613736474159566</v>
      </c>
      <c r="H2958">
        <v>1.51171555696481</v>
      </c>
      <c r="I2958">
        <v>818.264133</v>
      </c>
      <c r="J2958">
        <v>22.67350530050708</v>
      </c>
      <c r="K2958">
        <v>0.6432832157297064</v>
      </c>
      <c r="L2958">
        <v>0.315302026275845</v>
      </c>
      <c r="M2958">
        <v>57.49</v>
      </c>
      <c r="N2958">
        <v>40.19</v>
      </c>
    </row>
    <row r="2959" spans="1:14">
      <c r="A2959" s="1" t="s">
        <v>2971</v>
      </c>
      <c r="B2959">
        <f>HYPERLINK("https://www.suredividend.com/sure-analysis-research-database/","Utah Medical Products, Inc.")</f>
        <v>0</v>
      </c>
      <c r="C2959" t="s">
        <v>3217</v>
      </c>
      <c r="D2959">
        <v>88.84</v>
      </c>
      <c r="E2959">
        <v>0.009534055498973001</v>
      </c>
      <c r="F2959">
        <v>0.01754385964912264</v>
      </c>
      <c r="G2959">
        <v>0.01819374512778538</v>
      </c>
      <c r="H2959">
        <v>0.847005490528778</v>
      </c>
      <c r="I2959">
        <v>324.709045</v>
      </c>
      <c r="J2959">
        <v>0</v>
      </c>
      <c r="K2959" t="s">
        <v>3219</v>
      </c>
      <c r="L2959">
        <v>0.540434696150311</v>
      </c>
      <c r="M2959">
        <v>131.02</v>
      </c>
      <c r="N2959">
        <v>78.77</v>
      </c>
    </row>
    <row r="2960" spans="1:14">
      <c r="A2960" s="1" t="s">
        <v>2972</v>
      </c>
      <c r="B2960">
        <f>HYPERLINK("https://www.suredividend.com/sure-analysis-research-database/","Universal Security Instruments, Inc.")</f>
        <v>0</v>
      </c>
      <c r="C2960" t="s">
        <v>3220</v>
      </c>
      <c r="D2960">
        <v>3.55</v>
      </c>
      <c r="E2960">
        <v>0</v>
      </c>
      <c r="H2960">
        <v>0</v>
      </c>
      <c r="I2960">
        <v>8.210749</v>
      </c>
      <c r="J2960">
        <v>0</v>
      </c>
      <c r="K2960" t="s">
        <v>3219</v>
      </c>
      <c r="L2960">
        <v>1.714357948583752</v>
      </c>
      <c r="M2960">
        <v>9.550000000000001</v>
      </c>
      <c r="N2960">
        <v>2.27</v>
      </c>
    </row>
    <row r="2961" spans="1:14">
      <c r="A2961" s="1" t="s">
        <v>2973</v>
      </c>
      <c r="B2961">
        <f>HYPERLINK("https://www.suredividend.com/sure-analysis-research-database/","Universal Insurance Holdings Inc")</f>
        <v>0</v>
      </c>
      <c r="C2961" t="s">
        <v>3221</v>
      </c>
      <c r="D2961">
        <v>12.54</v>
      </c>
      <c r="E2961">
        <v>0.050146553216058</v>
      </c>
      <c r="F2961">
        <v>0</v>
      </c>
      <c r="G2961">
        <v>0.02706608708935176</v>
      </c>
      <c r="H2961">
        <v>0.6288377773293771</v>
      </c>
      <c r="I2961">
        <v>391.777991</v>
      </c>
      <c r="J2961">
        <v>19.20762811001618</v>
      </c>
      <c r="K2961">
        <v>0.9652153143965878</v>
      </c>
      <c r="L2961">
        <v>0.7007299205781591</v>
      </c>
      <c r="M2961">
        <v>19.39</v>
      </c>
      <c r="N2961">
        <v>11.4</v>
      </c>
    </row>
    <row r="2962" spans="1:14">
      <c r="A2962" s="1" t="s">
        <v>2974</v>
      </c>
      <c r="B2962">
        <f>HYPERLINK("https://www.suredividend.com/sure-analysis-research-database/","Univest Financial Corp")</f>
        <v>0</v>
      </c>
      <c r="C2962" t="s">
        <v>3221</v>
      </c>
      <c r="D2962">
        <v>25</v>
      </c>
      <c r="E2962">
        <v>0.031680910347325</v>
      </c>
      <c r="H2962">
        <v>0.7920227586831411</v>
      </c>
      <c r="I2962">
        <v>738.1812</v>
      </c>
      <c r="J2962">
        <v>8.043380005448107</v>
      </c>
      <c r="K2962">
        <v>0.2546696973257688</v>
      </c>
      <c r="L2962">
        <v>0.843649033134904</v>
      </c>
      <c r="M2962">
        <v>31.72</v>
      </c>
      <c r="N2962">
        <v>24.15</v>
      </c>
    </row>
    <row r="2963" spans="1:14">
      <c r="A2963" s="1" t="s">
        <v>2975</v>
      </c>
      <c r="B2963">
        <f>HYPERLINK("https://www.suredividend.com/sure-analysis-UVV/","Universal Corp.")</f>
        <v>0</v>
      </c>
      <c r="C2963" t="s">
        <v>3225</v>
      </c>
      <c r="D2963">
        <v>58.98</v>
      </c>
      <c r="E2963">
        <v>0.05289928789420143</v>
      </c>
      <c r="F2963">
        <v>0.0129870129870131</v>
      </c>
      <c r="G2963">
        <v>0.07631692251481081</v>
      </c>
      <c r="H2963">
        <v>3.056907981559554</v>
      </c>
      <c r="I2963">
        <v>1451.396531</v>
      </c>
      <c r="J2963">
        <v>14.48962274718473</v>
      </c>
      <c r="K2963">
        <v>0.760424871034715</v>
      </c>
      <c r="L2963">
        <v>0.372003038264815</v>
      </c>
      <c r="M2963">
        <v>59.64</v>
      </c>
      <c r="N2963">
        <v>44.83</v>
      </c>
    </row>
    <row r="2964" spans="1:14">
      <c r="A2964" s="1" t="s">
        <v>2976</v>
      </c>
      <c r="B2964">
        <f>HYPERLINK("https://www.suredividend.com/sure-analysis-V/","Visa Inc")</f>
        <v>0</v>
      </c>
      <c r="C2964" t="s">
        <v>3221</v>
      </c>
      <c r="D2964">
        <v>212.79</v>
      </c>
      <c r="E2964">
        <v>0.007049203440011279</v>
      </c>
      <c r="F2964">
        <v>0.171875</v>
      </c>
      <c r="G2964">
        <v>0.1784453978479226</v>
      </c>
      <c r="H2964">
        <v>1.386794347711089</v>
      </c>
      <c r="I2964">
        <v>468989.16</v>
      </c>
      <c r="J2964">
        <v>35.68085514303105</v>
      </c>
      <c r="K2964">
        <v>0.2296017131972002</v>
      </c>
      <c r="L2964">
        <v>1.095909246380455</v>
      </c>
      <c r="M2964">
        <v>251.47</v>
      </c>
      <c r="N2964">
        <v>186.67</v>
      </c>
    </row>
    <row r="2965" spans="1:14">
      <c r="A2965" s="1" t="s">
        <v>2977</v>
      </c>
      <c r="B2965">
        <f>HYPERLINK("https://www.suredividend.com/sure-analysis-research-database/","Marriott Vacations Worldwide Corp")</f>
        <v>0</v>
      </c>
      <c r="C2965" t="s">
        <v>3223</v>
      </c>
      <c r="D2965">
        <v>152.05</v>
      </c>
      <c r="E2965">
        <v>0.007614754287575001</v>
      </c>
      <c r="H2965">
        <v>1.157823389425816</v>
      </c>
      <c r="I2965">
        <v>6382.828796</v>
      </c>
      <c r="J2965">
        <v>130.2618121693878</v>
      </c>
      <c r="K2965">
        <v>1.024622468518421</v>
      </c>
      <c r="L2965">
        <v>1.339333146806138</v>
      </c>
      <c r="M2965">
        <v>181.35</v>
      </c>
      <c r="N2965">
        <v>133.49</v>
      </c>
    </row>
    <row r="2966" spans="1:14">
      <c r="A2966" s="1" t="s">
        <v>2978</v>
      </c>
      <c r="B2966">
        <f>HYPERLINK("https://www.suredividend.com/sure-analysis-research-database/","Valaris Ltd")</f>
        <v>0</v>
      </c>
      <c r="C2966" t="s">
        <v>3226</v>
      </c>
      <c r="D2966">
        <v>53.81</v>
      </c>
      <c r="E2966">
        <v>0</v>
      </c>
      <c r="H2966">
        <v>0</v>
      </c>
      <c r="I2966">
        <v>4035.753067</v>
      </c>
      <c r="J2966">
        <v>0</v>
      </c>
      <c r="K2966" t="s">
        <v>3219</v>
      </c>
      <c r="M2966">
        <v>55.71</v>
      </c>
      <c r="N2966">
        <v>20.25</v>
      </c>
    </row>
    <row r="2967" spans="1:14">
      <c r="A2967" s="1" t="s">
        <v>2979</v>
      </c>
      <c r="B2967">
        <f>HYPERLINK("https://www.suredividend.com/sure-analysis-research-database/","Value Line, Inc.")</f>
        <v>0</v>
      </c>
      <c r="C2967" t="s">
        <v>3221</v>
      </c>
      <c r="D2967">
        <v>86.2</v>
      </c>
      <c r="E2967">
        <v>0.010125197648849</v>
      </c>
      <c r="F2967">
        <v>0.04761904761904767</v>
      </c>
      <c r="G2967">
        <v>0.04095039696925684</v>
      </c>
      <c r="H2967">
        <v>0.8727920373308451</v>
      </c>
      <c r="I2967">
        <v>820.8104509999999</v>
      </c>
      <c r="J2967">
        <v>30.29603405307644</v>
      </c>
      <c r="K2967">
        <v>0.3084070803289205</v>
      </c>
      <c r="M2967">
        <v>87</v>
      </c>
      <c r="N2967">
        <v>28.1</v>
      </c>
    </row>
    <row r="2968" spans="1:14">
      <c r="A2968" s="1" t="s">
        <v>2980</v>
      </c>
      <c r="B2968">
        <f>HYPERLINK("https://www.suredividend.com/sure-analysis-research-database/","Vapotherm Inc")</f>
        <v>0</v>
      </c>
      <c r="C2968" t="s">
        <v>3217</v>
      </c>
      <c r="D2968">
        <v>6.11</v>
      </c>
      <c r="E2968">
        <v>0</v>
      </c>
      <c r="H2968">
        <v>0</v>
      </c>
      <c r="I2968">
        <v>159.988102</v>
      </c>
      <c r="J2968">
        <v>0</v>
      </c>
      <c r="K2968" t="s">
        <v>3219</v>
      </c>
      <c r="L2968">
        <v>1.181939730759932</v>
      </c>
      <c r="M2968">
        <v>31.87</v>
      </c>
      <c r="N2968">
        <v>5.99</v>
      </c>
    </row>
    <row r="2969" spans="1:14">
      <c r="A2969" s="1" t="s">
        <v>2981</v>
      </c>
      <c r="B2969">
        <f>HYPERLINK("https://www.suredividend.com/sure-analysis-research-database/","Varian Medical Systems, Inc.")</f>
        <v>0</v>
      </c>
      <c r="C2969" t="s">
        <v>3217</v>
      </c>
      <c r="D2969">
        <v>177.07</v>
      </c>
      <c r="E2969">
        <v>0</v>
      </c>
      <c r="H2969">
        <v>0</v>
      </c>
      <c r="I2969">
        <v>16261.898618</v>
      </c>
      <c r="J2969">
        <v>58.60143646093693</v>
      </c>
      <c r="K2969">
        <v>0</v>
      </c>
      <c r="L2969">
        <v>0.7412058348407721</v>
      </c>
      <c r="M2969">
        <v>177.38</v>
      </c>
      <c r="N2969">
        <v>103.67</v>
      </c>
    </row>
    <row r="2970" spans="1:14">
      <c r="A2970" s="1" t="s">
        <v>2982</v>
      </c>
      <c r="B2970">
        <f>HYPERLINK("https://www.suredividend.com/sure-analysis-research-database/","Village Bank &amp; Trust Financial Corporation")</f>
        <v>0</v>
      </c>
      <c r="C2970" t="s">
        <v>3221</v>
      </c>
      <c r="D2970">
        <v>55.44</v>
      </c>
      <c r="E2970">
        <v>0.005044082438566</v>
      </c>
      <c r="H2970">
        <v>0.279643930394116</v>
      </c>
      <c r="I2970">
        <v>81.838588</v>
      </c>
      <c r="J2970">
        <v>0</v>
      </c>
      <c r="K2970" t="s">
        <v>3219</v>
      </c>
      <c r="M2970">
        <v>61.79</v>
      </c>
      <c r="N2970">
        <v>42.34</v>
      </c>
    </row>
    <row r="2971" spans="1:14">
      <c r="A2971" s="1" t="s">
        <v>2983</v>
      </c>
      <c r="B2971">
        <f>HYPERLINK("https://www.suredividend.com/sure-analysis-research-database/","VBI Vaccines Inc.")</f>
        <v>0</v>
      </c>
      <c r="C2971" t="s">
        <v>3217</v>
      </c>
      <c r="D2971">
        <v>1.55</v>
      </c>
      <c r="E2971">
        <v>0</v>
      </c>
      <c r="H2971">
        <v>0</v>
      </c>
      <c r="I2971">
        <v>398.82239</v>
      </c>
      <c r="J2971" t="s">
        <v>3219</v>
      </c>
      <c r="K2971">
        <v>-0</v>
      </c>
      <c r="L2971">
        <v>1.774010231052407</v>
      </c>
      <c r="M2971">
        <v>4.31</v>
      </c>
      <c r="N2971">
        <v>1.21</v>
      </c>
    </row>
    <row r="2972" spans="1:14">
      <c r="A2972" s="1" t="s">
        <v>2984</v>
      </c>
      <c r="B2972">
        <f>HYPERLINK("https://www.suredividend.com/sure-analysis-research-database/","Veritex Holdings Inc")</f>
        <v>0</v>
      </c>
      <c r="C2972" t="s">
        <v>3221</v>
      </c>
      <c r="D2972">
        <v>34.6</v>
      </c>
      <c r="E2972">
        <v>0.022093900593202</v>
      </c>
      <c r="H2972">
        <v>0.764448960524808</v>
      </c>
      <c r="I2972">
        <v>1715.558133</v>
      </c>
      <c r="J2972">
        <v>0</v>
      </c>
      <c r="K2972" t="s">
        <v>3219</v>
      </c>
      <c r="L2972">
        <v>1.150021402306886</v>
      </c>
      <c r="M2972">
        <v>45.13</v>
      </c>
      <c r="N2972">
        <v>26.86</v>
      </c>
    </row>
    <row r="2973" spans="1:14">
      <c r="A2973" s="1" t="s">
        <v>2985</v>
      </c>
      <c r="B2973">
        <f>HYPERLINK("https://www.suredividend.com/sure-analysis-research-database/","Visteon Corp.")</f>
        <v>0</v>
      </c>
      <c r="C2973" t="s">
        <v>3223</v>
      </c>
      <c r="D2973">
        <v>94.55</v>
      </c>
      <c r="E2973">
        <v>0</v>
      </c>
      <c r="H2973">
        <v>0</v>
      </c>
      <c r="I2973">
        <v>2647.783778</v>
      </c>
      <c r="J2973">
        <v>64.58009215731707</v>
      </c>
      <c r="K2973">
        <v>0</v>
      </c>
      <c r="L2973">
        <v>1.55815962994354</v>
      </c>
      <c r="M2973">
        <v>134.57</v>
      </c>
      <c r="N2973">
        <v>91.59</v>
      </c>
    </row>
    <row r="2974" spans="1:14">
      <c r="A2974" s="1" t="s">
        <v>2986</v>
      </c>
      <c r="B2974">
        <f>HYPERLINK("https://www.suredividend.com/sure-analysis-research-database/","Vericel Corp")</f>
        <v>0</v>
      </c>
      <c r="C2974" t="s">
        <v>3217</v>
      </c>
      <c r="D2974">
        <v>36.76</v>
      </c>
      <c r="E2974">
        <v>0</v>
      </c>
      <c r="H2974">
        <v>0</v>
      </c>
      <c r="I2974">
        <v>1726.531954</v>
      </c>
      <c r="J2974" t="s">
        <v>3219</v>
      </c>
      <c r="K2974">
        <v>-0</v>
      </c>
      <c r="L2974">
        <v>1.762756888345174</v>
      </c>
      <c r="M2974">
        <v>68.94</v>
      </c>
      <c r="N2974">
        <v>30.67</v>
      </c>
    </row>
    <row r="2975" spans="1:14">
      <c r="A2975" s="1" t="s">
        <v>2987</v>
      </c>
      <c r="B2975">
        <f>HYPERLINK("https://www.suredividend.com/sure-analysis-research-database/","Vocera Communication Inc")</f>
        <v>0</v>
      </c>
      <c r="C2975" t="s">
        <v>3222</v>
      </c>
      <c r="D2975">
        <v>79.13</v>
      </c>
      <c r="E2975">
        <v>0</v>
      </c>
      <c r="H2975">
        <v>0</v>
      </c>
      <c r="I2975">
        <v>2772.781827</v>
      </c>
      <c r="J2975" t="s">
        <v>3219</v>
      </c>
      <c r="K2975">
        <v>-0</v>
      </c>
      <c r="M2975">
        <v>79.43000000000001</v>
      </c>
      <c r="N2975">
        <v>31.93</v>
      </c>
    </row>
    <row r="2976" spans="1:14">
      <c r="A2976" s="1" t="s">
        <v>2988</v>
      </c>
      <c r="B2976">
        <f>HYPERLINK("https://www.suredividend.com/sure-analysis-research-database/","Victory Capital Holdings Inc")</f>
        <v>0</v>
      </c>
      <c r="C2976" t="s">
        <v>3221</v>
      </c>
      <c r="D2976">
        <v>27.35</v>
      </c>
      <c r="E2976">
        <v>0.025025503906332</v>
      </c>
      <c r="H2976">
        <v>0.6844475318382021</v>
      </c>
      <c r="I2976">
        <v>1923.974751</v>
      </c>
      <c r="J2976">
        <v>6.911101915305562</v>
      </c>
      <c r="K2976">
        <v>0.1825193418235206</v>
      </c>
      <c r="L2976">
        <v>1.282749828740011</v>
      </c>
      <c r="M2976">
        <v>42.52</v>
      </c>
      <c r="N2976">
        <v>26.08</v>
      </c>
    </row>
    <row r="2977" spans="1:14">
      <c r="A2977" s="1" t="s">
        <v>2989</v>
      </c>
      <c r="B2977">
        <f>HYPERLINK("https://www.suredividend.com/sure-analysis-research-database/","Veracyte Inc")</f>
        <v>0</v>
      </c>
      <c r="C2977" t="s">
        <v>3217</v>
      </c>
      <c r="D2977">
        <v>24.15</v>
      </c>
      <c r="E2977">
        <v>0</v>
      </c>
      <c r="H2977">
        <v>0</v>
      </c>
      <c r="I2977">
        <v>1719.921728</v>
      </c>
      <c r="J2977">
        <v>0</v>
      </c>
      <c r="K2977" t="s">
        <v>3219</v>
      </c>
      <c r="L2977">
        <v>2.359197537809643</v>
      </c>
      <c r="M2977">
        <v>54.13</v>
      </c>
      <c r="N2977">
        <v>21.45</v>
      </c>
    </row>
    <row r="2978" spans="1:14">
      <c r="A2978" s="1" t="s">
        <v>2990</v>
      </c>
      <c r="B2978">
        <f>HYPERLINK("https://www.suredividend.com/sure-analysis-research-database/","Vectrus Inc")</f>
        <v>0</v>
      </c>
      <c r="C2978" t="s">
        <v>3220</v>
      </c>
      <c r="D2978">
        <v>39.34</v>
      </c>
      <c r="E2978">
        <v>0</v>
      </c>
      <c r="H2978">
        <v>0</v>
      </c>
      <c r="I2978">
        <v>461.7944</v>
      </c>
      <c r="J2978">
        <v>10.09872287526242</v>
      </c>
      <c r="K2978">
        <v>0</v>
      </c>
      <c r="L2978">
        <v>0.744455253579256</v>
      </c>
      <c r="M2978">
        <v>55.24</v>
      </c>
      <c r="N2978">
        <v>33.65</v>
      </c>
    </row>
    <row r="2979" spans="1:14">
      <c r="A2979" s="1" t="s">
        <v>2991</v>
      </c>
      <c r="B2979">
        <f>HYPERLINK("https://www.suredividend.com/sure-analysis-research-database/","Veeco Instruments Inc")</f>
        <v>0</v>
      </c>
      <c r="C2979" t="s">
        <v>3222</v>
      </c>
      <c r="D2979">
        <v>23.84</v>
      </c>
      <c r="E2979">
        <v>0</v>
      </c>
      <c r="H2979">
        <v>0</v>
      </c>
      <c r="I2979">
        <v>1207.280939</v>
      </c>
      <c r="J2979">
        <v>46.36611642061602</v>
      </c>
      <c r="K2979">
        <v>0</v>
      </c>
      <c r="L2979">
        <v>1.471253167340966</v>
      </c>
      <c r="M2979">
        <v>32.4</v>
      </c>
      <c r="N2979">
        <v>20.13</v>
      </c>
    </row>
    <row r="2980" spans="1:14">
      <c r="A2980" s="1" t="s">
        <v>2992</v>
      </c>
      <c r="B2980">
        <f>HYPERLINK("https://www.suredividend.com/sure-analysis-research-database/","Veeva Systems Inc")</f>
        <v>0</v>
      </c>
      <c r="C2980" t="s">
        <v>3217</v>
      </c>
      <c r="D2980">
        <v>191.46</v>
      </c>
      <c r="E2980">
        <v>0</v>
      </c>
      <c r="H2980">
        <v>0</v>
      </c>
      <c r="I2980">
        <v>26726.715679</v>
      </c>
      <c r="J2980">
        <v>62.53487029235662</v>
      </c>
      <c r="K2980">
        <v>0</v>
      </c>
      <c r="L2980">
        <v>1.312615543856545</v>
      </c>
      <c r="M2980">
        <v>343.96</v>
      </c>
      <c r="N2980">
        <v>166.48</v>
      </c>
    </row>
    <row r="2981" spans="1:14">
      <c r="A2981" s="1" t="s">
        <v>2993</v>
      </c>
      <c r="B2981">
        <f>HYPERLINK("https://www.suredividend.com/sure-analysis-research-database/","VEREIT Inc")</f>
        <v>0</v>
      </c>
      <c r="C2981" t="s">
        <v>3224</v>
      </c>
      <c r="D2981">
        <v>50.146</v>
      </c>
      <c r="E2981">
        <v>0.034690257484615</v>
      </c>
      <c r="H2981">
        <v>1.739577651823514</v>
      </c>
      <c r="I2981">
        <v>11490.936644</v>
      </c>
      <c r="J2981">
        <v>50.53404566575487</v>
      </c>
      <c r="K2981">
        <v>8.387548948040086</v>
      </c>
      <c r="M2981">
        <v>52.37</v>
      </c>
      <c r="N2981">
        <v>30.62</v>
      </c>
    </row>
    <row r="2982" spans="1:14">
      <c r="A2982" s="1" t="s">
        <v>2994</v>
      </c>
      <c r="B2982">
        <f>HYPERLINK("https://www.suredividend.com/sure-analysis-research-database/","Veritone Inc")</f>
        <v>0</v>
      </c>
      <c r="C2982" t="s">
        <v>3222</v>
      </c>
      <c r="D2982">
        <v>15.15</v>
      </c>
      <c r="E2982">
        <v>0</v>
      </c>
      <c r="H2982">
        <v>0</v>
      </c>
      <c r="I2982">
        <v>531.162182</v>
      </c>
      <c r="J2982" t="s">
        <v>3219</v>
      </c>
      <c r="K2982">
        <v>-0</v>
      </c>
      <c r="L2982">
        <v>2.462641107064684</v>
      </c>
      <c r="M2982">
        <v>37.14</v>
      </c>
      <c r="N2982">
        <v>13.06</v>
      </c>
    </row>
    <row r="2983" spans="1:14">
      <c r="A2983" s="1" t="s">
        <v>2995</v>
      </c>
      <c r="B2983">
        <f>HYPERLINK("https://www.suredividend.com/sure-analysis-research-database/","Veru Inc")</f>
        <v>0</v>
      </c>
      <c r="C2983" t="s">
        <v>3217</v>
      </c>
      <c r="D2983">
        <v>14.95</v>
      </c>
      <c r="E2983">
        <v>0</v>
      </c>
      <c r="H2983">
        <v>0</v>
      </c>
      <c r="I2983">
        <v>1196.752718</v>
      </c>
      <c r="J2983" t="s">
        <v>3219</v>
      </c>
      <c r="K2983">
        <v>-0</v>
      </c>
      <c r="L2983">
        <v>0.567622065439375</v>
      </c>
      <c r="M2983">
        <v>17.5</v>
      </c>
      <c r="N2983">
        <v>4.34</v>
      </c>
    </row>
    <row r="2984" spans="1:14">
      <c r="A2984" s="1" t="s">
        <v>2996</v>
      </c>
      <c r="B2984">
        <f>HYPERLINK("https://www.suredividend.com/sure-analysis-VFC/","VF Corp.")</f>
        <v>0</v>
      </c>
      <c r="C2984" t="s">
        <v>3223</v>
      </c>
      <c r="D2984">
        <v>56.2</v>
      </c>
      <c r="E2984">
        <v>0.03558718861209964</v>
      </c>
      <c r="F2984">
        <v>0.02040816326530615</v>
      </c>
      <c r="G2984">
        <v>0.03548578845590522</v>
      </c>
      <c r="H2984">
        <v>1.95614483934721</v>
      </c>
      <c r="I2984">
        <v>21856.273685</v>
      </c>
      <c r="J2984">
        <v>15.66063064876589</v>
      </c>
      <c r="K2984">
        <v>0.5510267153090733</v>
      </c>
      <c r="L2984">
        <v>1.060963115170498</v>
      </c>
      <c r="M2984">
        <v>88.17</v>
      </c>
      <c r="N2984">
        <v>50.53</v>
      </c>
    </row>
    <row r="2985" spans="1:14">
      <c r="A2985" s="1" t="s">
        <v>2997</v>
      </c>
      <c r="B2985">
        <f>HYPERLINK("https://www.suredividend.com/sure-analysis-research-database/","Vonage Holdings Corp")</f>
        <v>0</v>
      </c>
      <c r="C2985" t="s">
        <v>3228</v>
      </c>
      <c r="D2985">
        <v>20.16</v>
      </c>
      <c r="E2985">
        <v>0</v>
      </c>
      <c r="H2985">
        <v>0</v>
      </c>
      <c r="I2985">
        <v>5121.405233</v>
      </c>
      <c r="J2985" t="s">
        <v>3219</v>
      </c>
      <c r="K2985">
        <v>-0</v>
      </c>
      <c r="L2985">
        <v>0.24542992693002</v>
      </c>
      <c r="M2985">
        <v>20.92</v>
      </c>
      <c r="N2985">
        <v>12.15</v>
      </c>
    </row>
    <row r="2986" spans="1:14">
      <c r="A2986" s="1" t="s">
        <v>2998</v>
      </c>
      <c r="B2986">
        <f>HYPERLINK("https://www.suredividend.com/sure-analysis-VGR/","Vector Group Ltd")</f>
        <v>0</v>
      </c>
      <c r="C2986" t="s">
        <v>3225</v>
      </c>
      <c r="D2986">
        <v>12.81</v>
      </c>
      <c r="E2986">
        <v>0.0624512099921936</v>
      </c>
      <c r="F2986">
        <v>0</v>
      </c>
      <c r="G2986">
        <v>-0.1294494367038759</v>
      </c>
      <c r="H2986">
        <v>0.7811546985941961</v>
      </c>
      <c r="I2986">
        <v>1971.051347</v>
      </c>
      <c r="J2986">
        <v>9.227725279235583</v>
      </c>
      <c r="K2986">
        <v>0.5579676418529972</v>
      </c>
      <c r="L2986">
        <v>0.7138708187497811</v>
      </c>
      <c r="M2986">
        <v>17.08</v>
      </c>
      <c r="N2986">
        <v>9.85</v>
      </c>
    </row>
    <row r="2987" spans="1:14">
      <c r="A2987" s="1" t="s">
        <v>2999</v>
      </c>
      <c r="B2987">
        <f>HYPERLINK("https://www.suredividend.com/sure-analysis-research-database/","Virnetx Holding Corp")</f>
        <v>0</v>
      </c>
      <c r="C2987" t="s">
        <v>3222</v>
      </c>
      <c r="D2987">
        <v>1.69</v>
      </c>
      <c r="E2987">
        <v>0</v>
      </c>
      <c r="H2987">
        <v>0</v>
      </c>
      <c r="I2987">
        <v>120.383527</v>
      </c>
      <c r="J2987" t="s">
        <v>3219</v>
      </c>
      <c r="K2987">
        <v>-0</v>
      </c>
      <c r="L2987">
        <v>1.34426691291127</v>
      </c>
      <c r="M2987">
        <v>5.16</v>
      </c>
      <c r="N2987">
        <v>1.58</v>
      </c>
    </row>
    <row r="2988" spans="1:14">
      <c r="A2988" s="1" t="s">
        <v>3000</v>
      </c>
      <c r="B2988">
        <f>HYPERLINK("https://www.suredividend.com/sure-analysis-VIA/","Via Renewables Inc")</f>
        <v>0</v>
      </c>
      <c r="C2988" t="s">
        <v>3219</v>
      </c>
      <c r="D2988">
        <v>7.9</v>
      </c>
      <c r="E2988">
        <v>0.09240506329113923</v>
      </c>
      <c r="F2988">
        <v>0</v>
      </c>
      <c r="G2988">
        <v>0</v>
      </c>
      <c r="H2988">
        <v>0.8976701432855171</v>
      </c>
      <c r="I2988">
        <v>124.853788</v>
      </c>
      <c r="J2988">
        <v>0</v>
      </c>
      <c r="K2988" t="s">
        <v>3219</v>
      </c>
      <c r="M2988">
        <v>12.35</v>
      </c>
      <c r="N2988">
        <v>7.63</v>
      </c>
    </row>
    <row r="2989" spans="1:14">
      <c r="A2989" s="1" t="s">
        <v>3001</v>
      </c>
      <c r="B2989">
        <f>HYPERLINK("https://www.suredividend.com/sure-analysis-research-database/","Viavi Solutions Inc")</f>
        <v>0</v>
      </c>
      <c r="C2989" t="s">
        <v>3222</v>
      </c>
      <c r="D2989">
        <v>14.69</v>
      </c>
      <c r="E2989">
        <v>0</v>
      </c>
      <c r="H2989">
        <v>0</v>
      </c>
      <c r="I2989">
        <v>3378.880452</v>
      </c>
      <c r="J2989" t="s">
        <v>3219</v>
      </c>
      <c r="K2989">
        <v>-0</v>
      </c>
      <c r="L2989">
        <v>1.08514132154313</v>
      </c>
      <c r="M2989">
        <v>18.14</v>
      </c>
      <c r="N2989">
        <v>14.68</v>
      </c>
    </row>
    <row r="2990" spans="1:14">
      <c r="A2990" s="1" t="s">
        <v>3002</v>
      </c>
      <c r="B2990">
        <f>HYPERLINK("https://www.suredividend.com/sure-analysis-VICI/","VICI Properties Inc")</f>
        <v>0</v>
      </c>
      <c r="C2990" t="s">
        <v>3224</v>
      </c>
      <c r="D2990">
        <v>29.09</v>
      </c>
      <c r="E2990">
        <v>0.04950154692334136</v>
      </c>
      <c r="H2990">
        <v>1.383859667283194</v>
      </c>
      <c r="I2990">
        <v>21771.343217</v>
      </c>
      <c r="J2990">
        <v>21.47390811567972</v>
      </c>
      <c r="K2990">
        <v>0.7862839018654512</v>
      </c>
      <c r="L2990">
        <v>0.9525512863440421</v>
      </c>
      <c r="M2990">
        <v>31.78</v>
      </c>
      <c r="N2990">
        <v>25.89</v>
      </c>
    </row>
    <row r="2991" spans="1:14">
      <c r="A2991" s="1" t="s">
        <v>3003</v>
      </c>
      <c r="B2991">
        <f>HYPERLINK("https://www.suredividend.com/sure-analysis-research-database/","Vicor Corp.")</f>
        <v>0</v>
      </c>
      <c r="C2991" t="s">
        <v>3222</v>
      </c>
      <c r="D2991">
        <v>60.42</v>
      </c>
      <c r="E2991">
        <v>0</v>
      </c>
      <c r="H2991">
        <v>0</v>
      </c>
      <c r="I2991">
        <v>1943.882087</v>
      </c>
      <c r="J2991">
        <v>34.32904347019868</v>
      </c>
      <c r="K2991">
        <v>0</v>
      </c>
      <c r="L2991">
        <v>1.659144175386431</v>
      </c>
      <c r="M2991">
        <v>164.76</v>
      </c>
      <c r="N2991">
        <v>60.35</v>
      </c>
    </row>
    <row r="2992" spans="1:14">
      <c r="A2992" s="1" t="s">
        <v>3004</v>
      </c>
      <c r="B2992">
        <f>HYPERLINK("https://www.suredividend.com/sure-analysis-research-database/","Virco Manufacturing Corp.")</f>
        <v>0</v>
      </c>
      <c r="C2992" t="s">
        <v>3223</v>
      </c>
      <c r="D2992">
        <v>2.92</v>
      </c>
      <c r="E2992">
        <v>0</v>
      </c>
      <c r="H2992">
        <v>0</v>
      </c>
      <c r="I2992">
        <v>47.017907</v>
      </c>
      <c r="J2992">
        <v>0</v>
      </c>
      <c r="K2992" t="s">
        <v>3219</v>
      </c>
      <c r="M2992">
        <v>4.17</v>
      </c>
      <c r="N2992">
        <v>2.86</v>
      </c>
    </row>
    <row r="2993" spans="1:14">
      <c r="A2993" s="1" t="s">
        <v>3005</v>
      </c>
      <c r="B2993">
        <f>HYPERLINK("https://www.suredividend.com/sure-analysis-research-database/","Virtu Financial Inc")</f>
        <v>0</v>
      </c>
      <c r="C2993" t="s">
        <v>3221</v>
      </c>
      <c r="D2993">
        <v>37.14</v>
      </c>
      <c r="E2993">
        <v>0.025546318415825</v>
      </c>
      <c r="F2993">
        <v>0</v>
      </c>
      <c r="G2993">
        <v>0</v>
      </c>
      <c r="H2993">
        <v>0.948790265963772</v>
      </c>
      <c r="I2993">
        <v>4039.827363</v>
      </c>
      <c r="J2993">
        <v>8.721486349427035</v>
      </c>
      <c r="K2993">
        <v>0.2426573570239826</v>
      </c>
      <c r="L2993">
        <v>0.433188374216894</v>
      </c>
      <c r="M2993">
        <v>38.63</v>
      </c>
      <c r="N2993">
        <v>22.62</v>
      </c>
    </row>
    <row r="2994" spans="1:14">
      <c r="A2994" s="1" t="s">
        <v>3006</v>
      </c>
      <c r="B2994">
        <f>HYPERLINK("https://www.suredividend.com/sure-analysis-research-database/","Vislink Technologies Inc")</f>
        <v>0</v>
      </c>
      <c r="C2994" t="s">
        <v>3222</v>
      </c>
      <c r="D2994">
        <v>0.902</v>
      </c>
      <c r="E2994">
        <v>0</v>
      </c>
      <c r="H2994">
        <v>0</v>
      </c>
      <c r="I2994">
        <v>41.33423</v>
      </c>
      <c r="J2994">
        <v>0</v>
      </c>
      <c r="K2994" t="s">
        <v>3219</v>
      </c>
      <c r="L2994">
        <v>1.970608729068877</v>
      </c>
      <c r="M2994">
        <v>3.44</v>
      </c>
      <c r="N2994">
        <v>0.8001</v>
      </c>
    </row>
    <row r="2995" spans="1:14">
      <c r="A2995" s="1" t="s">
        <v>3007</v>
      </c>
      <c r="B2995">
        <f>HYPERLINK("https://www.suredividend.com/sure-analysis-research-database/","Meridian Bioscience Inc.")</f>
        <v>0</v>
      </c>
      <c r="C2995" t="s">
        <v>3217</v>
      </c>
      <c r="D2995">
        <v>27.94</v>
      </c>
      <c r="E2995">
        <v>0</v>
      </c>
      <c r="H2995">
        <v>0</v>
      </c>
      <c r="I2995">
        <v>1216.547051</v>
      </c>
      <c r="J2995">
        <v>20.28660370997866</v>
      </c>
      <c r="K2995">
        <v>0</v>
      </c>
      <c r="L2995">
        <v>0.551823367643935</v>
      </c>
      <c r="M2995">
        <v>28.72</v>
      </c>
      <c r="N2995">
        <v>17</v>
      </c>
    </row>
    <row r="2996" spans="1:14">
      <c r="A2996" s="1" t="s">
        <v>3008</v>
      </c>
      <c r="B2996">
        <f>HYPERLINK("https://www.suredividend.com/sure-analysis-research-database/","Viking Therapeutics Inc")</f>
        <v>0</v>
      </c>
      <c r="C2996" t="s">
        <v>3217</v>
      </c>
      <c r="D2996">
        <v>2.76</v>
      </c>
      <c r="E2996">
        <v>0</v>
      </c>
      <c r="H2996">
        <v>0</v>
      </c>
      <c r="I2996">
        <v>213.551445</v>
      </c>
      <c r="J2996">
        <v>0</v>
      </c>
      <c r="K2996" t="s">
        <v>3219</v>
      </c>
      <c r="L2996">
        <v>1.157622406686103</v>
      </c>
      <c r="M2996">
        <v>7.2</v>
      </c>
      <c r="N2996">
        <v>2.63</v>
      </c>
    </row>
    <row r="2997" spans="1:14">
      <c r="A2997" s="1" t="s">
        <v>3009</v>
      </c>
      <c r="B2997">
        <f>HYPERLINK("https://www.suredividend.com/sure-analysis-research-database/","Village Super Market, Inc.")</f>
        <v>0</v>
      </c>
      <c r="C2997" t="s">
        <v>3225</v>
      </c>
      <c r="D2997">
        <v>24.7</v>
      </c>
      <c r="E2997">
        <v>0.039852649520695</v>
      </c>
      <c r="F2997">
        <v>0</v>
      </c>
      <c r="G2997">
        <v>0</v>
      </c>
      <c r="H2997">
        <v>0.9843604431611701</v>
      </c>
      <c r="I2997">
        <v>253.210963</v>
      </c>
      <c r="J2997">
        <v>0</v>
      </c>
      <c r="K2997" t="s">
        <v>3219</v>
      </c>
      <c r="L2997">
        <v>0.372303259474533</v>
      </c>
      <c r="M2997">
        <v>24.85</v>
      </c>
      <c r="N2997">
        <v>20.67</v>
      </c>
    </row>
    <row r="2998" spans="1:14">
      <c r="A2998" s="1" t="s">
        <v>3010</v>
      </c>
      <c r="B2998">
        <f>HYPERLINK("https://www.suredividend.com/sure-analysis-VLO/","Valero Energy Corp.")</f>
        <v>0</v>
      </c>
      <c r="C2998" t="s">
        <v>3226</v>
      </c>
      <c r="D2998">
        <v>104.86</v>
      </c>
      <c r="E2998">
        <v>0.03738317757009346</v>
      </c>
      <c r="F2998">
        <v>0</v>
      </c>
      <c r="G2998">
        <v>0.06961037572506878</v>
      </c>
      <c r="H2998">
        <v>3.848758287328359</v>
      </c>
      <c r="I2998">
        <v>42931.437469</v>
      </c>
      <c r="J2998">
        <v>46.46259466333333</v>
      </c>
      <c r="K2998">
        <v>1.695488232303242</v>
      </c>
      <c r="L2998">
        <v>0.6414351734554871</v>
      </c>
      <c r="M2998">
        <v>105.45</v>
      </c>
      <c r="N2998">
        <v>57.45</v>
      </c>
    </row>
    <row r="2999" spans="1:14">
      <c r="A2999" s="1" t="s">
        <v>3011</v>
      </c>
      <c r="B2999">
        <f>HYPERLINK("https://www.suredividend.com/sure-analysis-research-database/","Valley National Bancorp")</f>
        <v>0</v>
      </c>
      <c r="C2999" t="s">
        <v>3221</v>
      </c>
      <c r="D2999">
        <v>12.36</v>
      </c>
      <c r="E2999">
        <v>0.035159897329482</v>
      </c>
      <c r="F2999">
        <v>0</v>
      </c>
      <c r="G2999">
        <v>0</v>
      </c>
      <c r="H2999">
        <v>0.4345763309924011</v>
      </c>
      <c r="I2999">
        <v>5208.357633</v>
      </c>
      <c r="J2999">
        <v>11.29423190809104</v>
      </c>
      <c r="K2999">
        <v>0.3880145812432152</v>
      </c>
      <c r="L2999">
        <v>1.049373809316351</v>
      </c>
      <c r="M2999">
        <v>14.98</v>
      </c>
      <c r="N2999">
        <v>11.47</v>
      </c>
    </row>
    <row r="3000" spans="1:14">
      <c r="A3000" s="1" t="s">
        <v>3012</v>
      </c>
      <c r="B3000">
        <f>HYPERLINK("https://www.suredividend.com/sure-analysis-VMC/","Vulcan Materials Co")</f>
        <v>0</v>
      </c>
      <c r="C3000" t="s">
        <v>3218</v>
      </c>
      <c r="D3000">
        <v>174.77</v>
      </c>
      <c r="E3000">
        <v>0.009154889283057733</v>
      </c>
      <c r="F3000">
        <v>0.08108108108108114</v>
      </c>
      <c r="G3000">
        <v>0.09856054330611785</v>
      </c>
      <c r="H3000">
        <v>1.505503401702593</v>
      </c>
      <c r="I3000">
        <v>23225.920383</v>
      </c>
      <c r="J3000">
        <v>34.62421046902207</v>
      </c>
      <c r="K3000">
        <v>0.2999010760363731</v>
      </c>
      <c r="L3000">
        <v>0.9833221087201551</v>
      </c>
      <c r="M3000">
        <v>213.18</v>
      </c>
      <c r="N3000">
        <v>162.03</v>
      </c>
    </row>
    <row r="3001" spans="1:14">
      <c r="A3001" s="1" t="s">
        <v>3013</v>
      </c>
      <c r="B3001">
        <f>HYPERLINK("https://www.suredividend.com/sure-analysis-research-database/","Valmont Industries, Inc.")</f>
        <v>0</v>
      </c>
      <c r="C3001" t="s">
        <v>3220</v>
      </c>
      <c r="D3001">
        <v>240.71</v>
      </c>
      <c r="E3001">
        <v>0.008489374453395001</v>
      </c>
      <c r="F3001">
        <v>0.1000000000000001</v>
      </c>
      <c r="G3001">
        <v>0.0796084730466029</v>
      </c>
      <c r="H3001">
        <v>2.043477324676831</v>
      </c>
      <c r="I3001">
        <v>5128.333049</v>
      </c>
      <c r="J3001">
        <v>26.21445100020447</v>
      </c>
      <c r="K3001">
        <v>0.2245579477666847</v>
      </c>
      <c r="L3001">
        <v>1.107464145188265</v>
      </c>
      <c r="M3001">
        <v>262.8</v>
      </c>
      <c r="N3001">
        <v>202.84</v>
      </c>
    </row>
    <row r="3002" spans="1:14">
      <c r="A3002" s="1" t="s">
        <v>3014</v>
      </c>
      <c r="B3002">
        <f>HYPERLINK("https://www.suredividend.com/sure-analysis-research-database/","Vmware Inc.")</f>
        <v>0</v>
      </c>
      <c r="C3002" t="s">
        <v>3222</v>
      </c>
      <c r="D3002">
        <v>113.73</v>
      </c>
      <c r="E3002">
        <v>0</v>
      </c>
      <c r="H3002">
        <v>0</v>
      </c>
      <c r="I3002">
        <v>47886.732317</v>
      </c>
      <c r="J3002">
        <v>26.31139138275824</v>
      </c>
      <c r="K3002">
        <v>0</v>
      </c>
      <c r="L3002">
        <v>0.7978101649333521</v>
      </c>
      <c r="M3002">
        <v>172</v>
      </c>
      <c r="N3002">
        <v>107.57</v>
      </c>
    </row>
    <row r="3003" spans="1:14">
      <c r="A3003" s="1" t="s">
        <v>3015</v>
      </c>
      <c r="B3003">
        <f>HYPERLINK("https://www.suredividend.com/sure-analysis-research-database/","Vince Holding Corp")</f>
        <v>0</v>
      </c>
      <c r="C3003" t="s">
        <v>3223</v>
      </c>
      <c r="D3003">
        <v>8.75</v>
      </c>
      <c r="E3003">
        <v>0</v>
      </c>
      <c r="H3003">
        <v>0</v>
      </c>
      <c r="I3003">
        <v>104.640148</v>
      </c>
      <c r="J3003">
        <v>0</v>
      </c>
      <c r="K3003" t="s">
        <v>3219</v>
      </c>
      <c r="M3003">
        <v>13.51</v>
      </c>
      <c r="N3003">
        <v>6.33</v>
      </c>
    </row>
    <row r="3004" spans="1:14">
      <c r="A3004" s="1" t="s">
        <v>3016</v>
      </c>
      <c r="B3004">
        <f>HYPERLINK("https://www.suredividend.com/sure-analysis-research-database/","Vanda Pharmaceuticals Inc")</f>
        <v>0</v>
      </c>
      <c r="C3004" t="s">
        <v>3217</v>
      </c>
      <c r="D3004">
        <v>11.36</v>
      </c>
      <c r="E3004">
        <v>0</v>
      </c>
      <c r="H3004">
        <v>0</v>
      </c>
      <c r="I3004">
        <v>635.101873</v>
      </c>
      <c r="J3004">
        <v>19.15727174227799</v>
      </c>
      <c r="K3004">
        <v>0</v>
      </c>
      <c r="L3004">
        <v>0.709647322678845</v>
      </c>
      <c r="M3004">
        <v>21.86</v>
      </c>
      <c r="N3004">
        <v>10.6</v>
      </c>
    </row>
    <row r="3005" spans="1:14">
      <c r="A3005" s="1" t="s">
        <v>3017</v>
      </c>
      <c r="B3005">
        <f>HYPERLINK("https://www.suredividend.com/sure-analysis-research-database/","Veoneer Inc")</f>
        <v>0</v>
      </c>
      <c r="C3005" t="s">
        <v>3223</v>
      </c>
      <c r="D3005">
        <v>36.95</v>
      </c>
      <c r="E3005">
        <v>0</v>
      </c>
      <c r="H3005">
        <v>0</v>
      </c>
      <c r="I3005">
        <v>4139.111103</v>
      </c>
      <c r="J3005">
        <v>0</v>
      </c>
      <c r="K3005" t="s">
        <v>3219</v>
      </c>
      <c r="L3005">
        <v>0.737299370288464</v>
      </c>
      <c r="M3005">
        <v>40.46</v>
      </c>
      <c r="N3005">
        <v>19.28</v>
      </c>
    </row>
    <row r="3006" spans="1:14">
      <c r="A3006" s="1" t="s">
        <v>3018</v>
      </c>
      <c r="B3006">
        <f>HYPERLINK("https://www.suredividend.com/sure-analysis-VNO/","Vornado Realty Trust")</f>
        <v>0</v>
      </c>
      <c r="C3006" t="s">
        <v>3224</v>
      </c>
      <c r="D3006">
        <v>41.42</v>
      </c>
      <c r="E3006">
        <v>0.05118300338000966</v>
      </c>
      <c r="F3006">
        <v>0</v>
      </c>
      <c r="G3006">
        <v>-0.02450527823577675</v>
      </c>
      <c r="H3006">
        <v>2.079499294887782</v>
      </c>
      <c r="I3006">
        <v>7942.013285</v>
      </c>
      <c r="J3006">
        <v>78.5933310058188</v>
      </c>
      <c r="K3006">
        <v>3.942178758081103</v>
      </c>
      <c r="L3006">
        <v>1.011536528738366</v>
      </c>
      <c r="M3006">
        <v>49</v>
      </c>
      <c r="N3006">
        <v>38</v>
      </c>
    </row>
    <row r="3007" spans="1:14">
      <c r="A3007" s="1" t="s">
        <v>3019</v>
      </c>
      <c r="B3007">
        <f>HYPERLINK("https://www.suredividend.com/sure-analysis-research-database/","VolitionRX Ltd")</f>
        <v>0</v>
      </c>
      <c r="C3007" t="s">
        <v>3217</v>
      </c>
      <c r="D3007">
        <v>2.8</v>
      </c>
      <c r="E3007">
        <v>0</v>
      </c>
      <c r="H3007">
        <v>0</v>
      </c>
      <c r="I3007">
        <v>150.570731</v>
      </c>
      <c r="J3007" t="s">
        <v>3219</v>
      </c>
      <c r="K3007">
        <v>-0</v>
      </c>
      <c r="L3007">
        <v>1.141134358596576</v>
      </c>
      <c r="M3007">
        <v>4.14</v>
      </c>
      <c r="N3007">
        <v>2.38</v>
      </c>
    </row>
    <row r="3008" spans="1:14">
      <c r="A3008" s="1" t="s">
        <v>3020</v>
      </c>
      <c r="B3008">
        <f>HYPERLINK("https://www.suredividend.com/sure-analysis-research-database/","Venator Materials PLC")</f>
        <v>0</v>
      </c>
      <c r="C3008" t="s">
        <v>3218</v>
      </c>
      <c r="D3008">
        <v>1.85</v>
      </c>
      <c r="E3008">
        <v>0</v>
      </c>
      <c r="H3008">
        <v>0</v>
      </c>
      <c r="I3008">
        <v>198.471926</v>
      </c>
      <c r="J3008" t="s">
        <v>3219</v>
      </c>
      <c r="K3008">
        <v>-0</v>
      </c>
      <c r="L3008">
        <v>1.255904975418218</v>
      </c>
      <c r="M3008">
        <v>5.85</v>
      </c>
      <c r="N3008">
        <v>1.13</v>
      </c>
    </row>
    <row r="3009" spans="1:14">
      <c r="A3009" s="1" t="s">
        <v>3021</v>
      </c>
      <c r="B3009">
        <f>HYPERLINK("https://www.suredividend.com/sure-analysis-research-database/","VOXX International Corp")</f>
        <v>0</v>
      </c>
      <c r="C3009" t="s">
        <v>3223</v>
      </c>
      <c r="D3009">
        <v>8.859999999999999</v>
      </c>
      <c r="E3009">
        <v>0</v>
      </c>
      <c r="H3009">
        <v>0</v>
      </c>
      <c r="I3009">
        <v>191.505613</v>
      </c>
      <c r="J3009" t="s">
        <v>3219</v>
      </c>
      <c r="K3009">
        <v>-0</v>
      </c>
      <c r="L3009">
        <v>1.36679046084621</v>
      </c>
      <c r="M3009">
        <v>18.42</v>
      </c>
      <c r="N3009">
        <v>8.51</v>
      </c>
    </row>
    <row r="3010" spans="1:14">
      <c r="A3010" s="1" t="s">
        <v>3022</v>
      </c>
      <c r="B3010">
        <f>HYPERLINK("https://www.suredividend.com/sure-analysis-research-database/","Voya Financial Inc")</f>
        <v>0</v>
      </c>
      <c r="C3010" t="s">
        <v>3221</v>
      </c>
      <c r="D3010">
        <v>67.56</v>
      </c>
      <c r="E3010">
        <v>0.01077544033611</v>
      </c>
      <c r="F3010">
        <v>0.2121212121212122</v>
      </c>
      <c r="G3010">
        <v>0.8205642030260802</v>
      </c>
      <c r="H3010">
        <v>0.727988749107622</v>
      </c>
      <c r="I3010">
        <v>7159.987654</v>
      </c>
      <c r="J3010">
        <v>3.425831413263158</v>
      </c>
      <c r="K3010">
        <v>0.04382834130690078</v>
      </c>
      <c r="L3010">
        <v>1.019733413955523</v>
      </c>
      <c r="M3010">
        <v>74.73999999999999</v>
      </c>
      <c r="N3010">
        <v>58.79</v>
      </c>
    </row>
    <row r="3011" spans="1:14">
      <c r="A3011" s="1" t="s">
        <v>3023</v>
      </c>
      <c r="B3011">
        <f>HYPERLINK("https://www.suredividend.com/sure-analysis-research-database/","Vishay Precision Group Inc")</f>
        <v>0</v>
      </c>
      <c r="C3011" t="s">
        <v>3222</v>
      </c>
      <c r="D3011">
        <v>31.69</v>
      </c>
      <c r="E3011">
        <v>0</v>
      </c>
      <c r="H3011">
        <v>0</v>
      </c>
      <c r="I3011">
        <v>399.961296</v>
      </c>
      <c r="J3011">
        <v>0</v>
      </c>
      <c r="K3011" t="s">
        <v>3219</v>
      </c>
      <c r="L3011">
        <v>0.785310949636115</v>
      </c>
      <c r="M3011">
        <v>39.71</v>
      </c>
      <c r="N3011">
        <v>29.52</v>
      </c>
    </row>
    <row r="3012" spans="1:14">
      <c r="A3012" s="1" t="s">
        <v>3024</v>
      </c>
      <c r="B3012">
        <f>HYPERLINK("https://www.suredividend.com/sure-analysis-research-database/","Vera Bradley Inc")</f>
        <v>0</v>
      </c>
      <c r="C3012" t="s">
        <v>3223</v>
      </c>
      <c r="D3012">
        <v>6.88</v>
      </c>
      <c r="E3012">
        <v>0</v>
      </c>
      <c r="H3012">
        <v>0</v>
      </c>
      <c r="I3012">
        <v>223.763077</v>
      </c>
      <c r="J3012">
        <v>12.5441796524274</v>
      </c>
      <c r="K3012">
        <v>0</v>
      </c>
      <c r="L3012">
        <v>1.469403639925302</v>
      </c>
      <c r="M3012">
        <v>13.62</v>
      </c>
      <c r="N3012">
        <v>6.31</v>
      </c>
    </row>
    <row r="3013" spans="1:14">
      <c r="A3013" s="1" t="s">
        <v>3025</v>
      </c>
      <c r="B3013">
        <f>HYPERLINK("https://www.suredividend.com/sure-analysis-research-database/","ViewRay Inc.")</f>
        <v>0</v>
      </c>
      <c r="C3013" t="s">
        <v>3217</v>
      </c>
      <c r="D3013">
        <v>3.48</v>
      </c>
      <c r="E3013">
        <v>0</v>
      </c>
      <c r="H3013">
        <v>0</v>
      </c>
      <c r="I3013">
        <v>624.328342</v>
      </c>
      <c r="J3013">
        <v>0</v>
      </c>
      <c r="K3013" t="s">
        <v>3219</v>
      </c>
      <c r="L3013">
        <v>1.610287801612476</v>
      </c>
      <c r="M3013">
        <v>8.25</v>
      </c>
      <c r="N3013">
        <v>3.42</v>
      </c>
    </row>
    <row r="3014" spans="1:14">
      <c r="A3014" s="1" t="s">
        <v>3026</v>
      </c>
      <c r="B3014">
        <f>HYPERLINK("https://www.suredividend.com/sure-analysis-research-database/","Varex Imaging Corp")</f>
        <v>0</v>
      </c>
      <c r="C3014" t="s">
        <v>3217</v>
      </c>
      <c r="D3014">
        <v>20.73</v>
      </c>
      <c r="E3014">
        <v>0</v>
      </c>
      <c r="H3014">
        <v>0</v>
      </c>
      <c r="I3014">
        <v>820.908</v>
      </c>
      <c r="J3014">
        <v>32.57571428571428</v>
      </c>
      <c r="K3014">
        <v>0</v>
      </c>
      <c r="L3014">
        <v>0.687433231071185</v>
      </c>
      <c r="M3014">
        <v>32.65</v>
      </c>
      <c r="N3014">
        <v>20.36</v>
      </c>
    </row>
    <row r="3015" spans="1:14">
      <c r="A3015" s="1" t="s">
        <v>3027</v>
      </c>
      <c r="B3015">
        <f>HYPERLINK("https://www.suredividend.com/sure-analysis-research-database/","Varonis Systems Inc")</f>
        <v>0</v>
      </c>
      <c r="C3015" t="s">
        <v>3222</v>
      </c>
      <c r="D3015">
        <v>49.61</v>
      </c>
      <c r="E3015">
        <v>0</v>
      </c>
      <c r="H3015">
        <v>0</v>
      </c>
      <c r="I3015">
        <v>5435.579033</v>
      </c>
      <c r="J3015" t="s">
        <v>3219</v>
      </c>
      <c r="K3015">
        <v>-0</v>
      </c>
      <c r="L3015">
        <v>1.622577902761586</v>
      </c>
      <c r="M3015">
        <v>73.45999999999999</v>
      </c>
      <c r="N3015">
        <v>32.11</v>
      </c>
    </row>
    <row r="3016" spans="1:14">
      <c r="A3016" s="1" t="s">
        <v>3028</v>
      </c>
      <c r="B3016">
        <f>HYPERLINK("https://www.suredividend.com/sure-analysis-research-database/","Verint Systems, Inc.")</f>
        <v>0</v>
      </c>
      <c r="C3016" t="s">
        <v>3222</v>
      </c>
      <c r="D3016">
        <v>53.03</v>
      </c>
      <c r="E3016">
        <v>0</v>
      </c>
      <c r="H3016">
        <v>0</v>
      </c>
      <c r="I3016">
        <v>3431.61383</v>
      </c>
      <c r="J3016" t="s">
        <v>3219</v>
      </c>
      <c r="K3016">
        <v>-0</v>
      </c>
      <c r="L3016">
        <v>0.61402571345506</v>
      </c>
      <c r="M3016">
        <v>54.74</v>
      </c>
      <c r="N3016">
        <v>41.46</v>
      </c>
    </row>
    <row r="3017" spans="1:14">
      <c r="A3017" s="1" t="s">
        <v>3029</v>
      </c>
      <c r="B3017">
        <f>HYPERLINK("https://www.suredividend.com/sure-analysis-research-database/","Verra Mobility Corp")</f>
        <v>0</v>
      </c>
      <c r="C3017" t="s">
        <v>3220</v>
      </c>
      <c r="D3017">
        <v>15.05</v>
      </c>
      <c r="E3017">
        <v>0</v>
      </c>
      <c r="H3017">
        <v>0</v>
      </c>
      <c r="I3017">
        <v>2348.76758</v>
      </c>
      <c r="J3017">
        <v>118.4212755646869</v>
      </c>
      <c r="K3017">
        <v>0</v>
      </c>
      <c r="L3017">
        <v>0.9965065333642721</v>
      </c>
      <c r="M3017">
        <v>18.13</v>
      </c>
      <c r="N3017">
        <v>13.38</v>
      </c>
    </row>
    <row r="3018" spans="1:14">
      <c r="A3018" s="1" t="s">
        <v>3030</v>
      </c>
      <c r="B3018">
        <f>HYPERLINK("https://www.suredividend.com/sure-analysis-research-database/","Verso Corp")</f>
        <v>0</v>
      </c>
      <c r="C3018" t="s">
        <v>3218</v>
      </c>
      <c r="D3018">
        <v>26.99</v>
      </c>
      <c r="E3018">
        <v>0.011060929415307</v>
      </c>
      <c r="H3018">
        <v>0.298534484919161</v>
      </c>
      <c r="I3018">
        <v>786.882114</v>
      </c>
      <c r="J3018">
        <v>0</v>
      </c>
      <c r="K3018" t="s">
        <v>3219</v>
      </c>
      <c r="L3018">
        <v>0.239328693063605</v>
      </c>
      <c r="M3018">
        <v>27.29</v>
      </c>
      <c r="N3018">
        <v>14.28</v>
      </c>
    </row>
    <row r="3019" spans="1:14">
      <c r="A3019" s="1" t="s">
        <v>3031</v>
      </c>
      <c r="B3019">
        <f>HYPERLINK("https://www.suredividend.com/sure-analysis-research-database/","Verisk Analytics Inc")</f>
        <v>0</v>
      </c>
      <c r="C3019" t="s">
        <v>3220</v>
      </c>
      <c r="D3019">
        <v>213.3</v>
      </c>
      <c r="E3019">
        <v>0.005519812860366</v>
      </c>
      <c r="H3019">
        <v>1.177376083116159</v>
      </c>
      <c r="I3019">
        <v>34401.651529</v>
      </c>
      <c r="J3019">
        <v>51.63862432993096</v>
      </c>
      <c r="K3019">
        <v>0.2885725693912154</v>
      </c>
      <c r="L3019">
        <v>0.742780653276719</v>
      </c>
      <c r="M3019">
        <v>230.88</v>
      </c>
      <c r="N3019">
        <v>166.36</v>
      </c>
    </row>
    <row r="3020" spans="1:14">
      <c r="A3020" s="1" t="s">
        <v>3032</v>
      </c>
      <c r="B3020">
        <f>HYPERLINK("https://www.suredividend.com/sure-analysis-research-database/","Verisign Inc.")</f>
        <v>0</v>
      </c>
      <c r="C3020" t="s">
        <v>3222</v>
      </c>
      <c r="D3020">
        <v>215.4</v>
      </c>
      <c r="E3020">
        <v>0</v>
      </c>
      <c r="H3020">
        <v>0</v>
      </c>
      <c r="I3020">
        <v>23638.977147</v>
      </c>
      <c r="J3020">
        <v>30.11986945835404</v>
      </c>
      <c r="K3020">
        <v>0</v>
      </c>
      <c r="L3020">
        <v>0.8684728695797791</v>
      </c>
      <c r="M3020">
        <v>257.03</v>
      </c>
      <c r="N3020">
        <v>198.53</v>
      </c>
    </row>
    <row r="3021" spans="1:14">
      <c r="A3021" s="1" t="s">
        <v>3033</v>
      </c>
      <c r="B3021">
        <f>HYPERLINK("https://www.suredividend.com/sure-analysis-research-database/","Virtus Investment Partners Inc")</f>
        <v>0</v>
      </c>
      <c r="C3021" t="s">
        <v>3221</v>
      </c>
      <c r="D3021">
        <v>203</v>
      </c>
      <c r="E3021">
        <v>0.022713155906153</v>
      </c>
      <c r="F3021">
        <v>0.8292682926829267</v>
      </c>
      <c r="G3021">
        <v>0.2722596365393921</v>
      </c>
      <c r="H3021">
        <v>4.610770648949116</v>
      </c>
      <c r="I3021">
        <v>1517.644646</v>
      </c>
      <c r="J3021">
        <v>7.2917760737228</v>
      </c>
      <c r="K3021">
        <v>0.1772691522087319</v>
      </c>
      <c r="L3021">
        <v>1.701509471409213</v>
      </c>
      <c r="M3021">
        <v>335.13</v>
      </c>
      <c r="N3021">
        <v>197.24</v>
      </c>
    </row>
    <row r="3022" spans="1:14">
      <c r="A3022" s="1" t="s">
        <v>3034</v>
      </c>
      <c r="B3022">
        <f>HYPERLINK("https://www.suredividend.com/sure-analysis-research-database/","Virtusa Corp")</f>
        <v>0</v>
      </c>
      <c r="C3022" t="s">
        <v>3222</v>
      </c>
      <c r="D3022">
        <v>51.325</v>
      </c>
      <c r="E3022">
        <v>0</v>
      </c>
      <c r="H3022">
        <v>0</v>
      </c>
      <c r="I3022">
        <v>0</v>
      </c>
      <c r="J3022">
        <v>0</v>
      </c>
      <c r="K3022">
        <v>0</v>
      </c>
    </row>
    <row r="3023" spans="1:14">
      <c r="A3023" s="1" t="s">
        <v>3035</v>
      </c>
      <c r="B3023">
        <f>HYPERLINK("https://www.suredividend.com/sure-analysis-research-database/","Veritiv Corp")</f>
        <v>0</v>
      </c>
      <c r="C3023" t="s">
        <v>3220</v>
      </c>
      <c r="D3023">
        <v>138.03</v>
      </c>
      <c r="E3023">
        <v>0</v>
      </c>
      <c r="H3023">
        <v>0</v>
      </c>
      <c r="I3023">
        <v>2074.714713</v>
      </c>
      <c r="J3023">
        <v>0</v>
      </c>
      <c r="K3023" t="s">
        <v>3219</v>
      </c>
      <c r="L3023">
        <v>1.763129897918818</v>
      </c>
      <c r="M3023">
        <v>158.99</v>
      </c>
      <c r="N3023">
        <v>40.6</v>
      </c>
    </row>
    <row r="3024" spans="1:14">
      <c r="A3024" s="1" t="s">
        <v>3036</v>
      </c>
      <c r="B3024">
        <f>HYPERLINK("https://www.suredividend.com/sure-analysis-research-database/","Vertex Pharmaceuticals, Inc.")</f>
        <v>0</v>
      </c>
      <c r="C3024" t="s">
        <v>3217</v>
      </c>
      <c r="D3024">
        <v>287.97</v>
      </c>
      <c r="E3024">
        <v>0</v>
      </c>
      <c r="H3024">
        <v>0</v>
      </c>
      <c r="I3024">
        <v>73586.111294</v>
      </c>
      <c r="J3024">
        <v>31.41885969579864</v>
      </c>
      <c r="K3024">
        <v>0</v>
      </c>
      <c r="L3024">
        <v>0.458277086526187</v>
      </c>
      <c r="M3024">
        <v>292.75</v>
      </c>
      <c r="N3024">
        <v>176.36</v>
      </c>
    </row>
    <row r="3025" spans="1:14">
      <c r="A3025" s="1" t="s">
        <v>3037</v>
      </c>
      <c r="B3025">
        <f>HYPERLINK("https://www.suredividend.com/sure-analysis-research-database/","Viasat, Inc.")</f>
        <v>0</v>
      </c>
      <c r="C3025" t="s">
        <v>3222</v>
      </c>
      <c r="D3025">
        <v>46.35</v>
      </c>
      <c r="E3025">
        <v>0</v>
      </c>
      <c r="H3025">
        <v>0</v>
      </c>
      <c r="I3025">
        <v>3448.117404</v>
      </c>
      <c r="J3025">
        <v>164.1726136266248</v>
      </c>
      <c r="K3025">
        <v>0</v>
      </c>
      <c r="L3025">
        <v>0.6936744905506651</v>
      </c>
      <c r="M3025">
        <v>68.76000000000001</v>
      </c>
      <c r="N3025">
        <v>39.13</v>
      </c>
    </row>
    <row r="3026" spans="1:14">
      <c r="A3026" s="1" t="s">
        <v>3038</v>
      </c>
      <c r="B3026">
        <f>HYPERLINK("https://www.suredividend.com/sure-analysis-research-database/","VSE Corp.")</f>
        <v>0</v>
      </c>
      <c r="C3026" t="s">
        <v>3220</v>
      </c>
      <c r="D3026">
        <v>42.02</v>
      </c>
      <c r="E3026">
        <v>0.008782686076269001</v>
      </c>
      <c r="F3026">
        <v>0.1111111111111112</v>
      </c>
      <c r="G3026">
        <v>0.1075663432482901</v>
      </c>
      <c r="H3026">
        <v>0.3690484689248401</v>
      </c>
      <c r="I3026">
        <v>535.244835</v>
      </c>
      <c r="J3026">
        <v>67.19116685664073</v>
      </c>
      <c r="K3026">
        <v>0.5852338549394862</v>
      </c>
      <c r="L3026">
        <v>1.040008358769073</v>
      </c>
      <c r="M3026">
        <v>65.3</v>
      </c>
      <c r="N3026">
        <v>39.65</v>
      </c>
    </row>
    <row r="3027" spans="1:14">
      <c r="A3027" s="1" t="s">
        <v>3039</v>
      </c>
      <c r="B3027">
        <f>HYPERLINK("https://www.suredividend.com/sure-analysis-research-database/","Vishay Intertechnology, Inc.")</f>
        <v>0</v>
      </c>
      <c r="C3027" t="s">
        <v>3222</v>
      </c>
      <c r="D3027">
        <v>18.13</v>
      </c>
      <c r="E3027">
        <v>0.021351885889557</v>
      </c>
      <c r="F3027">
        <v>0.05263157894736836</v>
      </c>
      <c r="G3027">
        <v>0.09856054330611785</v>
      </c>
      <c r="H3027">
        <v>0.387109691177673</v>
      </c>
      <c r="I3027">
        <v>2406.045571</v>
      </c>
      <c r="J3027">
        <v>8.074791325166963</v>
      </c>
      <c r="K3027">
        <v>0.1888339956964259</v>
      </c>
      <c r="L3027">
        <v>1.323855958258349</v>
      </c>
      <c r="M3027">
        <v>25.89</v>
      </c>
      <c r="N3027">
        <v>17.49</v>
      </c>
    </row>
    <row r="3028" spans="1:14">
      <c r="A3028" s="1" t="s">
        <v>3040</v>
      </c>
      <c r="B3028">
        <f>HYPERLINK("https://www.suredividend.com/sure-analysis-VST/","Vistra Corp")</f>
        <v>0</v>
      </c>
      <c r="C3028" t="s">
        <v>3227</v>
      </c>
      <c r="D3028">
        <v>24.03</v>
      </c>
      <c r="E3028">
        <v>0.02829796088223055</v>
      </c>
      <c r="H3028">
        <v>0.6132048899750431</v>
      </c>
      <c r="I3028">
        <v>10597.061646</v>
      </c>
      <c r="J3028" t="s">
        <v>3219</v>
      </c>
      <c r="K3028" t="s">
        <v>3219</v>
      </c>
      <c r="L3028">
        <v>0.676383801342412</v>
      </c>
      <c r="M3028">
        <v>24.65</v>
      </c>
      <c r="N3028">
        <v>14.99</v>
      </c>
    </row>
    <row r="3029" spans="1:14">
      <c r="A3029" s="1" t="s">
        <v>3041</v>
      </c>
      <c r="B3029">
        <f>HYPERLINK("https://www.suredividend.com/sure-analysis-research-database/","Verastem Inc")</f>
        <v>0</v>
      </c>
      <c r="C3029" t="s">
        <v>3217</v>
      </c>
      <c r="D3029">
        <v>1.77</v>
      </c>
      <c r="E3029">
        <v>0</v>
      </c>
      <c r="H3029">
        <v>0</v>
      </c>
      <c r="I3029">
        <v>329.803413</v>
      </c>
      <c r="J3029">
        <v>0</v>
      </c>
      <c r="K3029" t="s">
        <v>3219</v>
      </c>
      <c r="L3029">
        <v>1.650104854589918</v>
      </c>
      <c r="M3029">
        <v>4.93</v>
      </c>
      <c r="N3029">
        <v>1.04</v>
      </c>
    </row>
    <row r="3030" spans="1:14">
      <c r="A3030" s="1" t="s">
        <v>3042</v>
      </c>
      <c r="B3030">
        <f>HYPERLINK("https://www.suredividend.com/sure-analysis-research-database/","Vista Outdoor Inc")</f>
        <v>0</v>
      </c>
      <c r="C3030" t="s">
        <v>3223</v>
      </c>
      <c r="D3030">
        <v>36.22</v>
      </c>
      <c r="E3030">
        <v>0</v>
      </c>
      <c r="H3030">
        <v>0</v>
      </c>
      <c r="I3030">
        <v>2037.692396</v>
      </c>
      <c r="J3030">
        <v>4.76749099435208</v>
      </c>
      <c r="K3030">
        <v>0</v>
      </c>
      <c r="L3030">
        <v>1.287874787513313</v>
      </c>
      <c r="M3030">
        <v>52.69</v>
      </c>
      <c r="N3030">
        <v>30.81</v>
      </c>
    </row>
    <row r="3031" spans="1:14">
      <c r="A3031" s="1" t="s">
        <v>3043</v>
      </c>
      <c r="B3031">
        <f>HYPERLINK("https://www.suredividend.com/sure-analysis-research-database/","Vertex Energy Inc")</f>
        <v>0</v>
      </c>
      <c r="C3031" t="s">
        <v>3226</v>
      </c>
      <c r="D3031">
        <v>8.44</v>
      </c>
      <c r="E3031">
        <v>0</v>
      </c>
      <c r="H3031">
        <v>0</v>
      </c>
      <c r="I3031">
        <v>534.150425</v>
      </c>
      <c r="J3031">
        <v>0</v>
      </c>
      <c r="K3031" t="s">
        <v>3219</v>
      </c>
      <c r="L3031">
        <v>1.352742473261679</v>
      </c>
      <c r="M3031">
        <v>14.32</v>
      </c>
      <c r="N3031">
        <v>1.17</v>
      </c>
    </row>
    <row r="3032" spans="1:14">
      <c r="A3032" s="1" t="s">
        <v>3044</v>
      </c>
      <c r="B3032">
        <f>HYPERLINK("https://www.suredividend.com/sure-analysis-VTR/","Ventas Inc")</f>
        <v>0</v>
      </c>
      <c r="C3032" t="s">
        <v>3224</v>
      </c>
      <c r="D3032">
        <v>60.67</v>
      </c>
      <c r="E3032">
        <v>0.02966869952200429</v>
      </c>
      <c r="F3032">
        <v>0</v>
      </c>
      <c r="G3032">
        <v>-0.103021233886497</v>
      </c>
      <c r="H3032">
        <v>1.778969710973664</v>
      </c>
      <c r="I3032">
        <v>24240.653908</v>
      </c>
      <c r="J3032">
        <v>494.6264672614675</v>
      </c>
      <c r="K3032">
        <v>14.01867384534014</v>
      </c>
      <c r="L3032">
        <v>0.6741049677984711</v>
      </c>
      <c r="M3032">
        <v>63.56</v>
      </c>
      <c r="N3032">
        <v>44.72</v>
      </c>
    </row>
    <row r="3033" spans="1:14">
      <c r="A3033" s="1" t="s">
        <v>3045</v>
      </c>
      <c r="B3033">
        <f>HYPERLINK("https://www.suredividend.com/sure-analysis-research-database/","vTv Therapeutics Inc")</f>
        <v>0</v>
      </c>
      <c r="C3033" t="s">
        <v>3217</v>
      </c>
      <c r="D3033">
        <v>0.79</v>
      </c>
      <c r="E3033">
        <v>0</v>
      </c>
      <c r="H3033">
        <v>0</v>
      </c>
      <c r="I3033">
        <v>52.884794</v>
      </c>
      <c r="J3033">
        <v>0</v>
      </c>
      <c r="K3033" t="s">
        <v>3219</v>
      </c>
      <c r="L3033">
        <v>1.232831717950417</v>
      </c>
      <c r="M3033">
        <v>2.88</v>
      </c>
      <c r="N3033">
        <v>0.4925</v>
      </c>
    </row>
    <row r="3034" spans="1:14">
      <c r="A3034" s="1" t="s">
        <v>3046</v>
      </c>
      <c r="B3034">
        <f>HYPERLINK("https://www.suredividend.com/sure-analysis-research-database/","Vuzix Corporation")</f>
        <v>0</v>
      </c>
      <c r="C3034" t="s">
        <v>3222</v>
      </c>
      <c r="D3034">
        <v>5.52</v>
      </c>
      <c r="E3034">
        <v>0</v>
      </c>
      <c r="H3034">
        <v>0</v>
      </c>
      <c r="I3034">
        <v>351.470919</v>
      </c>
      <c r="J3034">
        <v>0</v>
      </c>
      <c r="K3034" t="s">
        <v>3219</v>
      </c>
      <c r="L3034">
        <v>2.459443302767411</v>
      </c>
      <c r="M3034">
        <v>26.44</v>
      </c>
      <c r="N3034">
        <v>4.54</v>
      </c>
    </row>
    <row r="3035" spans="1:14">
      <c r="A3035" s="1" t="s">
        <v>3047</v>
      </c>
      <c r="B3035">
        <f>HYPERLINK("https://www.suredividend.com/sure-analysis-research-database/","Viad Corp.")</f>
        <v>0</v>
      </c>
      <c r="C3035" t="s">
        <v>3220</v>
      </c>
      <c r="D3035">
        <v>34.61</v>
      </c>
      <c r="E3035">
        <v>0</v>
      </c>
      <c r="H3035">
        <v>0</v>
      </c>
      <c r="I3035">
        <v>712.2485</v>
      </c>
      <c r="J3035" t="s">
        <v>3219</v>
      </c>
      <c r="K3035">
        <v>-0</v>
      </c>
      <c r="L3035">
        <v>1.669189458938054</v>
      </c>
      <c r="M3035">
        <v>52.73</v>
      </c>
      <c r="N3035">
        <v>27.75</v>
      </c>
    </row>
    <row r="3036" spans="1:14">
      <c r="A3036" s="1" t="s">
        <v>3048</v>
      </c>
      <c r="B3036">
        <f>HYPERLINK("https://www.suredividend.com/sure-analysis-research-database/","Valvoline Inc")</f>
        <v>0</v>
      </c>
      <c r="C3036" t="s">
        <v>3226</v>
      </c>
      <c r="D3036">
        <v>30.56</v>
      </c>
      <c r="E3036">
        <v>0.016295738892</v>
      </c>
      <c r="F3036">
        <v>0</v>
      </c>
      <c r="G3036">
        <v>0.2059874450425612</v>
      </c>
      <c r="H3036">
        <v>0.497997780539521</v>
      </c>
      <c r="I3036">
        <v>5481.128375</v>
      </c>
      <c r="J3036">
        <v>13.0503056552381</v>
      </c>
      <c r="K3036">
        <v>0.2155834547790134</v>
      </c>
      <c r="L3036">
        <v>0.9152256985702311</v>
      </c>
      <c r="M3036">
        <v>37.81</v>
      </c>
      <c r="N3036">
        <v>27.7</v>
      </c>
    </row>
    <row r="3037" spans="1:14">
      <c r="A3037" s="1" t="s">
        <v>3049</v>
      </c>
      <c r="B3037">
        <f>HYPERLINK("https://www.suredividend.com/sure-analysis-research-database/","Vaxart Inc")</f>
        <v>0</v>
      </c>
      <c r="C3037" t="s">
        <v>3217</v>
      </c>
      <c r="D3037">
        <v>4.66</v>
      </c>
      <c r="E3037">
        <v>0</v>
      </c>
      <c r="H3037">
        <v>0</v>
      </c>
      <c r="I3037">
        <v>586.276431</v>
      </c>
      <c r="J3037" t="s">
        <v>3219</v>
      </c>
      <c r="K3037">
        <v>-0</v>
      </c>
      <c r="L3037">
        <v>1.493514163125409</v>
      </c>
      <c r="M3037">
        <v>11.11</v>
      </c>
      <c r="N3037">
        <v>3.91</v>
      </c>
    </row>
    <row r="3038" spans="1:14">
      <c r="A3038" s="1" t="s">
        <v>3050</v>
      </c>
      <c r="B3038">
        <f>HYPERLINK("https://www.suredividend.com/sure-analysis-research-database/","Voyager Therapeutics Inc")</f>
        <v>0</v>
      </c>
      <c r="C3038" t="s">
        <v>3217</v>
      </c>
      <c r="D3038">
        <v>8.92</v>
      </c>
      <c r="E3038">
        <v>0</v>
      </c>
      <c r="H3038">
        <v>0</v>
      </c>
      <c r="I3038">
        <v>339.982946</v>
      </c>
      <c r="J3038" t="s">
        <v>3219</v>
      </c>
      <c r="K3038">
        <v>-0</v>
      </c>
      <c r="L3038">
        <v>0.760698445632333</v>
      </c>
      <c r="M3038">
        <v>9.74</v>
      </c>
      <c r="N3038">
        <v>2.46</v>
      </c>
    </row>
    <row r="3039" spans="1:14">
      <c r="A3039" s="1" t="s">
        <v>3051</v>
      </c>
      <c r="B3039">
        <f>HYPERLINK("https://www.suredividend.com/sure-analysis-VZ/","Verizon Communications Inc")</f>
        <v>0</v>
      </c>
      <c r="C3039" t="s">
        <v>3228</v>
      </c>
      <c r="D3039">
        <v>53.83</v>
      </c>
      <c r="E3039">
        <v>0.04755712428014119</v>
      </c>
      <c r="F3039">
        <v>0.01992031872509958</v>
      </c>
      <c r="G3039">
        <v>0.02076459231146877</v>
      </c>
      <c r="H3039">
        <v>3.127227650709027</v>
      </c>
      <c r="I3039">
        <v>225968.847725</v>
      </c>
      <c r="J3039">
        <v>10.24105360187899</v>
      </c>
      <c r="K3039">
        <v>0.5878247463738773</v>
      </c>
      <c r="L3039">
        <v>0.18639227884198</v>
      </c>
      <c r="M3039">
        <v>57.74</v>
      </c>
      <c r="N3039">
        <v>48.5</v>
      </c>
    </row>
    <row r="3040" spans="1:14">
      <c r="A3040" s="1" t="s">
        <v>3052</v>
      </c>
      <c r="B3040">
        <f>HYPERLINK("https://www.suredividend.com/sure-analysis-research-database/","Wayfair Inc")</f>
        <v>0</v>
      </c>
      <c r="C3040" t="s">
        <v>3223</v>
      </c>
      <c r="D3040">
        <v>108.23</v>
      </c>
      <c r="E3040">
        <v>0</v>
      </c>
      <c r="H3040">
        <v>0</v>
      </c>
      <c r="I3040">
        <v>8573.374078999999</v>
      </c>
      <c r="J3040" t="s">
        <v>3219</v>
      </c>
      <c r="K3040">
        <v>-0</v>
      </c>
      <c r="L3040">
        <v>1.743965829419488</v>
      </c>
      <c r="M3040">
        <v>339.56</v>
      </c>
      <c r="N3040">
        <v>100.57</v>
      </c>
    </row>
    <row r="3041" spans="1:14">
      <c r="A3041" s="1" t="s">
        <v>3053</v>
      </c>
      <c r="B3041">
        <f>HYPERLINK("https://www.suredividend.com/sure-analysis-research-database/","Westinghouse Air Brake Technologies Corp")</f>
        <v>0</v>
      </c>
      <c r="C3041" t="s">
        <v>3220</v>
      </c>
      <c r="D3041">
        <v>89.17</v>
      </c>
      <c r="E3041">
        <v>0.005707666567108</v>
      </c>
      <c r="F3041">
        <v>0.25</v>
      </c>
      <c r="G3041">
        <v>0.08447177119769855</v>
      </c>
      <c r="H3041">
        <v>0.50895262778906</v>
      </c>
      <c r="I3041">
        <v>16429.708395</v>
      </c>
      <c r="J3041">
        <v>29.44392185498208</v>
      </c>
      <c r="K3041">
        <v>0.1713645211410977</v>
      </c>
      <c r="L3041">
        <v>1.023425421368594</v>
      </c>
      <c r="M3041">
        <v>100.05</v>
      </c>
      <c r="N3041">
        <v>75.98</v>
      </c>
    </row>
    <row r="3042" spans="1:14">
      <c r="A3042" s="1" t="s">
        <v>3054</v>
      </c>
      <c r="B3042">
        <f>HYPERLINK("https://www.suredividend.com/sure-analysis-WABC/","Westamerica Bancorporation")</f>
        <v>0</v>
      </c>
      <c r="C3042" t="s">
        <v>3221</v>
      </c>
      <c r="D3042">
        <v>59.04</v>
      </c>
      <c r="E3042">
        <v>0.02845528455284553</v>
      </c>
      <c r="F3042">
        <v>0.02439024390243882</v>
      </c>
      <c r="G3042">
        <v>0.01493197894539366</v>
      </c>
      <c r="H3042">
        <v>1.641987632573888</v>
      </c>
      <c r="I3042">
        <v>1586.566865</v>
      </c>
      <c r="J3042">
        <v>18.33990526766001</v>
      </c>
      <c r="K3042">
        <v>0.509934047383195</v>
      </c>
      <c r="L3042">
        <v>0.5541381285173961</v>
      </c>
      <c r="M3042">
        <v>63.5</v>
      </c>
      <c r="N3042">
        <v>52.46</v>
      </c>
    </row>
    <row r="3043" spans="1:14">
      <c r="A3043" s="1" t="s">
        <v>3055</v>
      </c>
      <c r="B3043">
        <f>HYPERLINK("https://www.suredividend.com/sure-analysis-research-database/","Washington Federal Inc.")</f>
        <v>0</v>
      </c>
      <c r="C3043" t="s">
        <v>3221</v>
      </c>
      <c r="D3043">
        <v>31.53</v>
      </c>
      <c r="E3043">
        <v>0.029201995678778</v>
      </c>
      <c r="F3043">
        <v>0.04347826086956519</v>
      </c>
      <c r="G3043">
        <v>0.09856054330611785</v>
      </c>
      <c r="H3043">
        <v>0.9207389237518731</v>
      </c>
      <c r="I3043">
        <v>2058.952984</v>
      </c>
      <c r="J3043">
        <v>11.35942723980028</v>
      </c>
      <c r="K3043">
        <v>0.3554976539582522</v>
      </c>
      <c r="L3043">
        <v>0.835947089374068</v>
      </c>
      <c r="M3043">
        <v>37.8</v>
      </c>
      <c r="N3043">
        <v>28.42</v>
      </c>
    </row>
    <row r="3044" spans="1:14">
      <c r="A3044" s="1" t="s">
        <v>3056</v>
      </c>
      <c r="B3044">
        <f>HYPERLINK("https://www.suredividend.com/sure-analysis-research-database/","Western Alliance Bancorp")</f>
        <v>0</v>
      </c>
      <c r="C3044" t="s">
        <v>3221</v>
      </c>
      <c r="D3044">
        <v>75.66</v>
      </c>
      <c r="E3044">
        <v>0.017102559423058</v>
      </c>
      <c r="H3044">
        <v>1.293979645948615</v>
      </c>
      <c r="I3044">
        <v>8095.41882</v>
      </c>
      <c r="J3044">
        <v>9.038091794194484</v>
      </c>
      <c r="K3044">
        <v>0.1492479407091828</v>
      </c>
      <c r="L3044">
        <v>1.426720809364867</v>
      </c>
      <c r="M3044">
        <v>124.48</v>
      </c>
      <c r="N3044">
        <v>73.31</v>
      </c>
    </row>
    <row r="3045" spans="1:14">
      <c r="A3045" s="1" t="s">
        <v>3057</v>
      </c>
      <c r="B3045">
        <f>HYPERLINK("https://www.suredividend.com/sure-analysis-WASH/","Washington Trust Bancorp, Inc.")</f>
        <v>0</v>
      </c>
      <c r="C3045" t="s">
        <v>3221</v>
      </c>
      <c r="D3045">
        <v>48.78</v>
      </c>
      <c r="E3045">
        <v>0.04428044280442805</v>
      </c>
      <c r="F3045">
        <v>0.03846153846153855</v>
      </c>
      <c r="G3045">
        <v>0.07280807218764251</v>
      </c>
      <c r="H3045">
        <v>2.089346578774816</v>
      </c>
      <c r="I3045">
        <v>845.424814</v>
      </c>
      <c r="J3045">
        <v>11.03010964499589</v>
      </c>
      <c r="K3045">
        <v>0.4759331614521221</v>
      </c>
      <c r="L3045">
        <v>0.6690250697958691</v>
      </c>
      <c r="M3045">
        <v>60.34</v>
      </c>
      <c r="N3045">
        <v>45.01</v>
      </c>
    </row>
    <row r="3046" spans="1:14">
      <c r="A3046" s="1" t="s">
        <v>3058</v>
      </c>
      <c r="B3046">
        <f>HYPERLINK("https://www.suredividend.com/sure-analysis-research-database/","Waters Corp.")</f>
        <v>0</v>
      </c>
      <c r="C3046" t="s">
        <v>3217</v>
      </c>
      <c r="D3046">
        <v>295.39</v>
      </c>
      <c r="E3046">
        <v>0</v>
      </c>
      <c r="H3046">
        <v>0</v>
      </c>
      <c r="I3046">
        <v>17843.18035</v>
      </c>
      <c r="J3046">
        <v>25.75356949497938</v>
      </c>
      <c r="K3046">
        <v>0</v>
      </c>
      <c r="L3046">
        <v>0.9853548577744391</v>
      </c>
      <c r="M3046">
        <v>428.22</v>
      </c>
      <c r="N3046">
        <v>292.24</v>
      </c>
    </row>
    <row r="3047" spans="1:14">
      <c r="A3047" s="1" t="s">
        <v>3059</v>
      </c>
      <c r="B3047">
        <f>HYPERLINK("https://www.suredividend.com/sure-analysis-research-database/","Energous Corp")</f>
        <v>0</v>
      </c>
      <c r="C3047" t="s">
        <v>3222</v>
      </c>
      <c r="D3047">
        <v>1.05</v>
      </c>
      <c r="E3047">
        <v>0</v>
      </c>
      <c r="H3047">
        <v>0</v>
      </c>
      <c r="I3047">
        <v>80.88715000000001</v>
      </c>
      <c r="J3047" t="s">
        <v>3219</v>
      </c>
      <c r="K3047">
        <v>-0</v>
      </c>
      <c r="L3047">
        <v>1.674663894788292</v>
      </c>
      <c r="M3047">
        <v>3.88</v>
      </c>
      <c r="N3047">
        <v>0.9478000000000001</v>
      </c>
    </row>
    <row r="3048" spans="1:14">
      <c r="A3048" s="1" t="s">
        <v>3060</v>
      </c>
      <c r="B3048">
        <f>HYPERLINK("https://www.suredividend.com/sure-analysis-WBA/","Walgreens Boots Alliance Inc")</f>
        <v>0</v>
      </c>
      <c r="C3048" t="s">
        <v>3217</v>
      </c>
      <c r="D3048">
        <v>44.81</v>
      </c>
      <c r="E3048">
        <v>0.04262441419326043</v>
      </c>
      <c r="F3048">
        <v>0.02139037433155089</v>
      </c>
      <c r="G3048">
        <v>0.04951444805329408</v>
      </c>
      <c r="H3048">
        <v>1.872402410811502</v>
      </c>
      <c r="I3048">
        <v>38705.688922</v>
      </c>
      <c r="J3048">
        <v>6.156463960846191</v>
      </c>
      <c r="K3048">
        <v>0.2582624014912417</v>
      </c>
      <c r="L3048">
        <v>0.6887600503468581</v>
      </c>
      <c r="M3048">
        <v>54.45</v>
      </c>
      <c r="N3048">
        <v>42.9</v>
      </c>
    </row>
    <row r="3049" spans="1:14">
      <c r="A3049" s="1" t="s">
        <v>3061</v>
      </c>
      <c r="B3049">
        <f>HYPERLINK("https://www.suredividend.com/sure-analysis-research-database/","Webster Financial Corp.")</f>
        <v>0</v>
      </c>
      <c r="C3049" t="s">
        <v>3221</v>
      </c>
      <c r="D3049">
        <v>50.46</v>
      </c>
      <c r="E3049">
        <v>0.03137743052330801</v>
      </c>
      <c r="F3049">
        <v>0</v>
      </c>
      <c r="G3049">
        <v>0.08997698704834534</v>
      </c>
      <c r="H3049">
        <v>1.583305144206159</v>
      </c>
      <c r="I3049">
        <v>9062.853413999999</v>
      </c>
      <c r="J3049">
        <v>22.73175050678853</v>
      </c>
      <c r="K3049">
        <v>0.3582138335308053</v>
      </c>
      <c r="L3049">
        <v>1.163589419655583</v>
      </c>
      <c r="M3049">
        <v>64.56999999999999</v>
      </c>
      <c r="N3049">
        <v>44.61</v>
      </c>
    </row>
    <row r="3050" spans="1:14">
      <c r="A3050" s="1" t="s">
        <v>3062</v>
      </c>
      <c r="B3050">
        <f>HYPERLINK("https://www.suredividend.com/sure-analysis-research-database/","Welbilt Inc")</f>
        <v>0</v>
      </c>
      <c r="C3050" t="s">
        <v>3220</v>
      </c>
      <c r="D3050">
        <v>23.75</v>
      </c>
      <c r="E3050">
        <v>0</v>
      </c>
      <c r="H3050">
        <v>0</v>
      </c>
      <c r="I3050">
        <v>3399.716241</v>
      </c>
      <c r="J3050">
        <v>48.36011722972973</v>
      </c>
      <c r="K3050">
        <v>0</v>
      </c>
      <c r="L3050">
        <v>0.399861854535134</v>
      </c>
      <c r="M3050">
        <v>25.19</v>
      </c>
      <c r="N3050">
        <v>15.17</v>
      </c>
    </row>
    <row r="3051" spans="1:14">
      <c r="A3051" s="1" t="s">
        <v>3063</v>
      </c>
      <c r="B3051">
        <f>HYPERLINK("https://www.suredividend.com/sure-analysis-research-database/","Wesco International, Inc.")</f>
        <v>0</v>
      </c>
      <c r="C3051" t="s">
        <v>3220</v>
      </c>
      <c r="D3051">
        <v>123.19</v>
      </c>
      <c r="E3051">
        <v>0</v>
      </c>
      <c r="H3051">
        <v>0</v>
      </c>
      <c r="I3051">
        <v>6246.928436</v>
      </c>
      <c r="J3051">
        <v>15.31207487673234</v>
      </c>
      <c r="K3051">
        <v>0</v>
      </c>
      <c r="L3051">
        <v>1.690853724625518</v>
      </c>
      <c r="M3051">
        <v>140.92</v>
      </c>
      <c r="N3051">
        <v>82.17</v>
      </c>
    </row>
    <row r="3052" spans="1:14">
      <c r="A3052" s="1" t="s">
        <v>3064</v>
      </c>
      <c r="B3052">
        <f>HYPERLINK("https://www.suredividend.com/sure-analysis-research-database/","Walker &amp; Dunlop Inc")</f>
        <v>0</v>
      </c>
      <c r="C3052" t="s">
        <v>3221</v>
      </c>
      <c r="D3052">
        <v>130.32</v>
      </c>
      <c r="E3052">
        <v>0.01601907319221</v>
      </c>
      <c r="H3052">
        <v>2.087605618408811</v>
      </c>
      <c r="I3052">
        <v>4311.490851</v>
      </c>
      <c r="J3052">
        <v>0</v>
      </c>
      <c r="K3052" t="s">
        <v>3219</v>
      </c>
      <c r="L3052">
        <v>1.003382476341807</v>
      </c>
      <c r="M3052">
        <v>156.09</v>
      </c>
      <c r="N3052">
        <v>93.33</v>
      </c>
    </row>
    <row r="3053" spans="1:14">
      <c r="A3053" s="1" t="s">
        <v>3065</v>
      </c>
      <c r="B3053">
        <f>HYPERLINK("https://www.suredividend.com/sure-analysis-research-database/","Workday Inc")</f>
        <v>0</v>
      </c>
      <c r="C3053" t="s">
        <v>3222</v>
      </c>
      <c r="D3053">
        <v>224.67</v>
      </c>
      <c r="E3053">
        <v>0</v>
      </c>
      <c r="H3053">
        <v>0</v>
      </c>
      <c r="I3053">
        <v>44035.32</v>
      </c>
      <c r="J3053">
        <v>1499.176795015831</v>
      </c>
      <c r="K3053">
        <v>0</v>
      </c>
      <c r="L3053">
        <v>1.316244389395926</v>
      </c>
      <c r="M3053">
        <v>307.81</v>
      </c>
      <c r="N3053">
        <v>205.9</v>
      </c>
    </row>
    <row r="3054" spans="1:14">
      <c r="A3054" s="1" t="s">
        <v>3066</v>
      </c>
      <c r="B3054">
        <f>HYPERLINK("https://www.suredividend.com/sure-analysis-research-database/","Western Digital Corp.")</f>
        <v>0</v>
      </c>
      <c r="C3054" t="s">
        <v>3222</v>
      </c>
      <c r="D3054">
        <v>46.34</v>
      </c>
      <c r="E3054">
        <v>0</v>
      </c>
      <c r="H3054">
        <v>0</v>
      </c>
      <c r="I3054">
        <v>14500.605616</v>
      </c>
      <c r="J3054">
        <v>7.275767995775214</v>
      </c>
      <c r="K3054">
        <v>0</v>
      </c>
      <c r="L3054">
        <v>1.462055242606326</v>
      </c>
      <c r="M3054">
        <v>78.19</v>
      </c>
      <c r="N3054">
        <v>43.85</v>
      </c>
    </row>
    <row r="3055" spans="1:14">
      <c r="A3055" s="1" t="s">
        <v>3067</v>
      </c>
      <c r="B3055">
        <f>HYPERLINK("https://www.suredividend.com/sure-analysis-research-database/","WD-40 Co.")</f>
        <v>0</v>
      </c>
      <c r="C3055" t="s">
        <v>3218</v>
      </c>
      <c r="D3055">
        <v>189.24</v>
      </c>
      <c r="E3055">
        <v>0.015767908250979</v>
      </c>
      <c r="F3055">
        <v>0.08333333333333348</v>
      </c>
      <c r="G3055">
        <v>0.09743726841698619</v>
      </c>
      <c r="H3055">
        <v>2.983918957415409</v>
      </c>
      <c r="I3055">
        <v>2585.203855</v>
      </c>
      <c r="J3055">
        <v>38.44855372259734</v>
      </c>
      <c r="K3055">
        <v>0.6102083757495724</v>
      </c>
      <c r="L3055">
        <v>0.493495275136585</v>
      </c>
      <c r="M3055">
        <v>276.26</v>
      </c>
      <c r="N3055">
        <v>169.72</v>
      </c>
    </row>
    <row r="3056" spans="1:14">
      <c r="A3056" s="1" t="s">
        <v>3068</v>
      </c>
      <c r="B3056">
        <f>HYPERLINK("https://www.suredividend.com/sure-analysis-research-database/","Waddell &amp; Reed Financial, Inc.")</f>
        <v>0</v>
      </c>
      <c r="C3056" t="s">
        <v>3221</v>
      </c>
      <c r="D3056">
        <v>24.98</v>
      </c>
      <c r="E3056">
        <v>0.039384485398388</v>
      </c>
      <c r="H3056">
        <v>0.9838244452517491</v>
      </c>
      <c r="I3056">
        <v>1549.379129</v>
      </c>
      <c r="J3056">
        <v>30.93622844677835</v>
      </c>
      <c r="K3056">
        <v>1.250889313733947</v>
      </c>
      <c r="L3056">
        <v>0.9785227016099101</v>
      </c>
      <c r="M3056">
        <v>25.39</v>
      </c>
      <c r="N3056">
        <v>11.82</v>
      </c>
    </row>
    <row r="3057" spans="1:14">
      <c r="A3057" s="1" t="s">
        <v>3069</v>
      </c>
      <c r="B3057">
        <f>HYPERLINK("https://www.suredividend.com/sure-analysis-WEC/","WEC Energy Group Inc")</f>
        <v>0</v>
      </c>
      <c r="C3057" t="s">
        <v>3227</v>
      </c>
      <c r="D3057">
        <v>103.19</v>
      </c>
      <c r="E3057">
        <v>0.02820040701618374</v>
      </c>
      <c r="F3057">
        <v>0.07380073800738018</v>
      </c>
      <c r="G3057">
        <v>0.06946341084239305</v>
      </c>
      <c r="H3057">
        <v>2.729097514861534</v>
      </c>
      <c r="I3057">
        <v>32549.689254</v>
      </c>
      <c r="J3057">
        <v>25.03244578473429</v>
      </c>
      <c r="K3057">
        <v>0.664013993883585</v>
      </c>
      <c r="L3057">
        <v>0.146325771253828</v>
      </c>
      <c r="M3057">
        <v>105.43</v>
      </c>
      <c r="N3057">
        <v>85.62</v>
      </c>
    </row>
    <row r="3058" spans="1:14">
      <c r="A3058" s="1" t="s">
        <v>3070</v>
      </c>
      <c r="B3058">
        <f>HYPERLINK("https://www.suredividend.com/sure-analysis-WELL/","Welltower Inc.")</f>
        <v>0</v>
      </c>
      <c r="C3058" t="s">
        <v>3224</v>
      </c>
      <c r="D3058">
        <v>96.03</v>
      </c>
      <c r="E3058">
        <v>0.02540872643965427</v>
      </c>
      <c r="F3058">
        <v>0</v>
      </c>
      <c r="G3058">
        <v>-0.06854448919933698</v>
      </c>
      <c r="H3058">
        <v>0</v>
      </c>
      <c r="I3058">
        <v>43594.447649</v>
      </c>
      <c r="J3058">
        <v>0</v>
      </c>
      <c r="K3058" t="s">
        <v>3219</v>
      </c>
      <c r="M3058">
        <v>99.43000000000001</v>
      </c>
      <c r="N3058">
        <v>94.58</v>
      </c>
    </row>
    <row r="3059" spans="1:14">
      <c r="A3059" s="1" t="s">
        <v>3071</v>
      </c>
      <c r="B3059">
        <f>HYPERLINK("https://www.suredividend.com/sure-analysis-WEN/","Wendy`s Co")</f>
        <v>0</v>
      </c>
      <c r="C3059" t="s">
        <v>3223</v>
      </c>
      <c r="D3059">
        <v>20.89</v>
      </c>
      <c r="E3059">
        <v>0.02393489707994256</v>
      </c>
      <c r="F3059">
        <v>0.3888888888888888</v>
      </c>
      <c r="G3059">
        <v>0.1229551070568209</v>
      </c>
      <c r="H3059">
        <v>0.461312628226877</v>
      </c>
      <c r="I3059">
        <v>4499.524842</v>
      </c>
      <c r="J3059">
        <v>22.45361512395705</v>
      </c>
      <c r="K3059">
        <v>0.5165874896157637</v>
      </c>
      <c r="L3059">
        <v>0.726342794075987</v>
      </c>
      <c r="M3059">
        <v>28.97</v>
      </c>
      <c r="N3059">
        <v>20.25</v>
      </c>
    </row>
    <row r="3060" spans="1:14">
      <c r="A3060" s="1" t="s">
        <v>3072</v>
      </c>
      <c r="B3060">
        <f>HYPERLINK("https://www.suredividend.com/sure-analysis-research-database/","Werner Enterprises, Inc.")</f>
        <v>0</v>
      </c>
      <c r="C3060" t="s">
        <v>3220</v>
      </c>
      <c r="D3060">
        <v>37.23</v>
      </c>
      <c r="E3060">
        <v>0.012837231904055</v>
      </c>
      <c r="F3060">
        <v>0.2</v>
      </c>
      <c r="G3060">
        <v>0.1138241786028789</v>
      </c>
      <c r="H3060">
        <v>0.477930143787982</v>
      </c>
      <c r="I3060">
        <v>2422.100516</v>
      </c>
      <c r="J3060">
        <v>9.349862253485783</v>
      </c>
      <c r="K3060">
        <v>0.1251126030858592</v>
      </c>
      <c r="L3060">
        <v>0.5836756443044511</v>
      </c>
      <c r="M3060">
        <v>49.21</v>
      </c>
      <c r="N3060">
        <v>36.17</v>
      </c>
    </row>
    <row r="3061" spans="1:14">
      <c r="A3061" s="1" t="s">
        <v>3073</v>
      </c>
      <c r="B3061">
        <f>HYPERLINK("https://www.suredividend.com/sure-analysis-research-database/","Wisdomtree Investments Inc")</f>
        <v>0</v>
      </c>
      <c r="C3061" t="s">
        <v>3221</v>
      </c>
      <c r="D3061">
        <v>6.11</v>
      </c>
      <c r="E3061">
        <v>0.019496521123008</v>
      </c>
      <c r="F3061">
        <v>0</v>
      </c>
      <c r="G3061">
        <v>-0.1781240852413871</v>
      </c>
      <c r="H3061">
        <v>0.119123744061581</v>
      </c>
      <c r="I3061">
        <v>895.642238</v>
      </c>
      <c r="J3061">
        <v>20.24004515174799</v>
      </c>
      <c r="K3061">
        <v>0.434124431711301</v>
      </c>
      <c r="L3061">
        <v>1.152675971817732</v>
      </c>
      <c r="M3061">
        <v>7.27</v>
      </c>
      <c r="N3061">
        <v>5.08</v>
      </c>
    </row>
    <row r="3062" spans="1:14">
      <c r="A3062" s="1" t="s">
        <v>3074</v>
      </c>
      <c r="B3062">
        <f>HYPERLINK("https://www.suredividend.com/sure-analysis-research-database/","WEX Inc")</f>
        <v>0</v>
      </c>
      <c r="C3062" t="s">
        <v>3222</v>
      </c>
      <c r="D3062">
        <v>173.46</v>
      </c>
      <c r="E3062">
        <v>0</v>
      </c>
      <c r="H3062">
        <v>0</v>
      </c>
      <c r="I3062">
        <v>7776.250655</v>
      </c>
      <c r="J3062">
        <v>56760.95368642336</v>
      </c>
      <c r="K3062">
        <v>0</v>
      </c>
      <c r="L3062">
        <v>0.9605012668216051</v>
      </c>
      <c r="M3062">
        <v>230.14</v>
      </c>
      <c r="N3062">
        <v>123.01</v>
      </c>
    </row>
    <row r="3063" spans="1:14">
      <c r="A3063" s="1" t="s">
        <v>3075</v>
      </c>
      <c r="B3063">
        <f>HYPERLINK("https://www.suredividend.com/sure-analysis-WEYS/","Weyco Group, Inc")</f>
        <v>0</v>
      </c>
      <c r="C3063" t="s">
        <v>3223</v>
      </c>
      <c r="D3063">
        <v>28.05</v>
      </c>
      <c r="E3063">
        <v>0.035650623885918</v>
      </c>
      <c r="F3063">
        <v>0</v>
      </c>
      <c r="G3063">
        <v>0.01755457717558762</v>
      </c>
      <c r="H3063">
        <v>0.9504326999538221</v>
      </c>
      <c r="I3063">
        <v>270.700256</v>
      </c>
      <c r="J3063">
        <v>13.16955756020433</v>
      </c>
      <c r="K3063">
        <v>0.4483173112989727</v>
      </c>
      <c r="L3063">
        <v>0.501240012707449</v>
      </c>
      <c r="M3063">
        <v>29.24</v>
      </c>
      <c r="N3063">
        <v>18.93</v>
      </c>
    </row>
    <row r="3064" spans="1:14">
      <c r="A3064" s="1" t="s">
        <v>3076</v>
      </c>
      <c r="B3064">
        <f>HYPERLINK("https://www.suredividend.com/sure-analysis-WFC/","Wells Fargo &amp; Co.")</f>
        <v>0</v>
      </c>
      <c r="C3064" t="s">
        <v>3221</v>
      </c>
      <c r="D3064">
        <v>46.35</v>
      </c>
      <c r="E3064">
        <v>0.02157497303128371</v>
      </c>
      <c r="F3064">
        <v>1.5</v>
      </c>
      <c r="G3064">
        <v>-0.08033156162936272</v>
      </c>
      <c r="H3064">
        <v>0.746186262697572</v>
      </c>
      <c r="I3064">
        <v>176203.631934</v>
      </c>
      <c r="J3064">
        <v>8.698836489654918</v>
      </c>
      <c r="K3064">
        <v>0.150744699534863</v>
      </c>
      <c r="L3064">
        <v>1.186648674738845</v>
      </c>
      <c r="M3064">
        <v>60.3</v>
      </c>
      <c r="N3064">
        <v>40.95</v>
      </c>
    </row>
    <row r="3065" spans="1:14">
      <c r="A3065" s="1" t="s">
        <v>3077</v>
      </c>
      <c r="B3065">
        <f>HYPERLINK("https://www.suredividend.com/sure-analysis-research-database/","Winnebago Industries, Inc.")</f>
        <v>0</v>
      </c>
      <c r="C3065" t="s">
        <v>3223</v>
      </c>
      <c r="D3065">
        <v>55.9</v>
      </c>
      <c r="E3065">
        <v>0.011760939704913</v>
      </c>
      <c r="F3065">
        <v>0.5</v>
      </c>
      <c r="G3065">
        <v>0.1247461131420948</v>
      </c>
      <c r="H3065">
        <v>0.657436529504644</v>
      </c>
      <c r="I3065">
        <v>1832.203835</v>
      </c>
      <c r="J3065">
        <v>5.292556969539408</v>
      </c>
      <c r="K3065">
        <v>0.06496408394314665</v>
      </c>
      <c r="L3065">
        <v>1.077020562329301</v>
      </c>
      <c r="M3065">
        <v>84.22</v>
      </c>
      <c r="N3065">
        <v>51.12</v>
      </c>
    </row>
    <row r="3066" spans="1:14">
      <c r="A3066" s="1" t="s">
        <v>3078</v>
      </c>
      <c r="B3066">
        <f>HYPERLINK("https://www.suredividend.com/sure-analysis-research-database/","Wyndham Hotels &amp; Resorts Inc")</f>
        <v>0</v>
      </c>
      <c r="C3066" t="s">
        <v>3223</v>
      </c>
      <c r="D3066">
        <v>86.68000000000001</v>
      </c>
      <c r="E3066">
        <v>0.011942364097256</v>
      </c>
      <c r="H3066">
        <v>1.035164119950216</v>
      </c>
      <c r="I3066">
        <v>7995.623673</v>
      </c>
      <c r="J3066">
        <v>32.76894948114754</v>
      </c>
      <c r="K3066">
        <v>0.3981400461346984</v>
      </c>
      <c r="L3066">
        <v>1.230017216496376</v>
      </c>
      <c r="M3066">
        <v>93.37</v>
      </c>
      <c r="N3066">
        <v>64.51000000000001</v>
      </c>
    </row>
    <row r="3067" spans="1:14">
      <c r="A3067" s="1" t="s">
        <v>3079</v>
      </c>
      <c r="B3067">
        <f>HYPERLINK("https://www.suredividend.com/sure-analysis-research-database/","Cactus Inc")</f>
        <v>0</v>
      </c>
      <c r="C3067" t="s">
        <v>3226</v>
      </c>
      <c r="D3067">
        <v>60.27</v>
      </c>
      <c r="E3067">
        <v>0.006621632020720001</v>
      </c>
      <c r="H3067">
        <v>0.3990857618888231</v>
      </c>
      <c r="I3067">
        <v>3643.384301</v>
      </c>
      <c r="J3067">
        <v>73.46569679874176</v>
      </c>
      <c r="K3067">
        <v>0.6124704755813736</v>
      </c>
      <c r="L3067">
        <v>0.7415806820316431</v>
      </c>
      <c r="M3067">
        <v>64.18000000000001</v>
      </c>
      <c r="N3067">
        <v>27.05</v>
      </c>
    </row>
    <row r="3068" spans="1:14">
      <c r="A3068" s="1" t="s">
        <v>3080</v>
      </c>
      <c r="B3068">
        <f>HYPERLINK("https://www.suredividend.com/sure-analysis-research-database/","Westwood Holdings Group Inc")</f>
        <v>0</v>
      </c>
      <c r="C3068" t="s">
        <v>3221</v>
      </c>
      <c r="D3068">
        <v>16.36</v>
      </c>
      <c r="E3068">
        <v>0.029672645394457</v>
      </c>
      <c r="H3068">
        <v>0.485444478653328</v>
      </c>
      <c r="I3068">
        <v>140.493234</v>
      </c>
      <c r="J3068">
        <v>14.39037531086756</v>
      </c>
      <c r="K3068">
        <v>0.3946703078482341</v>
      </c>
      <c r="L3068">
        <v>0.355008694029687</v>
      </c>
      <c r="M3068">
        <v>23.94</v>
      </c>
      <c r="N3068">
        <v>14.29</v>
      </c>
    </row>
    <row r="3069" spans="1:14">
      <c r="A3069" s="1" t="s">
        <v>3081</v>
      </c>
      <c r="B3069">
        <f>HYPERLINK("https://www.suredividend.com/sure-analysis-research-database/","Wilhelmina International Inc")</f>
        <v>0</v>
      </c>
      <c r="C3069" t="s">
        <v>3220</v>
      </c>
      <c r="D3069">
        <v>5.04</v>
      </c>
      <c r="E3069">
        <v>0</v>
      </c>
      <c r="H3069">
        <v>0</v>
      </c>
      <c r="I3069">
        <v>25.993014</v>
      </c>
      <c r="J3069">
        <v>0</v>
      </c>
      <c r="K3069" t="s">
        <v>3219</v>
      </c>
      <c r="L3069">
        <v>0.8133412564548661</v>
      </c>
      <c r="M3069">
        <v>9.380000000000001</v>
      </c>
      <c r="N3069">
        <v>3.83</v>
      </c>
    </row>
    <row r="3070" spans="1:14">
      <c r="A3070" s="1" t="s">
        <v>3082</v>
      </c>
      <c r="B3070">
        <f>HYPERLINK("https://www.suredividend.com/sure-analysis-research-database/","Wheeler Real Estate Investment Trust Inc")</f>
        <v>0</v>
      </c>
      <c r="C3070" t="s">
        <v>3224</v>
      </c>
      <c r="D3070">
        <v>2.33</v>
      </c>
      <c r="E3070">
        <v>0</v>
      </c>
      <c r="H3070">
        <v>0</v>
      </c>
      <c r="I3070">
        <v>22.64884</v>
      </c>
      <c r="J3070">
        <v>0</v>
      </c>
      <c r="K3070" t="s">
        <v>3219</v>
      </c>
      <c r="L3070">
        <v>0.25874523519427</v>
      </c>
      <c r="M3070">
        <v>5.44</v>
      </c>
      <c r="N3070">
        <v>1.51</v>
      </c>
    </row>
    <row r="3071" spans="1:14">
      <c r="A3071" s="1" t="s">
        <v>3083</v>
      </c>
      <c r="B3071">
        <f>HYPERLINK("https://www.suredividend.com/sure-analysis-WHR/","Whirlpool Corp.")</f>
        <v>0</v>
      </c>
      <c r="C3071" t="s">
        <v>3223</v>
      </c>
      <c r="D3071">
        <v>170.55</v>
      </c>
      <c r="E3071">
        <v>0.04104368220463207</v>
      </c>
      <c r="F3071">
        <v>0.3999999999999999</v>
      </c>
      <c r="G3071">
        <v>0.09730933214999515</v>
      </c>
      <c r="H3071">
        <v>5.886844484366704</v>
      </c>
      <c r="I3071">
        <v>9996.142207000001</v>
      </c>
      <c r="J3071">
        <v>5.606361304879416</v>
      </c>
      <c r="K3071">
        <v>0.207648835427397</v>
      </c>
      <c r="L3071">
        <v>1.135824788823596</v>
      </c>
      <c r="M3071">
        <v>250.76</v>
      </c>
      <c r="N3071">
        <v>164.52</v>
      </c>
    </row>
    <row r="3072" spans="1:14">
      <c r="A3072" s="1" t="s">
        <v>3084</v>
      </c>
      <c r="B3072">
        <f>HYPERLINK("https://www.suredividend.com/sure-analysis-research-database/","Boingo Wireless Inc")</f>
        <v>0</v>
      </c>
      <c r="C3072" t="s">
        <v>3228</v>
      </c>
      <c r="D3072">
        <v>13.99</v>
      </c>
      <c r="E3072">
        <v>0</v>
      </c>
      <c r="H3072">
        <v>0</v>
      </c>
      <c r="I3072">
        <v>0</v>
      </c>
      <c r="J3072">
        <v>0</v>
      </c>
      <c r="K3072">
        <v>-0</v>
      </c>
    </row>
    <row r="3073" spans="1:14">
      <c r="A3073" s="1" t="s">
        <v>3085</v>
      </c>
      <c r="B3073">
        <f>HYPERLINK("https://www.suredividend.com/sure-analysis-research-database/","Winmark Corporation")</f>
        <v>0</v>
      </c>
      <c r="C3073" t="s">
        <v>3223</v>
      </c>
      <c r="D3073">
        <v>222.44</v>
      </c>
      <c r="E3073">
        <v>0.008068272645876</v>
      </c>
      <c r="F3073">
        <v>0</v>
      </c>
      <c r="G3073">
        <v>0.3254518807796403</v>
      </c>
      <c r="H3073">
        <v>1.794706567348714</v>
      </c>
      <c r="I3073">
        <v>797.632248</v>
      </c>
      <c r="J3073">
        <v>19.98081777860165</v>
      </c>
      <c r="K3073">
        <v>0.1712506266554116</v>
      </c>
      <c r="L3073">
        <v>0.8733892367857891</v>
      </c>
      <c r="M3073">
        <v>277.43</v>
      </c>
      <c r="N3073">
        <v>182.92</v>
      </c>
    </row>
    <row r="3074" spans="1:14">
      <c r="A3074" s="1" t="s">
        <v>3086</v>
      </c>
      <c r="B3074">
        <f>HYPERLINK("https://www.suredividend.com/sure-analysis-research-database/","Wingstop Inc")</f>
        <v>0</v>
      </c>
      <c r="C3074" t="s">
        <v>3223</v>
      </c>
      <c r="D3074">
        <v>101.92</v>
      </c>
      <c r="E3074">
        <v>0.006151310906242001</v>
      </c>
      <c r="F3074">
        <v>27.57142857142857</v>
      </c>
      <c r="G3074">
        <v>1.245910214113642</v>
      </c>
      <c r="H3074">
        <v>0.6269416075642591</v>
      </c>
      <c r="I3074">
        <v>3045.01074</v>
      </c>
      <c r="J3074">
        <v>71.38193866754185</v>
      </c>
      <c r="K3074">
        <v>0.4415081743410276</v>
      </c>
      <c r="L3074">
        <v>1.093684073286013</v>
      </c>
      <c r="M3074">
        <v>180.59</v>
      </c>
      <c r="N3074">
        <v>101.62</v>
      </c>
    </row>
    <row r="3075" spans="1:14">
      <c r="A3075" s="1" t="s">
        <v>3087</v>
      </c>
      <c r="B3075">
        <f>HYPERLINK("https://www.suredividend.com/sure-analysis-research-database/","Encore Wire Corp.")</f>
        <v>0</v>
      </c>
      <c r="C3075" t="s">
        <v>3220</v>
      </c>
      <c r="D3075">
        <v>106.68</v>
      </c>
      <c r="E3075">
        <v>0.0007497186942900001</v>
      </c>
      <c r="F3075">
        <v>0</v>
      </c>
      <c r="G3075">
        <v>0</v>
      </c>
      <c r="H3075">
        <v>0.079979990306868</v>
      </c>
      <c r="I3075">
        <v>2104.547942</v>
      </c>
      <c r="J3075">
        <v>3.887075039950353</v>
      </c>
      <c r="K3075">
        <v>0.00305034287974325</v>
      </c>
      <c r="L3075">
        <v>1.44217829723213</v>
      </c>
      <c r="M3075">
        <v>151.59</v>
      </c>
      <c r="N3075">
        <v>65.95</v>
      </c>
    </row>
    <row r="3076" spans="1:14">
      <c r="A3076" s="1" t="s">
        <v>3088</v>
      </c>
      <c r="B3076">
        <f>HYPERLINK("https://www.suredividend.com/sure-analysis-research-database/","Workiva Inc")</f>
        <v>0</v>
      </c>
      <c r="C3076" t="s">
        <v>3222</v>
      </c>
      <c r="D3076">
        <v>108.44</v>
      </c>
      <c r="E3076">
        <v>0</v>
      </c>
      <c r="H3076">
        <v>0</v>
      </c>
      <c r="I3076">
        <v>5212.353816</v>
      </c>
      <c r="J3076" t="s">
        <v>3219</v>
      </c>
      <c r="K3076">
        <v>-0</v>
      </c>
      <c r="L3076">
        <v>1.64411603788593</v>
      </c>
      <c r="M3076">
        <v>173.24</v>
      </c>
      <c r="N3076">
        <v>83.65000000000001</v>
      </c>
    </row>
    <row r="3077" spans="1:14">
      <c r="A3077" s="1" t="s">
        <v>3089</v>
      </c>
      <c r="B3077">
        <f>HYPERLINK("https://www.suredividend.com/sure-analysis-research-database/","Workhorse Group Inc")</f>
        <v>0</v>
      </c>
      <c r="C3077" t="s">
        <v>3223</v>
      </c>
      <c r="D3077">
        <v>3.57</v>
      </c>
      <c r="E3077">
        <v>0</v>
      </c>
      <c r="H3077">
        <v>0</v>
      </c>
      <c r="I3077">
        <v>541.479889</v>
      </c>
      <c r="J3077">
        <v>0</v>
      </c>
      <c r="K3077" t="s">
        <v>3219</v>
      </c>
      <c r="L3077">
        <v>1.551204240631862</v>
      </c>
      <c r="M3077">
        <v>18.59</v>
      </c>
      <c r="N3077">
        <v>2.58</v>
      </c>
    </row>
    <row r="3078" spans="1:14">
      <c r="A3078" s="1" t="s">
        <v>3090</v>
      </c>
      <c r="B3078">
        <f>HYPERLINK("https://www.suredividend.com/sure-analysis-research-database/","Willdan Group Inc")</f>
        <v>0</v>
      </c>
      <c r="C3078" t="s">
        <v>3220</v>
      </c>
      <c r="D3078">
        <v>28.16</v>
      </c>
      <c r="E3078">
        <v>0</v>
      </c>
      <c r="H3078">
        <v>0</v>
      </c>
      <c r="I3078">
        <v>362.032197</v>
      </c>
      <c r="J3078">
        <v>0</v>
      </c>
      <c r="K3078" t="s">
        <v>3219</v>
      </c>
      <c r="L3078">
        <v>0.4971471840442021</v>
      </c>
      <c r="M3078">
        <v>43.22</v>
      </c>
      <c r="N3078">
        <v>26.07</v>
      </c>
    </row>
    <row r="3079" spans="1:14">
      <c r="A3079" s="1" t="s">
        <v>3091</v>
      </c>
      <c r="B3079">
        <f>HYPERLINK("https://www.suredividend.com/sure-analysis-research-database/","Willis Lease Finance Corp.")</f>
        <v>0</v>
      </c>
      <c r="C3079" t="s">
        <v>3220</v>
      </c>
      <c r="D3079">
        <v>32.23</v>
      </c>
      <c r="E3079">
        <v>0</v>
      </c>
      <c r="H3079">
        <v>0</v>
      </c>
      <c r="I3079">
        <v>191.360404</v>
      </c>
      <c r="J3079">
        <v>0</v>
      </c>
      <c r="K3079" t="s">
        <v>3219</v>
      </c>
      <c r="L3079">
        <v>0.577709003096894</v>
      </c>
      <c r="M3079">
        <v>46.88</v>
      </c>
      <c r="N3079">
        <v>31.8</v>
      </c>
    </row>
    <row r="3080" spans="1:14">
      <c r="A3080" s="1" t="s">
        <v>3092</v>
      </c>
      <c r="B3080">
        <f>HYPERLINK("https://www.suredividend.com/sure-analysis-research-database/","Westlake Corporation")</f>
        <v>0</v>
      </c>
      <c r="C3080" t="s">
        <v>3218</v>
      </c>
      <c r="D3080">
        <v>122.51</v>
      </c>
      <c r="E3080">
        <v>0.009447897225001001</v>
      </c>
      <c r="F3080">
        <v>0.1018518518518516</v>
      </c>
      <c r="G3080">
        <v>0.0931325206847553</v>
      </c>
      <c r="H3080">
        <v>1.157461889034877</v>
      </c>
      <c r="I3080">
        <v>15695.73667</v>
      </c>
      <c r="J3080">
        <v>7.828297591042395</v>
      </c>
      <c r="K3080">
        <v>0.07429152047720648</v>
      </c>
      <c r="L3080">
        <v>0.9147381306099921</v>
      </c>
      <c r="M3080">
        <v>127.21</v>
      </c>
      <c r="N3080">
        <v>77.33</v>
      </c>
    </row>
    <row r="3081" spans="1:14">
      <c r="A3081" s="1" t="s">
        <v>3093</v>
      </c>
      <c r="B3081">
        <f>HYPERLINK("https://www.suredividend.com/sure-analysis-research-database/","Whiting Petroleum Corp")</f>
        <v>0</v>
      </c>
      <c r="C3081" t="s">
        <v>3226</v>
      </c>
      <c r="D3081">
        <v>83.41</v>
      </c>
      <c r="E3081">
        <v>0.002997242536866</v>
      </c>
      <c r="H3081">
        <v>0.25</v>
      </c>
      <c r="I3081">
        <v>3273.140521</v>
      </c>
      <c r="J3081" t="s">
        <v>3219</v>
      </c>
      <c r="K3081" t="s">
        <v>3219</v>
      </c>
      <c r="L3081">
        <v>1.042818263655262</v>
      </c>
      <c r="M3081">
        <v>90.89</v>
      </c>
      <c r="N3081">
        <v>33.01</v>
      </c>
    </row>
    <row r="3082" spans="1:14">
      <c r="A3082" s="1" t="s">
        <v>3094</v>
      </c>
      <c r="B3082">
        <f>HYPERLINK("https://www.suredividend.com/sure-analysis-WM/","Waste Management, Inc.")</f>
        <v>0</v>
      </c>
      <c r="C3082" t="s">
        <v>3220</v>
      </c>
      <c r="D3082">
        <v>159.16</v>
      </c>
      <c r="E3082">
        <v>0.01633576275446092</v>
      </c>
      <c r="F3082">
        <v>0.1304347826086956</v>
      </c>
      <c r="G3082">
        <v>0.08869163325077634</v>
      </c>
      <c r="H3082">
        <v>2.361566683465282</v>
      </c>
      <c r="I3082">
        <v>66076.83631499999</v>
      </c>
      <c r="J3082">
        <v>36.38592308070484</v>
      </c>
      <c r="K3082">
        <v>0.5504817443975016</v>
      </c>
      <c r="L3082">
        <v>0.5041655304908751</v>
      </c>
      <c r="M3082">
        <v>166.91</v>
      </c>
      <c r="N3082">
        <v>131.74</v>
      </c>
    </row>
    <row r="3083" spans="1:14">
      <c r="A3083" s="1" t="s">
        <v>3095</v>
      </c>
      <c r="B3083">
        <f>HYPERLINK("https://www.suredividend.com/sure-analysis-WMB/","Williams Cos Inc")</f>
        <v>0</v>
      </c>
      <c r="C3083" t="s">
        <v>3226</v>
      </c>
      <c r="D3083">
        <v>35.52</v>
      </c>
      <c r="E3083">
        <v>0.04786036036036036</v>
      </c>
      <c r="F3083">
        <v>0.03658536585365835</v>
      </c>
      <c r="G3083">
        <v>0.07214502590085092</v>
      </c>
      <c r="H3083">
        <v>1.620307506898946</v>
      </c>
      <c r="I3083">
        <v>43177.855936</v>
      </c>
      <c r="J3083">
        <v>28.51905940311757</v>
      </c>
      <c r="K3083">
        <v>1.30669960233786</v>
      </c>
      <c r="L3083">
        <v>0.447722123817424</v>
      </c>
      <c r="M3083">
        <v>35.8</v>
      </c>
      <c r="N3083">
        <v>21.87</v>
      </c>
    </row>
    <row r="3084" spans="1:14">
      <c r="A3084" s="1" t="s">
        <v>3096</v>
      </c>
      <c r="B3084">
        <f>HYPERLINK("https://www.suredividend.com/sure-analysis-research-database/","Western Asset Mortgage Capital Corp")</f>
        <v>0</v>
      </c>
      <c r="C3084" t="s">
        <v>3224</v>
      </c>
      <c r="D3084">
        <v>1.55</v>
      </c>
      <c r="E3084">
        <v>0.136310543458276</v>
      </c>
      <c r="H3084">
        <v>0.211281342360329</v>
      </c>
      <c r="I3084">
        <v>93.589163</v>
      </c>
      <c r="J3084" t="s">
        <v>3219</v>
      </c>
      <c r="K3084" t="s">
        <v>3219</v>
      </c>
      <c r="L3084">
        <v>0.828955371918596</v>
      </c>
      <c r="M3084">
        <v>3.82</v>
      </c>
      <c r="N3084">
        <v>1.53</v>
      </c>
    </row>
    <row r="3085" spans="1:14">
      <c r="A3085" s="1" t="s">
        <v>3097</v>
      </c>
      <c r="B3085">
        <f>HYPERLINK("https://www.suredividend.com/sure-analysis-research-database/","Weis Markets, Inc.")</f>
        <v>0</v>
      </c>
      <c r="C3085" t="s">
        <v>3225</v>
      </c>
      <c r="D3085">
        <v>79.90000000000001</v>
      </c>
      <c r="E3085">
        <v>0.015645245259239</v>
      </c>
      <c r="F3085">
        <v>0.032258064516129</v>
      </c>
      <c r="G3085">
        <v>0.01299136822423641</v>
      </c>
      <c r="H3085">
        <v>1.250055096213238</v>
      </c>
      <c r="I3085">
        <v>2149.185596</v>
      </c>
      <c r="J3085">
        <v>19.74465172578526</v>
      </c>
      <c r="K3085">
        <v>0.3086555793119106</v>
      </c>
      <c r="L3085">
        <v>0.393859449789678</v>
      </c>
      <c r="M3085">
        <v>80.70999999999999</v>
      </c>
      <c r="N3085">
        <v>48.85</v>
      </c>
    </row>
    <row r="3086" spans="1:14">
      <c r="A3086" s="1" t="s">
        <v>3098</v>
      </c>
      <c r="B3086">
        <f>HYPERLINK("https://www.suredividend.com/sure-analysis-research-database/","Advanced Drainage Systems Inc")</f>
        <v>0</v>
      </c>
      <c r="C3086" t="s">
        <v>3220</v>
      </c>
      <c r="D3086">
        <v>108.08</v>
      </c>
      <c r="E3086">
        <v>0.004065458524369001</v>
      </c>
      <c r="F3086">
        <v>0.2222222222222223</v>
      </c>
      <c r="G3086">
        <v>0.09460878422315755</v>
      </c>
      <c r="H3086">
        <v>0.439394757313907</v>
      </c>
      <c r="I3086">
        <v>7773.093821</v>
      </c>
      <c r="J3086">
        <v>37.69522097173256</v>
      </c>
      <c r="K3086">
        <v>0.1552631651285891</v>
      </c>
      <c r="L3086">
        <v>1.431841183511606</v>
      </c>
      <c r="M3086">
        <v>137.89</v>
      </c>
      <c r="N3086">
        <v>99.75</v>
      </c>
    </row>
    <row r="3087" spans="1:14">
      <c r="A3087" s="1" t="s">
        <v>3099</v>
      </c>
      <c r="B3087">
        <f>HYPERLINK("https://www.suredividend.com/sure-analysis-WMT/","Walmart Inc")</f>
        <v>0</v>
      </c>
      <c r="C3087" t="s">
        <v>3225</v>
      </c>
      <c r="D3087">
        <v>157.08</v>
      </c>
      <c r="E3087">
        <v>0.0142602495543672</v>
      </c>
      <c r="F3087">
        <v>0.0181818181818183</v>
      </c>
      <c r="G3087">
        <v>0.01888124997130225</v>
      </c>
      <c r="H3087">
        <v>2.197247824225726</v>
      </c>
      <c r="I3087">
        <v>435720.828183</v>
      </c>
      <c r="J3087">
        <v>31.86724407098954</v>
      </c>
      <c r="K3087">
        <v>0.4511802513810525</v>
      </c>
      <c r="L3087">
        <v>0.30060321411417</v>
      </c>
      <c r="M3087">
        <v>158.41</v>
      </c>
      <c r="N3087">
        <v>131.5</v>
      </c>
    </row>
    <row r="3088" spans="1:14">
      <c r="A3088" s="1" t="s">
        <v>3100</v>
      </c>
      <c r="B3088">
        <f>HYPERLINK("https://www.suredividend.com/sure-analysis-research-database/","Wabash National Corp.")</f>
        <v>0</v>
      </c>
      <c r="C3088" t="s">
        <v>3220</v>
      </c>
      <c r="D3088">
        <v>13.18</v>
      </c>
      <c r="E3088">
        <v>0.024094706535738</v>
      </c>
      <c r="F3088">
        <v>0</v>
      </c>
      <c r="G3088">
        <v>0.05922384104881218</v>
      </c>
      <c r="H3088">
        <v>0.317568232141036</v>
      </c>
      <c r="I3088">
        <v>646.250195</v>
      </c>
      <c r="J3088">
        <v>555.1977621993127</v>
      </c>
      <c r="K3088">
        <v>14.05169168765646</v>
      </c>
      <c r="L3088">
        <v>1.065182117066138</v>
      </c>
      <c r="M3088">
        <v>21.5</v>
      </c>
      <c r="N3088">
        <v>12.23</v>
      </c>
    </row>
    <row r="3089" spans="1:14">
      <c r="A3089" s="1" t="s">
        <v>3101</v>
      </c>
      <c r="B3089">
        <f>HYPERLINK("https://www.suredividend.com/sure-analysis-research-database/","Western New England Bancorp Inc")</f>
        <v>0</v>
      </c>
      <c r="C3089" t="s">
        <v>3221</v>
      </c>
      <c r="D3089">
        <v>8.699999999999999</v>
      </c>
      <c r="E3089">
        <v>0.023933057859525</v>
      </c>
      <c r="F3089">
        <v>0.2</v>
      </c>
      <c r="G3089">
        <v>0.1486983549970351</v>
      </c>
      <c r="H3089">
        <v>0.208217603377875</v>
      </c>
      <c r="I3089">
        <v>198.377652</v>
      </c>
      <c r="J3089">
        <v>8.370718270813114</v>
      </c>
      <c r="K3089">
        <v>0.2041349052724265</v>
      </c>
      <c r="L3089">
        <v>0.485383679918063</v>
      </c>
      <c r="M3089">
        <v>9.859999999999999</v>
      </c>
      <c r="N3089">
        <v>7.34</v>
      </c>
    </row>
    <row r="3090" spans="1:14">
      <c r="A3090" s="1" t="s">
        <v>3102</v>
      </c>
      <c r="B3090">
        <f>HYPERLINK("https://www.suredividend.com/sure-analysis-research-database/","Worthington Industries, Inc.")</f>
        <v>0</v>
      </c>
      <c r="C3090" t="s">
        <v>3218</v>
      </c>
      <c r="D3090">
        <v>53.61</v>
      </c>
      <c r="E3090">
        <v>0.020733898054847</v>
      </c>
      <c r="F3090">
        <v>0.1200000000000001</v>
      </c>
      <c r="G3090">
        <v>0.06961037572506878</v>
      </c>
      <c r="H3090">
        <v>1.111544274720352</v>
      </c>
      <c r="I3090">
        <v>2687.54296</v>
      </c>
      <c r="J3090">
        <v>6.512271856385802</v>
      </c>
      <c r="K3090">
        <v>0.1401695176192121</v>
      </c>
      <c r="L3090">
        <v>1.07481299475866</v>
      </c>
      <c r="M3090">
        <v>70.98</v>
      </c>
      <c r="N3090">
        <v>47.3</v>
      </c>
    </row>
    <row r="3091" spans="1:14">
      <c r="A3091" s="1" t="s">
        <v>3103</v>
      </c>
      <c r="B3091">
        <f>HYPERLINK("https://www.suredividend.com/sure-analysis-research-database/","WideOpenWest Inc")</f>
        <v>0</v>
      </c>
      <c r="C3091" t="s">
        <v>3228</v>
      </c>
      <c r="D3091">
        <v>22.02</v>
      </c>
      <c r="E3091">
        <v>0</v>
      </c>
      <c r="H3091">
        <v>0</v>
      </c>
      <c r="I3091">
        <v>1936.108698</v>
      </c>
      <c r="J3091">
        <v>2.512795195561324</v>
      </c>
      <c r="K3091">
        <v>0</v>
      </c>
      <c r="L3091">
        <v>0.8472801319510511</v>
      </c>
      <c r="M3091">
        <v>23.93</v>
      </c>
      <c r="N3091">
        <v>12.34</v>
      </c>
    </row>
    <row r="3092" spans="1:14">
      <c r="A3092" s="1" t="s">
        <v>3104</v>
      </c>
      <c r="B3092">
        <f>HYPERLINK("https://www.suredividend.com/sure-analysis-WPC/","W. P. Carey Inc")</f>
        <v>0</v>
      </c>
      <c r="C3092" t="s">
        <v>3224</v>
      </c>
      <c r="D3092">
        <v>83.15000000000001</v>
      </c>
      <c r="E3092">
        <v>0.0507516536380036</v>
      </c>
      <c r="F3092">
        <v>0.008587786259541819</v>
      </c>
      <c r="G3092">
        <v>0.01114862927810178</v>
      </c>
      <c r="H3092">
        <v>4.133224770191619</v>
      </c>
      <c r="I3092">
        <v>15923.307235</v>
      </c>
      <c r="J3092">
        <v>38.83847145611579</v>
      </c>
      <c r="K3092">
        <v>1.84518962954983</v>
      </c>
      <c r="L3092">
        <v>0.483171010247175</v>
      </c>
      <c r="M3092">
        <v>83.56999999999999</v>
      </c>
      <c r="N3092">
        <v>67.98999999999999</v>
      </c>
    </row>
    <row r="3093" spans="1:14">
      <c r="A3093" s="1" t="s">
        <v>3105</v>
      </c>
      <c r="B3093">
        <f>HYPERLINK("https://www.suredividend.com/sure-analysis-research-database/","Washington Prime Group Inc")</f>
        <v>0</v>
      </c>
      <c r="C3093" t="s">
        <v>3224</v>
      </c>
      <c r="D3093">
        <v>0.8323</v>
      </c>
      <c r="E3093">
        <v>0</v>
      </c>
      <c r="H3093">
        <v>0</v>
      </c>
      <c r="I3093">
        <v>15.701488</v>
      </c>
      <c r="J3093" t="s">
        <v>3219</v>
      </c>
      <c r="K3093">
        <v>-0</v>
      </c>
      <c r="L3093">
        <v>2.113330496512534</v>
      </c>
      <c r="M3093">
        <v>16.55</v>
      </c>
      <c r="N3093">
        <v>0.8250000000000001</v>
      </c>
    </row>
    <row r="3094" spans="1:14">
      <c r="A3094" s="1" t="s">
        <v>3106</v>
      </c>
      <c r="B3094">
        <f>HYPERLINK("https://www.suredividend.com/sure-analysis-research-database/","WPX Energy Inc")</f>
        <v>0</v>
      </c>
      <c r="C3094" t="s">
        <v>3226</v>
      </c>
      <c r="D3094">
        <v>9.43</v>
      </c>
      <c r="E3094">
        <v>0</v>
      </c>
      <c r="H3094">
        <v>0</v>
      </c>
      <c r="I3094">
        <v>5290.612717</v>
      </c>
      <c r="J3094" t="s">
        <v>3219</v>
      </c>
      <c r="K3094">
        <v>-0</v>
      </c>
      <c r="L3094">
        <v>2.129134810594393</v>
      </c>
      <c r="M3094">
        <v>13.6</v>
      </c>
      <c r="N3094">
        <v>2.11</v>
      </c>
    </row>
    <row r="3095" spans="1:14">
      <c r="A3095" s="1" t="s">
        <v>3107</v>
      </c>
      <c r="B3095">
        <f>HYPERLINK("https://www.suredividend.com/sure-analysis-research-database/","W.R. Berkley Corp.")</f>
        <v>0</v>
      </c>
      <c r="C3095" t="s">
        <v>3221</v>
      </c>
      <c r="D3095">
        <v>68.22</v>
      </c>
      <c r="E3095">
        <v>0.005069511890154</v>
      </c>
      <c r="F3095">
        <v>-0.74</v>
      </c>
      <c r="G3095">
        <v>-0.0282144910993144</v>
      </c>
      <c r="H3095">
        <v>0.345842101146343</v>
      </c>
      <c r="I3095">
        <v>12060.676153</v>
      </c>
      <c r="J3095">
        <v>11.79539765971305</v>
      </c>
      <c r="K3095">
        <v>0.0631098724719604</v>
      </c>
      <c r="L3095">
        <v>0.6974800718895271</v>
      </c>
      <c r="M3095">
        <v>68.94</v>
      </c>
      <c r="N3095">
        <v>46.99</v>
      </c>
    </row>
    <row r="3096" spans="1:14">
      <c r="A3096" s="1" t="s">
        <v>3108</v>
      </c>
      <c r="B3096">
        <f>HYPERLINK("https://www.suredividend.com/sure-analysis-research-database/","Washington Real Estate Investment Trust")</f>
        <v>0</v>
      </c>
      <c r="C3096" t="s">
        <v>3224</v>
      </c>
      <c r="D3096">
        <v>25.15</v>
      </c>
      <c r="E3096">
        <v>0.031828661363136</v>
      </c>
      <c r="F3096">
        <v>-0.4333333333333333</v>
      </c>
      <c r="G3096">
        <v>-0.1073822198862823</v>
      </c>
      <c r="H3096">
        <v>0.8004908332828811</v>
      </c>
      <c r="I3096">
        <v>2198.559732</v>
      </c>
      <c r="J3096">
        <v>137.487319886186</v>
      </c>
      <c r="K3096">
        <v>4.233161466329355</v>
      </c>
      <c r="L3096">
        <v>0.606832231262412</v>
      </c>
      <c r="M3096">
        <v>26.61</v>
      </c>
      <c r="N3096">
        <v>21.59</v>
      </c>
    </row>
    <row r="3097" spans="1:14">
      <c r="A3097" s="1" t="s">
        <v>3109</v>
      </c>
      <c r="B3097">
        <f>HYPERLINK("https://www.suredividend.com/sure-analysis-research-database/","Weingarten Realty Investors")</f>
        <v>0</v>
      </c>
      <c r="C3097" t="s">
        <v>3224</v>
      </c>
      <c r="D3097">
        <v>31.44</v>
      </c>
      <c r="E3097">
        <v>0.049146813288633</v>
      </c>
      <c r="F3097">
        <v>0.916666666666667</v>
      </c>
      <c r="G3097">
        <v>0.123770616345928</v>
      </c>
      <c r="H3097">
        <v>1.545175809794621</v>
      </c>
      <c r="I3097">
        <v>4017.554018</v>
      </c>
      <c r="J3097">
        <v>45.88134413320543</v>
      </c>
      <c r="K3097">
        <v>2.250474526353949</v>
      </c>
      <c r="L3097">
        <v>1.169584313419684</v>
      </c>
      <c r="M3097">
        <v>33.41</v>
      </c>
      <c r="N3097">
        <v>14.4</v>
      </c>
    </row>
    <row r="3098" spans="1:14">
      <c r="A3098" s="1" t="s">
        <v>3110</v>
      </c>
      <c r="B3098">
        <f>HYPERLINK("https://www.suredividend.com/sure-analysis-WRK/","WestRock Co")</f>
        <v>0</v>
      </c>
      <c r="C3098" t="s">
        <v>3223</v>
      </c>
      <c r="D3098">
        <v>49.93</v>
      </c>
      <c r="E3098">
        <v>0.02002803925495694</v>
      </c>
      <c r="F3098">
        <v>0.25</v>
      </c>
      <c r="G3098">
        <v>-0.08971789848695988</v>
      </c>
      <c r="H3098">
        <v>0.9726262813883361</v>
      </c>
      <c r="I3098">
        <v>13142.294593</v>
      </c>
      <c r="J3098">
        <v>15.13391823187471</v>
      </c>
      <c r="K3098">
        <v>0.3001932967247951</v>
      </c>
      <c r="L3098">
        <v>0.840679663282053</v>
      </c>
      <c r="M3098">
        <v>60.87</v>
      </c>
      <c r="N3098">
        <v>40.78</v>
      </c>
    </row>
    <row r="3099" spans="1:14">
      <c r="A3099" s="1" t="s">
        <v>3111</v>
      </c>
      <c r="B3099">
        <f>HYPERLINK("https://www.suredividend.com/sure-analysis-research-database/","World Acceptance Corp.")</f>
        <v>0</v>
      </c>
      <c r="C3099" t="s">
        <v>3221</v>
      </c>
      <c r="D3099">
        <v>198.34</v>
      </c>
      <c r="E3099">
        <v>0</v>
      </c>
      <c r="H3099">
        <v>0</v>
      </c>
      <c r="I3099">
        <v>1298.373903</v>
      </c>
      <c r="J3099">
        <v>16.14459078527468</v>
      </c>
      <c r="K3099">
        <v>0</v>
      </c>
      <c r="L3099">
        <v>1.411849254049048</v>
      </c>
      <c r="M3099">
        <v>265.75</v>
      </c>
      <c r="N3099">
        <v>123.17</v>
      </c>
    </row>
    <row r="3100" spans="1:14">
      <c r="A3100" s="1" t="s">
        <v>3112</v>
      </c>
      <c r="B3100">
        <f>HYPERLINK("https://www.suredividend.com/sure-analysis-research-database/","Wrap Technologies Inc")</f>
        <v>0</v>
      </c>
      <c r="C3100" t="s">
        <v>3222</v>
      </c>
      <c r="D3100">
        <v>5.75</v>
      </c>
      <c r="E3100">
        <v>0</v>
      </c>
      <c r="H3100">
        <v>0</v>
      </c>
      <c r="I3100">
        <v>213.964498</v>
      </c>
      <c r="J3100">
        <v>0</v>
      </c>
      <c r="K3100" t="s">
        <v>3219</v>
      </c>
      <c r="L3100">
        <v>1.199903386352587</v>
      </c>
      <c r="M3100">
        <v>13.35</v>
      </c>
      <c r="N3100">
        <v>3.36</v>
      </c>
    </row>
    <row r="3101" spans="1:14">
      <c r="A3101" s="1" t="s">
        <v>3113</v>
      </c>
      <c r="B3101">
        <f>HYPERLINK("https://www.suredividend.com/sure-analysis-WSBC/","Wesbanco, Inc.")</f>
        <v>0</v>
      </c>
      <c r="C3101" t="s">
        <v>3221</v>
      </c>
      <c r="D3101">
        <v>33.39</v>
      </c>
      <c r="E3101">
        <v>0.03953279424977538</v>
      </c>
      <c r="F3101">
        <v>0.03030303030303028</v>
      </c>
      <c r="G3101">
        <v>0.05511819868320456</v>
      </c>
      <c r="H3101">
        <v>1.310694829802801</v>
      </c>
      <c r="I3101">
        <v>2047.167178</v>
      </c>
      <c r="J3101">
        <v>8.818864789583648</v>
      </c>
      <c r="K3101">
        <v>0.3713016515022099</v>
      </c>
      <c r="L3101">
        <v>0.8924834124410841</v>
      </c>
      <c r="M3101">
        <v>38.37</v>
      </c>
      <c r="N3101">
        <v>29.62</v>
      </c>
    </row>
    <row r="3102" spans="1:14">
      <c r="A3102" s="1" t="s">
        <v>3114</v>
      </c>
      <c r="B3102">
        <f>HYPERLINK("https://www.suredividend.com/sure-analysis-research-database/","Waterstone Financial Inc")</f>
        <v>0</v>
      </c>
      <c r="C3102" t="s">
        <v>3221</v>
      </c>
      <c r="D3102">
        <v>18.79</v>
      </c>
      <c r="E3102">
        <v>0.04194539883447</v>
      </c>
      <c r="F3102">
        <v>0</v>
      </c>
      <c r="G3102">
        <v>0.1075663432482901</v>
      </c>
      <c r="H3102">
        <v>0.788154044099704</v>
      </c>
      <c r="I3102">
        <v>454.664091</v>
      </c>
      <c r="J3102">
        <v>6.422625637298527</v>
      </c>
      <c r="K3102">
        <v>0.2662682581417919</v>
      </c>
      <c r="L3102">
        <v>0.318629492287042</v>
      </c>
      <c r="M3102">
        <v>22.3</v>
      </c>
      <c r="N3102">
        <v>18.11</v>
      </c>
    </row>
    <row r="3103" spans="1:14">
      <c r="A3103" s="1" t="s">
        <v>3115</v>
      </c>
      <c r="B3103">
        <f>HYPERLINK("https://www.suredividend.com/sure-analysis-research-database/","WillScot Mobile Mini Holdings Corp")</f>
        <v>0</v>
      </c>
      <c r="C3103" t="s">
        <v>3220</v>
      </c>
      <c r="D3103">
        <v>37.41</v>
      </c>
      <c r="E3103">
        <v>0</v>
      </c>
      <c r="H3103">
        <v>0</v>
      </c>
      <c r="I3103">
        <v>8377.577705</v>
      </c>
      <c r="J3103">
        <v>52.31277915544759</v>
      </c>
      <c r="K3103">
        <v>0</v>
      </c>
      <c r="L3103">
        <v>1.213352696281024</v>
      </c>
      <c r="M3103">
        <v>42</v>
      </c>
      <c r="N3103">
        <v>26.15</v>
      </c>
    </row>
    <row r="3104" spans="1:14">
      <c r="A3104" s="1" t="s">
        <v>3116</v>
      </c>
      <c r="B3104">
        <f>HYPERLINK("https://www.suredividend.com/sure-analysis-research-database/","WSFS Financial Corp.")</f>
        <v>0</v>
      </c>
      <c r="C3104" t="s">
        <v>3221</v>
      </c>
      <c r="D3104">
        <v>41.78</v>
      </c>
      <c r="E3104">
        <v>0.012398545504301</v>
      </c>
      <c r="F3104">
        <v>0.08333333333333348</v>
      </c>
      <c r="G3104">
        <v>0.1317983656310018</v>
      </c>
      <c r="H3104">
        <v>0.518011231169704</v>
      </c>
      <c r="I3104">
        <v>2645.859006</v>
      </c>
      <c r="J3104">
        <v>9.747419360821096</v>
      </c>
      <c r="K3104">
        <v>0.09103888069766328</v>
      </c>
      <c r="L3104">
        <v>0.9123686781501231</v>
      </c>
      <c r="M3104">
        <v>56.16</v>
      </c>
      <c r="N3104">
        <v>40.7</v>
      </c>
    </row>
    <row r="3105" spans="1:14">
      <c r="A3105" s="1" t="s">
        <v>3117</v>
      </c>
      <c r="B3105">
        <f>HYPERLINK("https://www.suredividend.com/sure-analysis-WSM/","Williams-Sonoma, Inc.")</f>
        <v>0</v>
      </c>
      <c r="C3105" t="s">
        <v>3223</v>
      </c>
      <c r="D3105">
        <v>148.98</v>
      </c>
      <c r="E3105">
        <v>0.02094240837696335</v>
      </c>
      <c r="F3105">
        <v>0.3396226415094339</v>
      </c>
      <c r="G3105">
        <v>0.1272980307371157</v>
      </c>
      <c r="H3105">
        <v>2.58429979895367</v>
      </c>
      <c r="I3105">
        <v>10660.841049</v>
      </c>
      <c r="J3105">
        <v>9.465054462847265</v>
      </c>
      <c r="K3105">
        <v>0.1752067660307573</v>
      </c>
      <c r="L3105">
        <v>1.348170912977515</v>
      </c>
      <c r="M3105">
        <v>222.25</v>
      </c>
      <c r="N3105">
        <v>127.85</v>
      </c>
    </row>
    <row r="3106" spans="1:14">
      <c r="A3106" s="1" t="s">
        <v>3118</v>
      </c>
      <c r="B3106">
        <f>HYPERLINK("https://www.suredividend.com/sure-analysis-WSO/","Watsco Inc.")</f>
        <v>0</v>
      </c>
      <c r="C3106" t="s">
        <v>3220</v>
      </c>
      <c r="D3106">
        <v>288.39</v>
      </c>
      <c r="E3106">
        <v>0.03051423419674746</v>
      </c>
      <c r="F3106">
        <v>0.1282051282051282</v>
      </c>
      <c r="G3106">
        <v>0.1197022052804315</v>
      </c>
      <c r="H3106">
        <v>7.967229254415372</v>
      </c>
      <c r="I3106">
        <v>11285.605229</v>
      </c>
      <c r="J3106">
        <v>29.56885815325725</v>
      </c>
      <c r="K3106">
        <v>0.7397613049596446</v>
      </c>
      <c r="L3106">
        <v>0.871338353112115</v>
      </c>
      <c r="M3106">
        <v>314.53</v>
      </c>
      <c r="N3106">
        <v>250.58</v>
      </c>
    </row>
    <row r="3107" spans="1:14">
      <c r="A3107" s="1" t="s">
        <v>3119</v>
      </c>
      <c r="B3107">
        <f>HYPERLINK("https://www.suredividend.com/sure-analysis-WSR/","Whitestone REIT")</f>
        <v>0</v>
      </c>
      <c r="C3107" t="s">
        <v>3224</v>
      </c>
      <c r="D3107">
        <v>13.14</v>
      </c>
      <c r="E3107">
        <v>0.0365296803652968</v>
      </c>
      <c r="F3107">
        <v>0.1162894538553849</v>
      </c>
      <c r="G3107">
        <v>0.02706608708935176</v>
      </c>
      <c r="H3107">
        <v>0.425947217322716</v>
      </c>
      <c r="I3107">
        <v>645.77639</v>
      </c>
      <c r="J3107">
        <v>0</v>
      </c>
      <c r="K3107" t="s">
        <v>3219</v>
      </c>
      <c r="L3107">
        <v>0.605468026333246</v>
      </c>
      <c r="M3107">
        <v>13.51</v>
      </c>
      <c r="N3107">
        <v>7.32</v>
      </c>
    </row>
    <row r="3108" spans="1:14">
      <c r="A3108" s="1" t="s">
        <v>3120</v>
      </c>
      <c r="B3108">
        <f>HYPERLINK("https://www.suredividend.com/sure-analysis-WST/","West Pharmaceutical Services, Inc.")</f>
        <v>0</v>
      </c>
      <c r="C3108" t="s">
        <v>3217</v>
      </c>
      <c r="D3108">
        <v>381.22</v>
      </c>
      <c r="E3108">
        <v>0.001888673207072032</v>
      </c>
      <c r="F3108">
        <v>0.0588235294117645</v>
      </c>
      <c r="G3108">
        <v>0.06724918187953888</v>
      </c>
      <c r="H3108">
        <v>0.6997740888524121</v>
      </c>
      <c r="I3108">
        <v>28344.953208</v>
      </c>
      <c r="J3108">
        <v>42.83008946536718</v>
      </c>
      <c r="K3108">
        <v>0.08071212097490335</v>
      </c>
      <c r="L3108">
        <v>0.9355812795521911</v>
      </c>
      <c r="M3108">
        <v>475.14</v>
      </c>
      <c r="N3108">
        <v>311.32</v>
      </c>
    </row>
    <row r="3109" spans="1:14">
      <c r="A3109" s="1" t="s">
        <v>3121</v>
      </c>
      <c r="B3109">
        <f>HYPERLINK("https://www.suredividend.com/sure-analysis-research-database/","Wayside Technology Group Inc")</f>
        <v>0</v>
      </c>
      <c r="C3109" t="s">
        <v>3222</v>
      </c>
      <c r="D3109">
        <v>34.48</v>
      </c>
      <c r="E3109">
        <v>0.019560007325598</v>
      </c>
      <c r="F3109">
        <v>0</v>
      </c>
      <c r="G3109">
        <v>0</v>
      </c>
      <c r="H3109">
        <v>0.6744290525866511</v>
      </c>
      <c r="I3109">
        <v>153.438138</v>
      </c>
      <c r="J3109">
        <v>0</v>
      </c>
      <c r="K3109" t="s">
        <v>3219</v>
      </c>
      <c r="M3109">
        <v>36.5</v>
      </c>
      <c r="N3109">
        <v>22.94</v>
      </c>
    </row>
    <row r="3110" spans="1:14">
      <c r="A3110" s="1" t="s">
        <v>3122</v>
      </c>
      <c r="B3110">
        <f>HYPERLINK("https://www.suredividend.com/sure-analysis-research-database/","Westell Technologies, Inc.")</f>
        <v>0</v>
      </c>
      <c r="C3110" t="s">
        <v>3222</v>
      </c>
      <c r="D3110">
        <v>1.325</v>
      </c>
      <c r="E3110">
        <v>0</v>
      </c>
      <c r="H3110">
        <v>0</v>
      </c>
      <c r="I3110">
        <v>10.317358</v>
      </c>
      <c r="J3110" t="s">
        <v>3219</v>
      </c>
      <c r="K3110">
        <v>-0</v>
      </c>
      <c r="M3110">
        <v>1.44</v>
      </c>
      <c r="N3110">
        <v>0.6900000000000001</v>
      </c>
    </row>
    <row r="3111" spans="1:14">
      <c r="A3111" s="1" t="s">
        <v>3123</v>
      </c>
      <c r="B3111">
        <f>HYPERLINK("https://www.suredividend.com/sure-analysis-research-database/","West Bancorporation")</f>
        <v>0</v>
      </c>
      <c r="C3111" t="s">
        <v>3221</v>
      </c>
      <c r="D3111">
        <v>25.6</v>
      </c>
      <c r="E3111">
        <v>0.03745070701979</v>
      </c>
      <c r="F3111">
        <v>0.1363636363636365</v>
      </c>
      <c r="G3111">
        <v>0.06790716584560208</v>
      </c>
      <c r="H3111">
        <v>0.958738099706637</v>
      </c>
      <c r="I3111">
        <v>423.804058</v>
      </c>
      <c r="J3111">
        <v>8.543230947245348</v>
      </c>
      <c r="K3111">
        <v>0.3249959660022498</v>
      </c>
      <c r="L3111">
        <v>0.7624703020834711</v>
      </c>
      <c r="M3111">
        <v>34.04</v>
      </c>
      <c r="N3111">
        <v>23.54</v>
      </c>
    </row>
    <row r="3112" spans="1:14">
      <c r="A3112" s="1" t="s">
        <v>3124</v>
      </c>
      <c r="B3112">
        <f>HYPERLINK("https://www.suredividend.com/sure-analysis-research-database/","Alkaline Water Company Inc (The)")</f>
        <v>0</v>
      </c>
      <c r="C3112" t="s">
        <v>3225</v>
      </c>
      <c r="D3112">
        <v>0.834</v>
      </c>
      <c r="E3112">
        <v>0</v>
      </c>
      <c r="H3112">
        <v>0</v>
      </c>
      <c r="I3112">
        <v>92.68576299999999</v>
      </c>
      <c r="J3112">
        <v>0</v>
      </c>
      <c r="K3112" t="s">
        <v>3219</v>
      </c>
      <c r="L3112">
        <v>1.480414207689942</v>
      </c>
      <c r="M3112">
        <v>2.35</v>
      </c>
      <c r="N3112">
        <v>0.68</v>
      </c>
    </row>
    <row r="3113" spans="1:14">
      <c r="A3113" s="1" t="s">
        <v>3125</v>
      </c>
      <c r="B3113">
        <f>HYPERLINK("https://www.suredividend.com/sure-analysis-research-database/","Wintrust Financial Corp.")</f>
        <v>0</v>
      </c>
      <c r="C3113" t="s">
        <v>3221</v>
      </c>
      <c r="D3113">
        <v>88.59999999999999</v>
      </c>
      <c r="E3113">
        <v>0.014261599217452</v>
      </c>
      <c r="F3113">
        <v>0.09677419354838723</v>
      </c>
      <c r="G3113">
        <v>0.1941810528171777</v>
      </c>
      <c r="H3113">
        <v>1.263577690666298</v>
      </c>
      <c r="I3113">
        <v>5072.63476</v>
      </c>
      <c r="J3113">
        <v>11.57641545824043</v>
      </c>
      <c r="K3113">
        <v>0.1666989037818335</v>
      </c>
      <c r="L3113">
        <v>1.124796319583132</v>
      </c>
      <c r="M3113">
        <v>105.32</v>
      </c>
      <c r="N3113">
        <v>64.94</v>
      </c>
    </row>
    <row r="3114" spans="1:14">
      <c r="A3114" s="1" t="s">
        <v>3126</v>
      </c>
      <c r="B3114">
        <f>HYPERLINK("https://www.suredividend.com/sure-analysis-research-database/","W &amp; T Offshore Inc")</f>
        <v>0</v>
      </c>
      <c r="C3114" t="s">
        <v>3226</v>
      </c>
      <c r="D3114">
        <v>4.4</v>
      </c>
      <c r="E3114">
        <v>0</v>
      </c>
      <c r="H3114">
        <v>0</v>
      </c>
      <c r="I3114">
        <v>629.253346</v>
      </c>
      <c r="J3114" t="s">
        <v>3219</v>
      </c>
      <c r="K3114">
        <v>-0</v>
      </c>
      <c r="L3114">
        <v>0.6937813276025661</v>
      </c>
      <c r="M3114">
        <v>6.68</v>
      </c>
      <c r="N3114">
        <v>2.64</v>
      </c>
    </row>
    <row r="3115" spans="1:14">
      <c r="A3115" s="1" t="s">
        <v>3127</v>
      </c>
      <c r="B3115">
        <f>HYPERLINK("https://www.suredividend.com/sure-analysis-research-database/","White Mountains Insurance Group, Ltd.")</f>
        <v>0</v>
      </c>
      <c r="C3115" t="s">
        <v>3221</v>
      </c>
      <c r="D3115">
        <v>1072.91</v>
      </c>
      <c r="E3115">
        <v>0.0009320446262960001</v>
      </c>
      <c r="H3115">
        <v>1</v>
      </c>
      <c r="I3115">
        <v>3212.466351</v>
      </c>
      <c r="J3115" t="s">
        <v>3219</v>
      </c>
      <c r="K3115" t="s">
        <v>3219</v>
      </c>
      <c r="L3115">
        <v>0.443523641551344</v>
      </c>
      <c r="M3115">
        <v>1241.82</v>
      </c>
      <c r="N3115">
        <v>977.5700000000001</v>
      </c>
    </row>
    <row r="3116" spans="1:14">
      <c r="A3116" s="1" t="s">
        <v>3128</v>
      </c>
      <c r="B3116">
        <f>HYPERLINK("https://www.suredividend.com/sure-analysis-research-database/","Waitr Holdings Inc")</f>
        <v>0</v>
      </c>
      <c r="C3116" t="s">
        <v>3222</v>
      </c>
      <c r="D3116">
        <v>0.3</v>
      </c>
      <c r="E3116">
        <v>0</v>
      </c>
      <c r="H3116">
        <v>0</v>
      </c>
      <c r="I3116">
        <v>47.268948</v>
      </c>
      <c r="J3116" t="s">
        <v>3219</v>
      </c>
      <c r="K3116">
        <v>-0</v>
      </c>
      <c r="L3116">
        <v>1.901418667918484</v>
      </c>
      <c r="M3116">
        <v>2.69</v>
      </c>
      <c r="N3116">
        <v>0.29</v>
      </c>
    </row>
    <row r="3117" spans="1:14">
      <c r="A3117" s="1" t="s">
        <v>3129</v>
      </c>
      <c r="B3117">
        <f>HYPERLINK("https://www.suredividend.com/sure-analysis-research-database/","Watts Water Technologies, Inc.")</f>
        <v>0</v>
      </c>
      <c r="C3117" t="s">
        <v>3220</v>
      </c>
      <c r="D3117">
        <v>131.18</v>
      </c>
      <c r="E3117">
        <v>0.007909294713855</v>
      </c>
      <c r="F3117">
        <v>0.1304347826086956</v>
      </c>
      <c r="G3117">
        <v>0.06474093044470108</v>
      </c>
      <c r="H3117">
        <v>1.037541280563521</v>
      </c>
      <c r="I3117">
        <v>3599.414176</v>
      </c>
      <c r="J3117">
        <v>21.72247541074231</v>
      </c>
      <c r="K3117">
        <v>0.2121761309945851</v>
      </c>
      <c r="L3117">
        <v>1.172284463438024</v>
      </c>
      <c r="M3117">
        <v>211.34</v>
      </c>
      <c r="N3117">
        <v>117.7</v>
      </c>
    </row>
    <row r="3118" spans="1:14">
      <c r="A3118" s="1" t="s">
        <v>3130</v>
      </c>
      <c r="B3118">
        <f>HYPERLINK("https://www.suredividend.com/sure-analysis-research-database/","Wireless Telecom Group, Inc.")</f>
        <v>0</v>
      </c>
      <c r="C3118" t="s">
        <v>3222</v>
      </c>
      <c r="D3118">
        <v>1.69</v>
      </c>
      <c r="E3118">
        <v>0</v>
      </c>
      <c r="H3118">
        <v>0</v>
      </c>
      <c r="I3118">
        <v>38.305665</v>
      </c>
      <c r="J3118">
        <v>0</v>
      </c>
      <c r="K3118" t="s">
        <v>3219</v>
      </c>
      <c r="L3118">
        <v>0.8740972579535671</v>
      </c>
      <c r="M3118">
        <v>4.2</v>
      </c>
      <c r="N3118">
        <v>1.52</v>
      </c>
    </row>
    <row r="3119" spans="1:14">
      <c r="A3119" s="1" t="s">
        <v>3131</v>
      </c>
      <c r="B3119">
        <f>HYPERLINK("https://www.suredividend.com/sure-analysis-research-database/","Select Energy Services Inc")</f>
        <v>0</v>
      </c>
      <c r="C3119" t="s">
        <v>3226</v>
      </c>
      <c r="D3119">
        <v>8.83</v>
      </c>
      <c r="E3119">
        <v>0</v>
      </c>
      <c r="H3119">
        <v>0</v>
      </c>
      <c r="I3119">
        <v>1030.927224</v>
      </c>
      <c r="J3119" t="s">
        <v>3219</v>
      </c>
      <c r="K3119">
        <v>-0</v>
      </c>
      <c r="L3119">
        <v>0.7456666668963551</v>
      </c>
      <c r="M3119">
        <v>10.43</v>
      </c>
      <c r="N3119">
        <v>4.37</v>
      </c>
    </row>
    <row r="3120" spans="1:14">
      <c r="A3120" s="1" t="s">
        <v>3132</v>
      </c>
      <c r="B3120">
        <f>HYPERLINK("https://www.suredividend.com/sure-analysis-WU/","Western Union Company")</f>
        <v>0</v>
      </c>
      <c r="C3120" t="s">
        <v>3221</v>
      </c>
      <c r="D3120">
        <v>18.95</v>
      </c>
      <c r="E3120">
        <v>0.05171503957783641</v>
      </c>
      <c r="F3120">
        <v>0</v>
      </c>
      <c r="G3120">
        <v>0.06073271303853334</v>
      </c>
      <c r="H3120">
        <v>0.922050631602027</v>
      </c>
      <c r="I3120">
        <v>7366.367042</v>
      </c>
      <c r="J3120">
        <v>9.141681611255894</v>
      </c>
      <c r="K3120">
        <v>0.4680460058893539</v>
      </c>
      <c r="L3120">
        <v>0.506531973944168</v>
      </c>
      <c r="M3120">
        <v>25.38</v>
      </c>
      <c r="N3120">
        <v>15.28</v>
      </c>
    </row>
    <row r="3121" spans="1:14">
      <c r="A3121" s="1" t="s">
        <v>3133</v>
      </c>
      <c r="B3121">
        <f>HYPERLINK("https://www.suredividend.com/sure-analysis-research-database/","Wave Life Sciences Ltd.")</f>
        <v>0</v>
      </c>
      <c r="C3121" t="s">
        <v>3217</v>
      </c>
      <c r="D3121">
        <v>2.17</v>
      </c>
      <c r="E3121">
        <v>0</v>
      </c>
      <c r="H3121">
        <v>0</v>
      </c>
      <c r="I3121">
        <v>132.032554</v>
      </c>
      <c r="J3121" t="s">
        <v>3219</v>
      </c>
      <c r="K3121">
        <v>-0</v>
      </c>
      <c r="L3121">
        <v>1.40759716772567</v>
      </c>
      <c r="M3121">
        <v>7.55</v>
      </c>
      <c r="N3121">
        <v>1.79</v>
      </c>
    </row>
    <row r="3122" spans="1:14">
      <c r="A3122" s="1" t="s">
        <v>3134</v>
      </c>
      <c r="B3122">
        <f>HYPERLINK("https://www.suredividend.com/sure-analysis-research-database/","WVS Financial Corp.")</f>
        <v>0</v>
      </c>
      <c r="C3122" t="s">
        <v>3221</v>
      </c>
      <c r="D3122">
        <v>15.1</v>
      </c>
      <c r="E3122">
        <v>0.026318447532107</v>
      </c>
      <c r="F3122">
        <v>0</v>
      </c>
      <c r="G3122">
        <v>0.1075663432482901</v>
      </c>
      <c r="H3122">
        <v>0.39740855773483</v>
      </c>
      <c r="I3122">
        <v>28.435021</v>
      </c>
      <c r="J3122">
        <v>0</v>
      </c>
      <c r="K3122" t="s">
        <v>3219</v>
      </c>
      <c r="M3122">
        <v>16.58</v>
      </c>
      <c r="N3122">
        <v>15</v>
      </c>
    </row>
    <row r="3123" spans="1:14">
      <c r="A3123" s="1" t="s">
        <v>3135</v>
      </c>
      <c r="B3123">
        <f>HYPERLINK("https://www.suredividend.com/sure-analysis-research-database/","Willamette Valley Vineyard Inc.")</f>
        <v>0</v>
      </c>
      <c r="C3123" t="s">
        <v>3225</v>
      </c>
      <c r="D3123">
        <v>9.550000000000001</v>
      </c>
      <c r="E3123">
        <v>0</v>
      </c>
      <c r="H3123">
        <v>0</v>
      </c>
      <c r="I3123">
        <v>47.411252</v>
      </c>
      <c r="J3123">
        <v>0</v>
      </c>
      <c r="K3123" t="s">
        <v>3219</v>
      </c>
      <c r="L3123">
        <v>0.09304458431403401</v>
      </c>
      <c r="M3123">
        <v>17.43</v>
      </c>
      <c r="N3123">
        <v>8.529999999999999</v>
      </c>
    </row>
    <row r="3124" spans="1:14">
      <c r="A3124" s="1" t="s">
        <v>3136</v>
      </c>
      <c r="B3124">
        <f>HYPERLINK("https://www.suredividend.com/sure-analysis-research-database/","WW International Inc")</f>
        <v>0</v>
      </c>
      <c r="C3124" t="s">
        <v>3223</v>
      </c>
      <c r="D3124">
        <v>10.63</v>
      </c>
      <c r="E3124">
        <v>0</v>
      </c>
      <c r="H3124">
        <v>0</v>
      </c>
      <c r="I3124">
        <v>744.979547</v>
      </c>
      <c r="J3124">
        <v>11.1370499829576</v>
      </c>
      <c r="K3124">
        <v>0</v>
      </c>
      <c r="L3124">
        <v>1.14362414523902</v>
      </c>
      <c r="M3124">
        <v>41.13</v>
      </c>
      <c r="N3124">
        <v>8.83</v>
      </c>
    </row>
    <row r="3125" spans="1:14">
      <c r="A3125" s="1" t="s">
        <v>3137</v>
      </c>
      <c r="B3125">
        <f>HYPERLINK("https://www.suredividend.com/sure-analysis-research-database/","Woodward Inc")</f>
        <v>0</v>
      </c>
      <c r="C3125" t="s">
        <v>3220</v>
      </c>
      <c r="D3125">
        <v>117.11</v>
      </c>
      <c r="E3125">
        <v>0.005772898037902</v>
      </c>
      <c r="F3125">
        <v>0.1692307692307693</v>
      </c>
      <c r="G3125">
        <v>0.08734839457107491</v>
      </c>
      <c r="H3125">
        <v>0.6760640892187521</v>
      </c>
      <c r="I3125">
        <v>7390.193642</v>
      </c>
      <c r="J3125">
        <v>37.44069246793053</v>
      </c>
      <c r="K3125">
        <v>0.2246060097072266</v>
      </c>
      <c r="L3125">
        <v>0.945479142341725</v>
      </c>
      <c r="M3125">
        <v>130.01</v>
      </c>
      <c r="N3125">
        <v>101.12</v>
      </c>
    </row>
    <row r="3126" spans="1:14">
      <c r="A3126" s="1" t="s">
        <v>3138</v>
      </c>
      <c r="B3126">
        <f>HYPERLINK("https://www.suredividend.com/sure-analysis-research-database/","World Wrestling Entertainment, Inc.")</f>
        <v>0</v>
      </c>
      <c r="C3126" t="s">
        <v>3228</v>
      </c>
      <c r="D3126">
        <v>60.01</v>
      </c>
      <c r="E3126">
        <v>0.007971567391517</v>
      </c>
      <c r="F3126">
        <v>0</v>
      </c>
      <c r="G3126">
        <v>0</v>
      </c>
      <c r="H3126">
        <v>0.478373759164976</v>
      </c>
      <c r="I3126">
        <v>2600.149046</v>
      </c>
      <c r="J3126">
        <v>14.41260390869585</v>
      </c>
      <c r="K3126">
        <v>0.2256479996061208</v>
      </c>
      <c r="L3126">
        <v>0.704578395146078</v>
      </c>
      <c r="M3126">
        <v>70.09999999999999</v>
      </c>
      <c r="N3126">
        <v>46.49</v>
      </c>
    </row>
    <row r="3127" spans="1:14">
      <c r="A3127" s="1" t="s">
        <v>3139</v>
      </c>
      <c r="B3127">
        <f>HYPERLINK("https://www.suredividend.com/sure-analysis-research-database/","Westwater Resources Inc")</f>
        <v>0</v>
      </c>
      <c r="C3127" t="s">
        <v>3218</v>
      </c>
      <c r="D3127">
        <v>1.64</v>
      </c>
      <c r="E3127">
        <v>0</v>
      </c>
      <c r="H3127">
        <v>0</v>
      </c>
      <c r="I3127">
        <v>67.409614</v>
      </c>
      <c r="J3127">
        <v>0</v>
      </c>
      <c r="K3127" t="s">
        <v>3219</v>
      </c>
      <c r="L3127">
        <v>1.518777948500238</v>
      </c>
      <c r="M3127">
        <v>5.7</v>
      </c>
      <c r="N3127">
        <v>1.52</v>
      </c>
    </row>
    <row r="3128" spans="1:14">
      <c r="A3128" s="1" t="s">
        <v>3140</v>
      </c>
      <c r="B3128">
        <f>HYPERLINK("https://www.suredividend.com/sure-analysis-research-database/","Wolverine World Wide, Inc.")</f>
        <v>0</v>
      </c>
      <c r="C3128" t="s">
        <v>3223</v>
      </c>
      <c r="D3128">
        <v>22.12</v>
      </c>
      <c r="E3128">
        <v>0.017979495290695</v>
      </c>
      <c r="F3128">
        <v>0</v>
      </c>
      <c r="G3128">
        <v>0.1075663432482901</v>
      </c>
      <c r="H3128">
        <v>0.3977064358301911</v>
      </c>
      <c r="I3128">
        <v>1800.314018</v>
      </c>
      <c r="J3128">
        <v>26.67131878755556</v>
      </c>
      <c r="K3128">
        <v>0.4908138168952129</v>
      </c>
      <c r="L3128">
        <v>1.397660955081243</v>
      </c>
      <c r="M3128">
        <v>44.12</v>
      </c>
      <c r="N3128">
        <v>20.59</v>
      </c>
    </row>
    <row r="3129" spans="1:14">
      <c r="A3129" s="1" t="s">
        <v>3141</v>
      </c>
      <c r="B3129">
        <f>HYPERLINK("https://www.suredividend.com/sure-analysis-WY/","Weyerhaeuser Co.")</f>
        <v>0</v>
      </c>
      <c r="C3129" t="s">
        <v>3224</v>
      </c>
      <c r="D3129">
        <v>39.9</v>
      </c>
      <c r="E3129">
        <v>0.01804511278195489</v>
      </c>
      <c r="F3129">
        <v>-0.64</v>
      </c>
      <c r="G3129">
        <v>-0.1030212338864971</v>
      </c>
      <c r="H3129">
        <v>0.6633172976492531</v>
      </c>
      <c r="I3129">
        <v>29808.298525</v>
      </c>
      <c r="J3129">
        <v>11.43394649976985</v>
      </c>
      <c r="K3129">
        <v>0.1911577226654908</v>
      </c>
      <c r="L3129">
        <v>0.925683876324612</v>
      </c>
      <c r="M3129">
        <v>41.36</v>
      </c>
      <c r="N3129">
        <v>30.65</v>
      </c>
    </row>
    <row r="3130" spans="1:14">
      <c r="A3130" s="1" t="s">
        <v>3142</v>
      </c>
      <c r="B3130">
        <f>HYPERLINK("https://www.suredividend.com/sure-analysis-research-database/","Wynn Resorts Ltd.")</f>
        <v>0</v>
      </c>
      <c r="C3130" t="s">
        <v>3223</v>
      </c>
      <c r="D3130">
        <v>73.97</v>
      </c>
      <c r="E3130">
        <v>0</v>
      </c>
      <c r="H3130">
        <v>0</v>
      </c>
      <c r="I3130">
        <v>8574.481384999999</v>
      </c>
      <c r="J3130" t="s">
        <v>3219</v>
      </c>
      <c r="K3130">
        <v>-0</v>
      </c>
      <c r="L3130">
        <v>1.578292001298521</v>
      </c>
      <c r="M3130">
        <v>136.83</v>
      </c>
      <c r="N3130">
        <v>66.33</v>
      </c>
    </row>
    <row r="3131" spans="1:14">
      <c r="A3131" s="1" t="s">
        <v>3143</v>
      </c>
      <c r="B3131">
        <f>HYPERLINK("https://www.suredividend.com/sure-analysis-research-database/","Widepoint Corp")</f>
        <v>0</v>
      </c>
      <c r="C3131" t="s">
        <v>3222</v>
      </c>
      <c r="D3131">
        <v>3.4</v>
      </c>
      <c r="E3131">
        <v>0</v>
      </c>
      <c r="H3131">
        <v>0</v>
      </c>
      <c r="I3131">
        <v>29.50994</v>
      </c>
      <c r="J3131">
        <v>0</v>
      </c>
      <c r="K3131" t="s">
        <v>3219</v>
      </c>
      <c r="L3131">
        <v>0.321011876029373</v>
      </c>
      <c r="M3131">
        <v>9.31</v>
      </c>
      <c r="N3131">
        <v>3.3</v>
      </c>
    </row>
    <row r="3132" spans="1:14">
      <c r="A3132" s="1" t="s">
        <v>3144</v>
      </c>
      <c r="B3132">
        <f>HYPERLINK("https://www.suredividend.com/sure-analysis-research-database/","United States Steel Corp.")</f>
        <v>0</v>
      </c>
      <c r="C3132" t="s">
        <v>3218</v>
      </c>
      <c r="D3132">
        <v>37.04</v>
      </c>
      <c r="E3132">
        <v>0.003234322425305</v>
      </c>
      <c r="F3132">
        <v>4</v>
      </c>
      <c r="G3132">
        <v>0</v>
      </c>
      <c r="H3132">
        <v>0.119799302633329</v>
      </c>
      <c r="I3132">
        <v>9649.937599999999</v>
      </c>
      <c r="J3132">
        <v>2.311916051729756</v>
      </c>
      <c r="K3132">
        <v>0.008051028402777487</v>
      </c>
      <c r="L3132">
        <v>1.322008170720921</v>
      </c>
      <c r="M3132">
        <v>39.25</v>
      </c>
      <c r="N3132">
        <v>17.94</v>
      </c>
    </row>
    <row r="3133" spans="1:14">
      <c r="A3133" s="1" t="s">
        <v>3145</v>
      </c>
      <c r="B3133">
        <f>HYPERLINK("https://www.suredividend.com/sure-analysis-research-database/","XBiotech Inc")</f>
        <v>0</v>
      </c>
      <c r="C3133" t="s">
        <v>3217</v>
      </c>
      <c r="D3133">
        <v>8.33</v>
      </c>
      <c r="E3133">
        <v>0</v>
      </c>
      <c r="H3133">
        <v>0</v>
      </c>
      <c r="I3133">
        <v>253.559161</v>
      </c>
      <c r="J3133">
        <v>0</v>
      </c>
      <c r="K3133" t="s">
        <v>3219</v>
      </c>
      <c r="L3133">
        <v>0.939166378343499</v>
      </c>
      <c r="M3133">
        <v>16.95</v>
      </c>
      <c r="N3133">
        <v>8.289999999999999</v>
      </c>
    </row>
    <row r="3134" spans="1:14">
      <c r="A3134" s="1" t="s">
        <v>3146</v>
      </c>
      <c r="B3134">
        <f>HYPERLINK("https://www.suredividend.com/sure-analysis-research-database/","Cimarex Energy Co.")</f>
        <v>0</v>
      </c>
      <c r="C3134" t="s">
        <v>3226</v>
      </c>
      <c r="D3134">
        <v>87.2</v>
      </c>
      <c r="E3134">
        <v>0.011175033791407</v>
      </c>
      <c r="H3134">
        <v>0.9744629466106991</v>
      </c>
      <c r="I3134">
        <v>8965.313918</v>
      </c>
      <c r="J3134" t="s">
        <v>3219</v>
      </c>
      <c r="K3134" t="s">
        <v>3219</v>
      </c>
      <c r="M3134">
        <v>92.51000000000001</v>
      </c>
      <c r="N3134">
        <v>21.97</v>
      </c>
    </row>
    <row r="3135" spans="1:14">
      <c r="A3135" s="1" t="s">
        <v>3147</v>
      </c>
      <c r="B3135">
        <f>HYPERLINK("https://www.suredividend.com/sure-analysis-XEL/","Xcel Energy, Inc.")</f>
        <v>0</v>
      </c>
      <c r="C3135" t="s">
        <v>3227</v>
      </c>
      <c r="D3135">
        <v>74.34</v>
      </c>
      <c r="E3135">
        <v>0.02623083131557708</v>
      </c>
      <c r="F3135">
        <v>0.06557377049180335</v>
      </c>
      <c r="G3135">
        <v>0.06251341943967748</v>
      </c>
      <c r="H3135">
        <v>1.841220805959097</v>
      </c>
      <c r="I3135">
        <v>40480.394471</v>
      </c>
      <c r="J3135">
        <v>25.34777361974953</v>
      </c>
      <c r="K3135">
        <v>0.6220340560672626</v>
      </c>
      <c r="L3135">
        <v>0.225965290389684</v>
      </c>
      <c r="M3135">
        <v>75.52</v>
      </c>
      <c r="N3135">
        <v>60.32</v>
      </c>
    </row>
    <row r="3136" spans="1:14">
      <c r="A3136" s="1" t="s">
        <v>3148</v>
      </c>
      <c r="B3136">
        <f>HYPERLINK("https://www.suredividend.com/sure-analysis-research-database/","Exela Technologies Inc")</f>
        <v>0</v>
      </c>
      <c r="C3136" t="s">
        <v>3222</v>
      </c>
      <c r="D3136">
        <v>0.35</v>
      </c>
      <c r="E3136">
        <v>0</v>
      </c>
      <c r="H3136">
        <v>0</v>
      </c>
      <c r="I3136">
        <v>155.338595</v>
      </c>
      <c r="J3136">
        <v>0</v>
      </c>
      <c r="K3136" t="s">
        <v>3219</v>
      </c>
      <c r="L3136">
        <v>2.234468538024133</v>
      </c>
      <c r="M3136">
        <v>5.45</v>
      </c>
      <c r="N3136">
        <v>0.345</v>
      </c>
    </row>
    <row r="3137" spans="1:14">
      <c r="A3137" s="1" t="s">
        <v>3149</v>
      </c>
      <c r="B3137">
        <f>HYPERLINK("https://www.suredividend.com/sure-analysis-research-database/","Xcel Brands Inc")</f>
        <v>0</v>
      </c>
      <c r="C3137" t="s">
        <v>3223</v>
      </c>
      <c r="D3137">
        <v>1.53</v>
      </c>
      <c r="E3137">
        <v>0</v>
      </c>
      <c r="H3137">
        <v>0</v>
      </c>
      <c r="I3137">
        <v>29.924984</v>
      </c>
      <c r="J3137">
        <v>0</v>
      </c>
      <c r="K3137" t="s">
        <v>3219</v>
      </c>
      <c r="L3137">
        <v>1.465586849949071</v>
      </c>
      <c r="M3137">
        <v>3.25</v>
      </c>
      <c r="N3137">
        <v>0.9494</v>
      </c>
    </row>
    <row r="3138" spans="1:14">
      <c r="A3138" s="1" t="s">
        <v>3150</v>
      </c>
      <c r="B3138">
        <f>HYPERLINK("https://www.suredividend.com/sure-analysis-research-database/","Intersect ENT Inc")</f>
        <v>0</v>
      </c>
      <c r="C3138" t="s">
        <v>3217</v>
      </c>
      <c r="D3138">
        <v>27.96</v>
      </c>
      <c r="E3138">
        <v>0</v>
      </c>
      <c r="H3138">
        <v>0</v>
      </c>
      <c r="I3138">
        <v>944.69864</v>
      </c>
      <c r="J3138">
        <v>0</v>
      </c>
      <c r="K3138" t="s">
        <v>3219</v>
      </c>
      <c r="L3138">
        <v>0.281422279698683</v>
      </c>
      <c r="M3138">
        <v>28.17</v>
      </c>
      <c r="N3138">
        <v>15.92</v>
      </c>
    </row>
    <row r="3139" spans="1:14">
      <c r="A3139" s="1" t="s">
        <v>3151</v>
      </c>
      <c r="B3139">
        <f>HYPERLINK("https://www.suredividend.com/sure-analysis-research-database/","Xeris Biopharma Holdings Inc")</f>
        <v>0</v>
      </c>
      <c r="C3139" t="s">
        <v>3217</v>
      </c>
      <c r="D3139">
        <v>2.45</v>
      </c>
      <c r="E3139">
        <v>0</v>
      </c>
      <c r="H3139">
        <v>0</v>
      </c>
      <c r="I3139">
        <v>332.032602</v>
      </c>
      <c r="J3139">
        <v>0</v>
      </c>
      <c r="K3139" t="s">
        <v>3219</v>
      </c>
      <c r="M3139">
        <v>3.17</v>
      </c>
      <c r="N3139">
        <v>1.77</v>
      </c>
    </row>
    <row r="3140" spans="1:14">
      <c r="A3140" s="1" t="s">
        <v>3152</v>
      </c>
      <c r="B3140">
        <f>HYPERLINK("https://www.suredividend.com/sure-analysis-research-database/","X4 Pharmaceuticals Inc")</f>
        <v>0</v>
      </c>
      <c r="C3140" t="s">
        <v>3217</v>
      </c>
      <c r="D3140">
        <v>1.42</v>
      </c>
      <c r="E3140">
        <v>0</v>
      </c>
      <c r="H3140">
        <v>0</v>
      </c>
      <c r="I3140">
        <v>43.749314</v>
      </c>
      <c r="J3140">
        <v>0</v>
      </c>
      <c r="K3140" t="s">
        <v>3219</v>
      </c>
      <c r="L3140">
        <v>1.390506185460507</v>
      </c>
      <c r="M3140">
        <v>9.9</v>
      </c>
      <c r="N3140">
        <v>1.31</v>
      </c>
    </row>
    <row r="3141" spans="1:14">
      <c r="A3141" s="1" t="s">
        <v>3153</v>
      </c>
      <c r="B3141">
        <f>HYPERLINK("https://www.suredividend.com/sure-analysis-research-database/","Xenia Hotels &amp; Resorts Inc")</f>
        <v>0</v>
      </c>
      <c r="C3141" t="s">
        <v>3224</v>
      </c>
      <c r="D3141">
        <v>19.11</v>
      </c>
      <c r="E3141">
        <v>0</v>
      </c>
      <c r="H3141">
        <v>0</v>
      </c>
      <c r="I3141">
        <v>2185.291047</v>
      </c>
      <c r="J3141" t="s">
        <v>3219</v>
      </c>
      <c r="K3141">
        <v>-0</v>
      </c>
      <c r="L3141">
        <v>1.266282554387823</v>
      </c>
      <c r="M3141">
        <v>21.04</v>
      </c>
      <c r="N3141">
        <v>15.15</v>
      </c>
    </row>
    <row r="3142" spans="1:14">
      <c r="A3142" s="1" t="s">
        <v>3154</v>
      </c>
      <c r="B3142">
        <f>HYPERLINK("https://www.suredividend.com/sure-analysis-research-database/","Xilinx, Inc.")</f>
        <v>0</v>
      </c>
      <c r="C3142" t="s">
        <v>3222</v>
      </c>
      <c r="D3142">
        <v>194.92</v>
      </c>
      <c r="E3142">
        <v>0</v>
      </c>
      <c r="H3142">
        <v>0.7400000095367431</v>
      </c>
      <c r="I3142">
        <v>0</v>
      </c>
      <c r="J3142">
        <v>0</v>
      </c>
      <c r="K3142">
        <v>0.1994609190125992</v>
      </c>
    </row>
    <row r="3143" spans="1:14">
      <c r="A3143" s="1" t="s">
        <v>3155</v>
      </c>
      <c r="B3143">
        <f>HYPERLINK("https://www.suredividend.com/sure-analysis-research-database/","Acceleron Pharma Inc")</f>
        <v>0</v>
      </c>
      <c r="C3143" t="s">
        <v>3217</v>
      </c>
      <c r="D3143">
        <v>178.75</v>
      </c>
      <c r="E3143">
        <v>0</v>
      </c>
      <c r="H3143">
        <v>0</v>
      </c>
      <c r="I3143">
        <v>0</v>
      </c>
      <c r="J3143">
        <v>0</v>
      </c>
      <c r="K3143">
        <v>-0</v>
      </c>
    </row>
    <row r="3144" spans="1:14">
      <c r="A3144" s="1" t="s">
        <v>3156</v>
      </c>
      <c r="B3144">
        <f>HYPERLINK("https://www.suredividend.com/sure-analysis-research-database/","Xencor Inc")</f>
        <v>0</v>
      </c>
      <c r="C3144" t="s">
        <v>3217</v>
      </c>
      <c r="D3144">
        <v>26.69</v>
      </c>
      <c r="E3144">
        <v>0</v>
      </c>
      <c r="H3144">
        <v>0</v>
      </c>
      <c r="I3144">
        <v>1560.87281</v>
      </c>
      <c r="J3144">
        <v>18.88967590504775</v>
      </c>
      <c r="K3144">
        <v>0</v>
      </c>
      <c r="L3144">
        <v>1.016740184677932</v>
      </c>
      <c r="M3144">
        <v>45.21</v>
      </c>
      <c r="N3144">
        <v>26.16</v>
      </c>
    </row>
    <row r="3145" spans="1:14">
      <c r="A3145" s="1" t="s">
        <v>3157</v>
      </c>
      <c r="B3145">
        <f>HYPERLINK("https://www.suredividend.com/sure-analysis-research-database/","Extraction Oil &amp; Gas Inc")</f>
        <v>0</v>
      </c>
      <c r="C3145" t="s">
        <v>3226</v>
      </c>
      <c r="D3145">
        <v>68.54000000000001</v>
      </c>
      <c r="E3145">
        <v>0</v>
      </c>
      <c r="H3145">
        <v>0</v>
      </c>
      <c r="I3145">
        <v>0</v>
      </c>
      <c r="J3145">
        <v>0</v>
      </c>
      <c r="K3145" t="s">
        <v>3219</v>
      </c>
    </row>
    <row r="3146" spans="1:14">
      <c r="A3146" s="1" t="s">
        <v>3158</v>
      </c>
      <c r="B3146">
        <f>HYPERLINK("https://www.suredividend.com/sure-analysis-XOM/","Exxon Mobil Corp.")</f>
        <v>0</v>
      </c>
      <c r="C3146" t="s">
        <v>3226</v>
      </c>
      <c r="D3146">
        <v>87.83</v>
      </c>
      <c r="E3146">
        <v>0.04007742229306615</v>
      </c>
      <c r="F3146">
        <v>0.01149425287356332</v>
      </c>
      <c r="G3146">
        <v>0.02706608708935176</v>
      </c>
      <c r="H3146">
        <v>3.435792717940705</v>
      </c>
      <c r="I3146">
        <v>371836.423039</v>
      </c>
      <c r="J3146">
        <v>16.13873363884852</v>
      </c>
      <c r="K3146">
        <v>0.6374383521225798</v>
      </c>
      <c r="L3146">
        <v>0.3857842617949021</v>
      </c>
      <c r="M3146">
        <v>91.51000000000001</v>
      </c>
      <c r="N3146">
        <v>50.85</v>
      </c>
    </row>
    <row r="3147" spans="1:14">
      <c r="A3147" s="1" t="s">
        <v>3159</v>
      </c>
      <c r="B3147">
        <f>HYPERLINK("https://www.suredividend.com/sure-analysis-research-database/","XOMA Corp")</f>
        <v>0</v>
      </c>
      <c r="C3147" t="s">
        <v>3217</v>
      </c>
      <c r="D3147">
        <v>24.21</v>
      </c>
      <c r="E3147">
        <v>0</v>
      </c>
      <c r="H3147">
        <v>0</v>
      </c>
      <c r="I3147">
        <v>275.894787</v>
      </c>
      <c r="J3147">
        <v>35.43017688711956</v>
      </c>
      <c r="K3147">
        <v>0</v>
      </c>
      <c r="L3147">
        <v>0.96299009026639</v>
      </c>
      <c r="M3147">
        <v>39.49</v>
      </c>
      <c r="N3147">
        <v>19.08</v>
      </c>
    </row>
    <row r="3148" spans="1:14">
      <c r="A3148" s="1" t="s">
        <v>3160</v>
      </c>
      <c r="B3148">
        <f>HYPERLINK("https://www.suredividend.com/sure-analysis-research-database/","ExOne Co")</f>
        <v>0</v>
      </c>
      <c r="C3148" t="s">
        <v>3220</v>
      </c>
      <c r="D3148">
        <v>26.7</v>
      </c>
      <c r="E3148">
        <v>0</v>
      </c>
      <c r="H3148">
        <v>0</v>
      </c>
      <c r="I3148">
        <v>0</v>
      </c>
      <c r="J3148">
        <v>0</v>
      </c>
      <c r="K3148">
        <v>-0</v>
      </c>
    </row>
    <row r="3149" spans="1:14">
      <c r="A3149" s="1" t="s">
        <v>3161</v>
      </c>
      <c r="B3149">
        <f>HYPERLINK("https://www.suredividend.com/sure-analysis-research-database/","Xperi Holding Corp")</f>
        <v>0</v>
      </c>
      <c r="C3149" t="s">
        <v>3222</v>
      </c>
      <c r="D3149">
        <v>16.2</v>
      </c>
      <c r="E3149">
        <v>0.012310075296844</v>
      </c>
      <c r="F3149">
        <v>0</v>
      </c>
      <c r="G3149">
        <v>-0.242141716744801</v>
      </c>
      <c r="H3149">
        <v>0.199423219808879</v>
      </c>
      <c r="I3149">
        <v>1697.107675</v>
      </c>
      <c r="J3149">
        <v>0</v>
      </c>
      <c r="K3149" t="s">
        <v>3219</v>
      </c>
      <c r="L3149">
        <v>1.112288313431053</v>
      </c>
      <c r="M3149">
        <v>22.69</v>
      </c>
      <c r="N3149">
        <v>15.67</v>
      </c>
    </row>
    <row r="3150" spans="1:14">
      <c r="A3150" s="1" t="s">
        <v>3162</v>
      </c>
      <c r="B3150">
        <f>HYPERLINK("https://www.suredividend.com/sure-analysis-research-database/","Solitario Zinc Corp")</f>
        <v>0</v>
      </c>
      <c r="C3150" t="s">
        <v>3218</v>
      </c>
      <c r="D3150">
        <v>0.8665</v>
      </c>
      <c r="E3150">
        <v>0</v>
      </c>
      <c r="H3150">
        <v>0</v>
      </c>
      <c r="I3150">
        <v>56.114647</v>
      </c>
      <c r="J3150">
        <v>0</v>
      </c>
      <c r="K3150" t="s">
        <v>3219</v>
      </c>
      <c r="L3150">
        <v>0.515980891759257</v>
      </c>
      <c r="M3150">
        <v>0.984</v>
      </c>
      <c r="N3150">
        <v>0.41</v>
      </c>
    </row>
    <row r="3151" spans="1:14">
      <c r="A3151" s="1" t="s">
        <v>3163</v>
      </c>
      <c r="B3151">
        <f>HYPERLINK("https://www.suredividend.com/sure-analysis-research-database/","XPO Logistics Inc")</f>
        <v>0</v>
      </c>
      <c r="C3151" t="s">
        <v>3220</v>
      </c>
      <c r="D3151">
        <v>56.78</v>
      </c>
      <c r="E3151">
        <v>0</v>
      </c>
      <c r="H3151">
        <v>0</v>
      </c>
      <c r="I3151">
        <v>6517.957726</v>
      </c>
      <c r="J3151">
        <v>19.39868370732143</v>
      </c>
      <c r="K3151">
        <v>0</v>
      </c>
      <c r="M3151">
        <v>153.45</v>
      </c>
      <c r="N3151">
        <v>56.71</v>
      </c>
    </row>
    <row r="3152" spans="1:14">
      <c r="A3152" s="1" t="s">
        <v>3164</v>
      </c>
      <c r="B3152">
        <f>HYPERLINK("https://www.suredividend.com/sure-analysis-research-database/","DENTSPLY Sirona Inc")</f>
        <v>0</v>
      </c>
      <c r="C3152" t="s">
        <v>3217</v>
      </c>
      <c r="D3152">
        <v>49.07</v>
      </c>
      <c r="E3152">
        <v>0.009242689043634001</v>
      </c>
      <c r="F3152">
        <v>0.25</v>
      </c>
      <c r="G3152">
        <v>0.07394092378577932</v>
      </c>
      <c r="H3152">
        <v>0.453538751371147</v>
      </c>
      <c r="I3152">
        <v>10572.207853</v>
      </c>
      <c r="J3152">
        <v>25.11213266726841</v>
      </c>
      <c r="K3152">
        <v>0.2374548436498152</v>
      </c>
      <c r="L3152">
        <v>0.6949792018460721</v>
      </c>
      <c r="M3152">
        <v>68.98</v>
      </c>
      <c r="N3152">
        <v>47.06</v>
      </c>
    </row>
    <row r="3153" spans="1:14">
      <c r="A3153" s="1" t="s">
        <v>3165</v>
      </c>
      <c r="B3153">
        <f>HYPERLINK("https://www.suredividend.com/sure-analysis-XRX/","Xerox Holdings Corp")</f>
        <v>0</v>
      </c>
      <c r="C3153" t="s">
        <v>3222</v>
      </c>
      <c r="D3153">
        <v>18.79</v>
      </c>
      <c r="E3153">
        <v>0.0532197977647685</v>
      </c>
      <c r="H3153">
        <v>0.4858138313534081</v>
      </c>
      <c r="I3153">
        <v>2909.639523</v>
      </c>
      <c r="J3153" t="s">
        <v>3219</v>
      </c>
      <c r="K3153" t="s">
        <v>3219</v>
      </c>
      <c r="L3153">
        <v>1.301408654454642</v>
      </c>
      <c r="M3153">
        <v>24.45</v>
      </c>
      <c r="N3153">
        <v>17.19</v>
      </c>
    </row>
    <row r="3154" spans="1:14">
      <c r="A3154" s="1" t="s">
        <v>3166</v>
      </c>
      <c r="B3154">
        <f>HYPERLINK("https://www.suredividend.com/sure-analysis-research-database/","XpresSpa Group Inc")</f>
        <v>0</v>
      </c>
      <c r="C3154" t="s">
        <v>3223</v>
      </c>
      <c r="D3154">
        <v>1.09</v>
      </c>
      <c r="E3154">
        <v>0</v>
      </c>
      <c r="H3154">
        <v>0</v>
      </c>
      <c r="I3154">
        <v>103.627619</v>
      </c>
      <c r="J3154">
        <v>30.9428542550015</v>
      </c>
      <c r="K3154">
        <v>0</v>
      </c>
      <c r="L3154">
        <v>1.52814182979187</v>
      </c>
      <c r="M3154">
        <v>2.19</v>
      </c>
      <c r="N3154">
        <v>0.9370000000000001</v>
      </c>
    </row>
    <row r="3155" spans="1:14">
      <c r="A3155" s="1" t="s">
        <v>3167</v>
      </c>
      <c r="B3155">
        <f>HYPERLINK("https://www.suredividend.com/sure-analysis-research-database/","Xtant Medical Holdings Inc")</f>
        <v>0</v>
      </c>
      <c r="C3155" t="s">
        <v>3217</v>
      </c>
      <c r="D3155">
        <v>0.6900000000000001</v>
      </c>
      <c r="E3155">
        <v>0</v>
      </c>
      <c r="H3155">
        <v>0</v>
      </c>
      <c r="I3155">
        <v>60.246454</v>
      </c>
      <c r="J3155">
        <v>0</v>
      </c>
      <c r="K3155" t="s">
        <v>3219</v>
      </c>
      <c r="L3155">
        <v>0.490302406533502</v>
      </c>
      <c r="M3155">
        <v>2.38</v>
      </c>
      <c r="N3155">
        <v>0.531</v>
      </c>
    </row>
    <row r="3156" spans="1:14">
      <c r="A3156" s="1" t="s">
        <v>3168</v>
      </c>
      <c r="B3156">
        <f>HYPERLINK("https://www.suredividend.com/sure-analysis-research-database/","22nd Century Group Inc")</f>
        <v>0</v>
      </c>
      <c r="C3156" t="s">
        <v>3217</v>
      </c>
      <c r="D3156">
        <v>2.11</v>
      </c>
      <c r="E3156">
        <v>0</v>
      </c>
      <c r="H3156">
        <v>0</v>
      </c>
      <c r="I3156">
        <v>343.799971</v>
      </c>
      <c r="J3156">
        <v>0</v>
      </c>
      <c r="K3156" t="s">
        <v>3219</v>
      </c>
      <c r="L3156">
        <v>1.984372926472843</v>
      </c>
      <c r="M3156">
        <v>6.07</v>
      </c>
      <c r="N3156">
        <v>1.86</v>
      </c>
    </row>
    <row r="3157" spans="1:14">
      <c r="A3157" s="1" t="s">
        <v>3169</v>
      </c>
      <c r="B3157">
        <f>HYPERLINK("https://www.suredividend.com/sure-analysis-XYL/","Xylem Inc")</f>
        <v>0</v>
      </c>
      <c r="C3157" t="s">
        <v>3220</v>
      </c>
      <c r="D3157">
        <v>84.14</v>
      </c>
      <c r="E3157">
        <v>0.01426194437841692</v>
      </c>
      <c r="F3157">
        <v>0.0714285714285714</v>
      </c>
      <c r="G3157">
        <v>0.1075663432482901</v>
      </c>
      <c r="H3157">
        <v>1.135438875068242</v>
      </c>
      <c r="I3157">
        <v>15152.996749</v>
      </c>
      <c r="J3157">
        <v>35.4871118242623</v>
      </c>
      <c r="K3157">
        <v>0.4831654787524434</v>
      </c>
      <c r="L3157">
        <v>1.208284256620355</v>
      </c>
      <c r="M3157">
        <v>138.02</v>
      </c>
      <c r="N3157">
        <v>82.03</v>
      </c>
    </row>
    <row r="3158" spans="1:14">
      <c r="A3158" s="1" t="s">
        <v>3170</v>
      </c>
      <c r="B3158">
        <f>HYPERLINK("https://www.suredividend.com/sure-analysis-research-database/","Alleghany Corp.")</f>
        <v>0</v>
      </c>
      <c r="C3158" t="s">
        <v>3221</v>
      </c>
      <c r="D3158">
        <v>845.49</v>
      </c>
      <c r="E3158">
        <v>0</v>
      </c>
      <c r="H3158">
        <v>0</v>
      </c>
      <c r="I3158">
        <v>11439.095848</v>
      </c>
      <c r="J3158">
        <v>11.05341991970176</v>
      </c>
      <c r="K3158">
        <v>0</v>
      </c>
      <c r="L3158">
        <v>0.8056516129527621</v>
      </c>
      <c r="M3158">
        <v>862.87</v>
      </c>
      <c r="N3158">
        <v>585.1</v>
      </c>
    </row>
    <row r="3159" spans="1:14">
      <c r="A3159" s="1" t="s">
        <v>3171</v>
      </c>
      <c r="B3159">
        <f>HYPERLINK("https://www.suredividend.com/sure-analysis-research-database/","Yelp Inc")</f>
        <v>0</v>
      </c>
      <c r="C3159" t="s">
        <v>3228</v>
      </c>
      <c r="D3159">
        <v>34.38</v>
      </c>
      <c r="E3159">
        <v>0</v>
      </c>
      <c r="H3159">
        <v>0</v>
      </c>
      <c r="I3159">
        <v>2444.581889</v>
      </c>
      <c r="J3159">
        <v>61.62138311260115</v>
      </c>
      <c r="K3159">
        <v>0</v>
      </c>
      <c r="L3159">
        <v>1.422815426065989</v>
      </c>
      <c r="M3159">
        <v>43.28</v>
      </c>
      <c r="N3159">
        <v>30.19</v>
      </c>
    </row>
    <row r="3160" spans="1:14">
      <c r="A3160" s="1" t="s">
        <v>3172</v>
      </c>
      <c r="B3160">
        <f>HYPERLINK("https://www.suredividend.com/sure-analysis-research-database/","YETI Holdings Inc")</f>
        <v>0</v>
      </c>
      <c r="C3160" t="s">
        <v>3223</v>
      </c>
      <c r="D3160">
        <v>54.27</v>
      </c>
      <c r="E3160">
        <v>0</v>
      </c>
      <c r="H3160">
        <v>0</v>
      </c>
      <c r="I3160">
        <v>4724.293154</v>
      </c>
      <c r="J3160">
        <v>22.22130155896934</v>
      </c>
      <c r="K3160">
        <v>0</v>
      </c>
      <c r="L3160">
        <v>1.805283298620842</v>
      </c>
      <c r="M3160">
        <v>108.82</v>
      </c>
      <c r="N3160">
        <v>52.61</v>
      </c>
    </row>
    <row r="3161" spans="1:14">
      <c r="A3161" s="1" t="s">
        <v>3173</v>
      </c>
      <c r="B3161">
        <f>HYPERLINK("https://www.suredividend.com/sure-analysis-research-database/","Yext Inc")</f>
        <v>0</v>
      </c>
      <c r="C3161" t="s">
        <v>3222</v>
      </c>
      <c r="D3161">
        <v>6.16</v>
      </c>
      <c r="E3161">
        <v>0</v>
      </c>
      <c r="H3161">
        <v>0</v>
      </c>
      <c r="I3161">
        <v>808.111193</v>
      </c>
      <c r="J3161" t="s">
        <v>3219</v>
      </c>
      <c r="K3161">
        <v>-0</v>
      </c>
      <c r="L3161">
        <v>1.602775761442717</v>
      </c>
      <c r="M3161">
        <v>15.17</v>
      </c>
      <c r="N3161">
        <v>4.26</v>
      </c>
    </row>
    <row r="3162" spans="1:14">
      <c r="A3162" s="1" t="s">
        <v>3174</v>
      </c>
      <c r="B3162">
        <f>HYPERLINK("https://www.suredividend.com/sure-analysis-research-database/","Y-Mabs Therapeutics Inc")</f>
        <v>0</v>
      </c>
      <c r="C3162" t="s">
        <v>3217</v>
      </c>
      <c r="D3162">
        <v>12.82</v>
      </c>
      <c r="E3162">
        <v>0</v>
      </c>
      <c r="H3162">
        <v>0</v>
      </c>
      <c r="I3162">
        <v>560.407506</v>
      </c>
      <c r="J3162">
        <v>0</v>
      </c>
      <c r="K3162" t="s">
        <v>3219</v>
      </c>
      <c r="L3162">
        <v>1.646459844399695</v>
      </c>
      <c r="M3162">
        <v>39.82</v>
      </c>
      <c r="N3162">
        <v>6.5</v>
      </c>
    </row>
    <row r="3163" spans="1:14">
      <c r="A3163" s="1" t="s">
        <v>3175</v>
      </c>
      <c r="B3163">
        <f>HYPERLINK("https://www.suredividend.com/sure-analysis-YORW/","York Water Co.")</f>
        <v>0</v>
      </c>
      <c r="C3163" t="s">
        <v>3227</v>
      </c>
      <c r="D3163">
        <v>41.52</v>
      </c>
      <c r="E3163">
        <v>0.01878612716763006</v>
      </c>
      <c r="F3163">
        <v>0.04002134471718244</v>
      </c>
      <c r="G3163">
        <v>0.03999168130474251</v>
      </c>
      <c r="H3163">
        <v>0.7597618081748541</v>
      </c>
      <c r="I3163">
        <v>591.173303</v>
      </c>
      <c r="J3163">
        <v>34.8076603014602</v>
      </c>
      <c r="K3163">
        <v>0.5844321601345031</v>
      </c>
      <c r="L3163">
        <v>0.381230799726212</v>
      </c>
      <c r="M3163">
        <v>53.09</v>
      </c>
      <c r="N3163">
        <v>41.4</v>
      </c>
    </row>
    <row r="3164" spans="1:14">
      <c r="A3164" s="1" t="s">
        <v>3176</v>
      </c>
      <c r="B3164">
        <f>HYPERLINK("https://www.suredividend.com/sure-analysis-research-database/","Yield10 Bioscience Inc")</f>
        <v>0</v>
      </c>
      <c r="C3164" t="s">
        <v>3218</v>
      </c>
      <c r="D3164">
        <v>3.75</v>
      </c>
      <c r="E3164">
        <v>0</v>
      </c>
      <c r="H3164">
        <v>0</v>
      </c>
      <c r="I3164">
        <v>18.350261</v>
      </c>
      <c r="J3164" t="s">
        <v>3219</v>
      </c>
      <c r="K3164">
        <v>-0</v>
      </c>
      <c r="L3164">
        <v>1.152088728756884</v>
      </c>
      <c r="M3164">
        <v>10.89</v>
      </c>
      <c r="N3164">
        <v>3.25</v>
      </c>
    </row>
    <row r="3165" spans="1:14">
      <c r="A3165" s="1" t="s">
        <v>3177</v>
      </c>
      <c r="B3165">
        <f>HYPERLINK("https://www.suredividend.com/sure-analysis-YUM/","Yum Brands Inc.")</f>
        <v>0</v>
      </c>
      <c r="C3165" t="s">
        <v>3223</v>
      </c>
      <c r="D3165">
        <v>122.97</v>
      </c>
      <c r="E3165">
        <v>0.01854110758721639</v>
      </c>
      <c r="H3165">
        <v>2.057293292981678</v>
      </c>
      <c r="I3165">
        <v>35439.954</v>
      </c>
      <c r="J3165">
        <v>22.5015580952381</v>
      </c>
      <c r="K3165">
        <v>0.3941174890769498</v>
      </c>
      <c r="L3165">
        <v>0.7477011147147751</v>
      </c>
      <c r="M3165">
        <v>139.2</v>
      </c>
      <c r="N3165">
        <v>110.78</v>
      </c>
    </row>
    <row r="3166" spans="1:14">
      <c r="A3166" s="1" t="s">
        <v>3178</v>
      </c>
      <c r="B3166">
        <f>HYPERLINK("https://www.suredividend.com/sure-analysis-research-database/","Zillow Group Inc")</f>
        <v>0</v>
      </c>
      <c r="C3166" t="s">
        <v>3228</v>
      </c>
      <c r="D3166">
        <v>48.41</v>
      </c>
      <c r="E3166">
        <v>0</v>
      </c>
      <c r="H3166">
        <v>0</v>
      </c>
      <c r="I3166">
        <v>11725.768019</v>
      </c>
      <c r="J3166">
        <v>0</v>
      </c>
      <c r="K3166" t="s">
        <v>3219</v>
      </c>
      <c r="L3166">
        <v>1.321672848611546</v>
      </c>
      <c r="M3166">
        <v>142.8</v>
      </c>
      <c r="N3166">
        <v>44.8</v>
      </c>
    </row>
    <row r="3167" spans="1:14">
      <c r="A3167" s="1" t="s">
        <v>3179</v>
      </c>
      <c r="B3167">
        <f>HYPERLINK("https://www.suredividend.com/sure-analysis-research-database/","Zagg Inc")</f>
        <v>0</v>
      </c>
      <c r="C3167" t="s">
        <v>3223</v>
      </c>
      <c r="D3167">
        <v>4.29</v>
      </c>
      <c r="E3167">
        <v>0</v>
      </c>
      <c r="H3167">
        <v>0</v>
      </c>
      <c r="I3167">
        <v>0</v>
      </c>
      <c r="J3167">
        <v>0</v>
      </c>
      <c r="K3167">
        <v>-0</v>
      </c>
    </row>
    <row r="3168" spans="1:14">
      <c r="A3168" s="1" t="s">
        <v>3180</v>
      </c>
      <c r="B3168">
        <f>HYPERLINK("https://www.suredividend.com/sure-analysis-research-database/","Zimmer Biomet Holdings Inc")</f>
        <v>0</v>
      </c>
      <c r="C3168" t="s">
        <v>3217</v>
      </c>
      <c r="D3168">
        <v>126</v>
      </c>
      <c r="E3168">
        <v>0.007605076748656001</v>
      </c>
      <c r="F3168">
        <v>0</v>
      </c>
      <c r="G3168">
        <v>0</v>
      </c>
      <c r="H3168">
        <v>0.958239670330676</v>
      </c>
      <c r="I3168">
        <v>26374.573008</v>
      </c>
      <c r="J3168">
        <v>65.67373756972111</v>
      </c>
      <c r="K3168">
        <v>0.5016961624767937</v>
      </c>
      <c r="L3168">
        <v>0.7668115153778141</v>
      </c>
      <c r="M3168">
        <v>179.47</v>
      </c>
      <c r="N3168">
        <v>108.26</v>
      </c>
    </row>
    <row r="3169" spans="1:14">
      <c r="A3169" s="1" t="s">
        <v>3181</v>
      </c>
      <c r="B3169">
        <f>HYPERLINK("https://www.suredividend.com/sure-analysis-research-database/","Zebra Technologies Corp.")</f>
        <v>0</v>
      </c>
      <c r="C3169" t="s">
        <v>3222</v>
      </c>
      <c r="D3169">
        <v>393.68</v>
      </c>
      <c r="E3169">
        <v>0</v>
      </c>
      <c r="H3169">
        <v>0</v>
      </c>
      <c r="I3169">
        <v>20790.324654</v>
      </c>
      <c r="J3169">
        <v>24.8390975553644</v>
      </c>
      <c r="K3169">
        <v>0</v>
      </c>
      <c r="L3169">
        <v>1.500885029830122</v>
      </c>
      <c r="M3169">
        <v>615</v>
      </c>
      <c r="N3169">
        <v>375.63</v>
      </c>
    </row>
    <row r="3170" spans="1:14">
      <c r="A3170" s="1" t="s">
        <v>3182</v>
      </c>
      <c r="B3170">
        <f>HYPERLINK("https://www.suredividend.com/sure-analysis-research-database/","Zedge Inc")</f>
        <v>0</v>
      </c>
      <c r="C3170" t="s">
        <v>3222</v>
      </c>
      <c r="D3170">
        <v>6.15</v>
      </c>
      <c r="E3170">
        <v>0</v>
      </c>
      <c r="H3170">
        <v>0</v>
      </c>
      <c r="I3170">
        <v>85.33294100000001</v>
      </c>
      <c r="J3170">
        <v>0</v>
      </c>
      <c r="K3170" t="s">
        <v>3219</v>
      </c>
      <c r="L3170">
        <v>1.572773951610069</v>
      </c>
      <c r="M3170">
        <v>19.9</v>
      </c>
      <c r="N3170">
        <v>4.99</v>
      </c>
    </row>
    <row r="3171" spans="1:14">
      <c r="A3171" s="1" t="s">
        <v>3183</v>
      </c>
      <c r="B3171">
        <f>HYPERLINK("https://www.suredividend.com/sure-analysis-research-database/","Zendesk Inc")</f>
        <v>0</v>
      </c>
      <c r="C3171" t="s">
        <v>3222</v>
      </c>
      <c r="D3171">
        <v>125.17</v>
      </c>
      <c r="E3171">
        <v>0</v>
      </c>
      <c r="H3171">
        <v>0</v>
      </c>
      <c r="I3171">
        <v>15254.232831</v>
      </c>
      <c r="J3171" t="s">
        <v>3219</v>
      </c>
      <c r="K3171">
        <v>-0</v>
      </c>
      <c r="L3171">
        <v>0.8464878578518</v>
      </c>
      <c r="M3171">
        <v>155.62</v>
      </c>
      <c r="N3171">
        <v>87.90000000000001</v>
      </c>
    </row>
    <row r="3172" spans="1:14">
      <c r="A3172" s="1" t="s">
        <v>3184</v>
      </c>
      <c r="B3172">
        <f>HYPERLINK("https://www.suredividend.com/sure-analysis-research-database/","Olympic Steel Inc.")</f>
        <v>0</v>
      </c>
      <c r="C3172" t="s">
        <v>3218</v>
      </c>
      <c r="D3172">
        <v>39.41</v>
      </c>
      <c r="E3172">
        <v>0.003799906024994</v>
      </c>
      <c r="F3172">
        <v>3.5</v>
      </c>
      <c r="G3172">
        <v>0.3509600385206135</v>
      </c>
      <c r="H3172">
        <v>0.149754296445043</v>
      </c>
      <c r="I3172">
        <v>438.385017</v>
      </c>
      <c r="J3172">
        <v>3.621490256173018</v>
      </c>
      <c r="K3172">
        <v>0.0142351992818482</v>
      </c>
      <c r="L3172">
        <v>1.254705618078568</v>
      </c>
      <c r="M3172">
        <v>40.31</v>
      </c>
      <c r="N3172">
        <v>19.86</v>
      </c>
    </row>
    <row r="3173" spans="1:14">
      <c r="A3173" s="1" t="s">
        <v>3185</v>
      </c>
      <c r="B3173">
        <f>HYPERLINK("https://www.suredividend.com/sure-analysis-research-database/","Zillow Group Inc")</f>
        <v>0</v>
      </c>
      <c r="C3173" t="s">
        <v>3228</v>
      </c>
      <c r="D3173">
        <v>46.65</v>
      </c>
      <c r="E3173">
        <v>0</v>
      </c>
      <c r="H3173">
        <v>0</v>
      </c>
      <c r="I3173">
        <v>11725.768019</v>
      </c>
      <c r="J3173" t="s">
        <v>3219</v>
      </c>
      <c r="K3173">
        <v>-0</v>
      </c>
      <c r="L3173">
        <v>1.385844159376769</v>
      </c>
      <c r="M3173">
        <v>144.84</v>
      </c>
      <c r="N3173">
        <v>44.08</v>
      </c>
    </row>
    <row r="3174" spans="1:14">
      <c r="A3174" s="1" t="s">
        <v>3186</v>
      </c>
      <c r="B3174">
        <f>HYPERLINK("https://www.suredividend.com/sure-analysis-research-database/","Zogenix Inc")</f>
        <v>0</v>
      </c>
      <c r="C3174" t="s">
        <v>3217</v>
      </c>
      <c r="D3174">
        <v>26.68</v>
      </c>
      <c r="E3174">
        <v>0</v>
      </c>
      <c r="H3174">
        <v>0</v>
      </c>
      <c r="I3174">
        <v>0</v>
      </c>
      <c r="J3174">
        <v>0</v>
      </c>
      <c r="K3174">
        <v>-0</v>
      </c>
    </row>
    <row r="3175" spans="1:14">
      <c r="A3175" s="1" t="s">
        <v>3187</v>
      </c>
      <c r="B3175">
        <f>HYPERLINK("https://www.suredividend.com/sure-analysis-research-database/","Zions Bancorporation N.A")</f>
        <v>0</v>
      </c>
      <c r="C3175" t="s">
        <v>3221</v>
      </c>
      <c r="D3175">
        <v>62.92</v>
      </c>
      <c r="E3175">
        <v>0.023329630582959</v>
      </c>
      <c r="H3175">
        <v>1.467900356279798</v>
      </c>
      <c r="I3175">
        <v>9557.202066</v>
      </c>
      <c r="J3175">
        <v>5.827562235268292</v>
      </c>
      <c r="K3175">
        <v>0.143349644167949</v>
      </c>
      <c r="L3175">
        <v>1.238762634370113</v>
      </c>
      <c r="M3175">
        <v>75.05</v>
      </c>
      <c r="N3175">
        <v>46.23</v>
      </c>
    </row>
    <row r="3176" spans="1:14">
      <c r="A3176" s="1" t="s">
        <v>3188</v>
      </c>
      <c r="B3176">
        <f>HYPERLINK("https://www.suredividend.com/sure-analysis-research-database/","Alaunos Therapeutics Inc")</f>
        <v>0</v>
      </c>
      <c r="C3176" t="s">
        <v>3217</v>
      </c>
      <c r="D3176">
        <v>0.8657</v>
      </c>
      <c r="E3176">
        <v>0</v>
      </c>
      <c r="H3176">
        <v>0</v>
      </c>
      <c r="I3176">
        <v>187.117442</v>
      </c>
      <c r="J3176">
        <v>0</v>
      </c>
      <c r="K3176" t="s">
        <v>3219</v>
      </c>
      <c r="L3176">
        <v>1.739209741207491</v>
      </c>
      <c r="M3176">
        <v>5.95</v>
      </c>
      <c r="N3176">
        <v>0.7703</v>
      </c>
    </row>
    <row r="3177" spans="1:14">
      <c r="A3177" s="1" t="s">
        <v>3189</v>
      </c>
      <c r="B3177">
        <f>HYPERLINK("https://www.suredividend.com/sure-analysis-research-database/","Zix Corp.")</f>
        <v>0</v>
      </c>
      <c r="C3177" t="s">
        <v>3222</v>
      </c>
      <c r="D3177">
        <v>8.484999999999999</v>
      </c>
      <c r="E3177">
        <v>0</v>
      </c>
      <c r="H3177">
        <v>0</v>
      </c>
      <c r="I3177">
        <v>0</v>
      </c>
      <c r="J3177">
        <v>0</v>
      </c>
      <c r="K3177">
        <v>-0</v>
      </c>
    </row>
    <row r="3178" spans="1:14">
      <c r="A3178" s="1" t="s">
        <v>3190</v>
      </c>
      <c r="B3178">
        <f>HYPERLINK("https://www.suredividend.com/sure-analysis-research-database/","Zoom Video Communications Inc")</f>
        <v>0</v>
      </c>
      <c r="C3178" t="s">
        <v>3228</v>
      </c>
      <c r="D3178">
        <v>110.31</v>
      </c>
      <c r="E3178">
        <v>0</v>
      </c>
      <c r="H3178">
        <v>0</v>
      </c>
      <c r="I3178">
        <v>31549.433052</v>
      </c>
      <c r="J3178">
        <v>22.94409108311873</v>
      </c>
      <c r="K3178">
        <v>0</v>
      </c>
      <c r="L3178">
        <v>1.343081772141665</v>
      </c>
      <c r="M3178">
        <v>406.48</v>
      </c>
      <c r="N3178">
        <v>94.51000000000001</v>
      </c>
    </row>
    <row r="3179" spans="1:14">
      <c r="A3179" s="1" t="s">
        <v>3191</v>
      </c>
      <c r="B3179">
        <f>HYPERLINK("https://www.suredividend.com/sure-analysis-research-database/","Zynga Inc")</f>
        <v>0</v>
      </c>
      <c r="C3179" t="s">
        <v>3228</v>
      </c>
      <c r="D3179">
        <v>8.94</v>
      </c>
      <c r="E3179">
        <v>0</v>
      </c>
      <c r="H3179">
        <v>0</v>
      </c>
      <c r="I3179">
        <v>10167.251543</v>
      </c>
      <c r="J3179" t="s">
        <v>3219</v>
      </c>
      <c r="K3179">
        <v>-0</v>
      </c>
      <c r="L3179">
        <v>0.5206875171673391</v>
      </c>
      <c r="M3179">
        <v>11.37</v>
      </c>
      <c r="N3179">
        <v>5.57</v>
      </c>
    </row>
    <row r="3180" spans="1:14">
      <c r="A3180" s="1" t="s">
        <v>3192</v>
      </c>
      <c r="B3180">
        <f>HYPERLINK("https://www.suredividend.com/sure-analysis-research-database/","Zscaler Inc")</f>
        <v>0</v>
      </c>
      <c r="C3180" t="s">
        <v>3222</v>
      </c>
      <c r="D3180">
        <v>230.84</v>
      </c>
      <c r="E3180">
        <v>0</v>
      </c>
      <c r="H3180">
        <v>0</v>
      </c>
      <c r="I3180">
        <v>32568.138962</v>
      </c>
      <c r="J3180" t="s">
        <v>3219</v>
      </c>
      <c r="K3180">
        <v>-0</v>
      </c>
      <c r="L3180">
        <v>1.712874069033392</v>
      </c>
      <c r="M3180">
        <v>376.11</v>
      </c>
      <c r="N3180">
        <v>157.03</v>
      </c>
    </row>
    <row r="3181" spans="1:14">
      <c r="A3181" s="1" t="s">
        <v>3193</v>
      </c>
      <c r="B3181">
        <f>HYPERLINK("https://www.suredividend.com/sure-analysis-research-database/","Zosano Pharma Corp")</f>
        <v>0</v>
      </c>
      <c r="C3181" t="s">
        <v>3217</v>
      </c>
      <c r="D3181">
        <v>2.93</v>
      </c>
      <c r="E3181">
        <v>0</v>
      </c>
      <c r="H3181">
        <v>0</v>
      </c>
      <c r="I3181">
        <v>502.365532</v>
      </c>
      <c r="J3181">
        <v>0</v>
      </c>
      <c r="K3181" t="s">
        <v>3219</v>
      </c>
      <c r="L3181">
        <v>1.842415390214617</v>
      </c>
      <c r="M3181">
        <v>37.45</v>
      </c>
      <c r="N3181">
        <v>2.9</v>
      </c>
    </row>
    <row r="3182" spans="1:14">
      <c r="A3182" s="1" t="s">
        <v>3194</v>
      </c>
      <c r="B3182">
        <f>HYPERLINK("https://www.suredividend.com/sure-analysis-ZTS/","Zoetis Inc")</f>
        <v>0</v>
      </c>
      <c r="C3182" t="s">
        <v>3217</v>
      </c>
      <c r="D3182">
        <v>187.3</v>
      </c>
      <c r="E3182">
        <v>0.006940736785904966</v>
      </c>
      <c r="H3182">
        <v>1.072886826831649</v>
      </c>
      <c r="I3182">
        <v>88368.13101</v>
      </c>
      <c r="J3182">
        <v>43.38150761394208</v>
      </c>
      <c r="K3182">
        <v>0.2512615519512059</v>
      </c>
      <c r="L3182">
        <v>0.8718914083583611</v>
      </c>
      <c r="M3182">
        <v>248.87</v>
      </c>
      <c r="N3182">
        <v>164.55</v>
      </c>
    </row>
    <row r="3183" spans="1:14">
      <c r="A3183" s="1" t="s">
        <v>3195</v>
      </c>
      <c r="B3183">
        <f>HYPERLINK("https://www.suredividend.com/sure-analysis-research-database/","Zumiez Inc")</f>
        <v>0</v>
      </c>
      <c r="C3183" t="s">
        <v>3223</v>
      </c>
      <c r="D3183">
        <v>39.39</v>
      </c>
      <c r="E3183">
        <v>0</v>
      </c>
      <c r="H3183">
        <v>0</v>
      </c>
      <c r="I3183">
        <v>784.73857</v>
      </c>
      <c r="J3183">
        <v>6.578465489776929</v>
      </c>
      <c r="K3183">
        <v>0</v>
      </c>
      <c r="L3183">
        <v>1.696214478817598</v>
      </c>
      <c r="M3183">
        <v>55.1</v>
      </c>
      <c r="N3183">
        <v>35.32</v>
      </c>
    </row>
    <row r="3184" spans="1:14">
      <c r="A3184" s="1" t="s">
        <v>3196</v>
      </c>
      <c r="B3184">
        <f>HYPERLINK("https://www.suredividend.com/sure-analysis-research-database/","Zuora Inc")</f>
        <v>0</v>
      </c>
      <c r="C3184" t="s">
        <v>3222</v>
      </c>
      <c r="D3184">
        <v>13.59</v>
      </c>
      <c r="E3184">
        <v>0</v>
      </c>
      <c r="H3184">
        <v>0</v>
      </c>
      <c r="I3184">
        <v>1617.21</v>
      </c>
      <c r="J3184">
        <v>0</v>
      </c>
      <c r="K3184" t="s">
        <v>3219</v>
      </c>
      <c r="L3184">
        <v>1.752105212449015</v>
      </c>
      <c r="M3184">
        <v>23.25</v>
      </c>
      <c r="N3184">
        <v>12.32</v>
      </c>
    </row>
    <row r="3185" spans="1:14">
      <c r="A3185" s="1" t="s">
        <v>3197</v>
      </c>
      <c r="B3185">
        <f>HYPERLINK("https://www.suredividend.com/sure-analysis-research-database/","Zovio Inc")</f>
        <v>0</v>
      </c>
      <c r="C3185" t="s">
        <v>3225</v>
      </c>
      <c r="D3185">
        <v>0.7000000000000001</v>
      </c>
      <c r="E3185">
        <v>0</v>
      </c>
      <c r="H3185">
        <v>0</v>
      </c>
      <c r="I3185">
        <v>23.421787</v>
      </c>
      <c r="J3185">
        <v>0</v>
      </c>
      <c r="K3185" t="s">
        <v>3219</v>
      </c>
      <c r="L3185">
        <v>0.478607159929781</v>
      </c>
      <c r="M3185">
        <v>4.05</v>
      </c>
      <c r="N3185">
        <v>0.6583</v>
      </c>
    </row>
    <row r="3186" spans="1:14">
      <c r="A3186" s="1" t="s">
        <v>3198</v>
      </c>
      <c r="B3186">
        <f>HYPERLINK("https://www.suredividend.com/sure-analysis-research-database/","Zynerba Pharmaceuticals Inc")</f>
        <v>0</v>
      </c>
      <c r="C3186" t="s">
        <v>3217</v>
      </c>
      <c r="D3186">
        <v>1.71</v>
      </c>
      <c r="E3186">
        <v>0</v>
      </c>
      <c r="H3186">
        <v>0</v>
      </c>
      <c r="I3186">
        <v>72.584433</v>
      </c>
      <c r="J3186">
        <v>0</v>
      </c>
      <c r="K3186" t="s">
        <v>3219</v>
      </c>
      <c r="L3186">
        <v>1.306099153709709</v>
      </c>
      <c r="M3186">
        <v>6.07</v>
      </c>
      <c r="N3186">
        <v>1.71</v>
      </c>
    </row>
    <row r="3187" spans="1:14">
      <c r="A3187" s="1" t="s">
        <v>3199</v>
      </c>
      <c r="B3187">
        <f>HYPERLINK("https://www.suredividend.com/sure-analysis-research-database/","Zynex Inc")</f>
        <v>0</v>
      </c>
      <c r="C3187" t="s">
        <v>3217</v>
      </c>
      <c r="D3187">
        <v>7.13</v>
      </c>
      <c r="E3187">
        <v>0</v>
      </c>
      <c r="H3187">
        <v>0</v>
      </c>
      <c r="I3187">
        <v>283.660405</v>
      </c>
      <c r="J3187">
        <v>0</v>
      </c>
      <c r="K3187" t="s">
        <v>3219</v>
      </c>
      <c r="L3187">
        <v>0.81833925354001</v>
      </c>
      <c r="M3187">
        <v>16.1</v>
      </c>
      <c r="N3187">
        <v>4.97</v>
      </c>
    </row>
    <row r="3188" spans="1:14">
      <c r="A3188" s="1" t="s">
        <v>3200</v>
      </c>
      <c r="B3188">
        <f>HYPERLINK("https://www.suredividend.com/sure-analysis-research-database/","Truecar Inc")</f>
        <v>0</v>
      </c>
      <c r="C3188" t="s">
        <v>3228</v>
      </c>
      <c r="D3188">
        <v>3.86</v>
      </c>
      <c r="E3188">
        <v>0</v>
      </c>
      <c r="H3188">
        <v>0</v>
      </c>
      <c r="I3188">
        <v>361.245801</v>
      </c>
      <c r="J3188" t="s">
        <v>3219</v>
      </c>
      <c r="K3188">
        <v>-0</v>
      </c>
      <c r="L3188">
        <v>1.090611432000515</v>
      </c>
      <c r="M3188">
        <v>6.22</v>
      </c>
      <c r="N3188">
        <v>3</v>
      </c>
    </row>
    <row r="3189" spans="1:14">
      <c r="A3189" s="1" t="s">
        <v>3201</v>
      </c>
      <c r="B3189">
        <f>HYPERLINK("https://www.suredividend.com/sure-analysis-BRMK/","Broadmark Realty Capital Inc")</f>
        <v>0</v>
      </c>
      <c r="C3189" t="s">
        <v>3224</v>
      </c>
      <c r="D3189">
        <v>8.52</v>
      </c>
      <c r="E3189">
        <v>0.09859154929577466</v>
      </c>
      <c r="F3189">
        <v>0</v>
      </c>
      <c r="G3189">
        <v>0.03131030647754507</v>
      </c>
      <c r="H3189">
        <v>0.8066492544704671</v>
      </c>
      <c r="I3189">
        <v>1131.328899</v>
      </c>
      <c r="J3189">
        <v>0</v>
      </c>
      <c r="K3189" t="s">
        <v>3219</v>
      </c>
      <c r="L3189">
        <v>0.6667329221217431</v>
      </c>
      <c r="M3189">
        <v>10.33</v>
      </c>
      <c r="N3189">
        <v>7.8</v>
      </c>
    </row>
    <row r="3190" spans="1:14">
      <c r="A3190" s="1" t="s">
        <v>3202</v>
      </c>
      <c r="B3190">
        <f>HYPERLINK("https://www.suredividend.com/sure-analysis-CRT/","Cross Timbers Royalty Trust")</f>
        <v>0</v>
      </c>
      <c r="C3190" t="s">
        <v>3226</v>
      </c>
      <c r="D3190">
        <v>13.75</v>
      </c>
      <c r="E3190">
        <v>0.08</v>
      </c>
      <c r="F3190">
        <v>-0.2577808219178082</v>
      </c>
      <c r="G3190">
        <v>0.1087845834441687</v>
      </c>
      <c r="H3190">
        <v>1.170387974128546</v>
      </c>
      <c r="I3190">
        <v>82.5</v>
      </c>
      <c r="J3190">
        <v>0</v>
      </c>
      <c r="K3190" t="s">
        <v>3219</v>
      </c>
      <c r="L3190">
        <v>0.3443020256486301</v>
      </c>
      <c r="M3190">
        <v>17.45</v>
      </c>
      <c r="N3190">
        <v>7.82</v>
      </c>
    </row>
    <row r="3191" spans="1:14">
      <c r="A3191" s="1" t="s">
        <v>3203</v>
      </c>
      <c r="B3191">
        <f>HYPERLINK("https://www.suredividend.com/sure-analysis-DREUF/","Dream Industrial Real Estate Investment Trust")</f>
        <v>0</v>
      </c>
      <c r="C3191" t="s">
        <v>3221</v>
      </c>
      <c r="D3191">
        <v>12.5</v>
      </c>
      <c r="E3191">
        <v>0.044</v>
      </c>
      <c r="F3191">
        <v>0</v>
      </c>
      <c r="G3191">
        <v>0</v>
      </c>
      <c r="H3191">
        <v>0.6999599933624261</v>
      </c>
      <c r="I3191">
        <v>3138.453788</v>
      </c>
      <c r="J3191">
        <v>0</v>
      </c>
      <c r="K3191" t="s">
        <v>3219</v>
      </c>
      <c r="M3191">
        <v>14.58</v>
      </c>
      <c r="N3191">
        <v>10.8</v>
      </c>
    </row>
    <row r="3192" spans="1:14">
      <c r="A3192" s="1" t="s">
        <v>3204</v>
      </c>
      <c r="B3192">
        <f>HYPERLINK("https://www.suredividend.com/sure-analysis-GAIN/","Gladstone Investment Corporation")</f>
        <v>0</v>
      </c>
      <c r="C3192" t="s">
        <v>3221</v>
      </c>
      <c r="D3192">
        <v>16.17</v>
      </c>
      <c r="E3192">
        <v>0.05565862708719851</v>
      </c>
      <c r="F3192">
        <v>0</v>
      </c>
      <c r="G3192">
        <v>0.01389421401466451</v>
      </c>
      <c r="H3192">
        <v>0.838866836322342</v>
      </c>
      <c r="I3192">
        <v>536.925222</v>
      </c>
      <c r="J3192">
        <v>0</v>
      </c>
      <c r="K3192" t="s">
        <v>3219</v>
      </c>
      <c r="L3192">
        <v>0.6956009466817701</v>
      </c>
      <c r="M3192">
        <v>16.79</v>
      </c>
      <c r="N3192">
        <v>11.63</v>
      </c>
    </row>
    <row r="3193" spans="1:14">
      <c r="A3193" s="1" t="s">
        <v>3205</v>
      </c>
      <c r="B3193">
        <f>HYPERLINK("https://www.suredividend.com/sure-analysis-GLAD/","Gladstone Capital Corp.")</f>
        <v>0</v>
      </c>
      <c r="C3193" t="s">
        <v>3221</v>
      </c>
      <c r="D3193">
        <v>12.21</v>
      </c>
      <c r="E3193">
        <v>0.06388206388206388</v>
      </c>
      <c r="F3193">
        <v>0</v>
      </c>
      <c r="G3193">
        <v>0</v>
      </c>
      <c r="H3193">
        <v>0.7563074958544581</v>
      </c>
      <c r="I3193">
        <v>418.85637</v>
      </c>
      <c r="J3193">
        <v>0</v>
      </c>
      <c r="K3193" t="s">
        <v>3219</v>
      </c>
      <c r="L3193">
        <v>0.6047327067299541</v>
      </c>
      <c r="M3193">
        <v>12.27</v>
      </c>
      <c r="N3193">
        <v>9.44</v>
      </c>
    </row>
    <row r="3194" spans="1:14">
      <c r="A3194" s="1" t="s">
        <v>3206</v>
      </c>
      <c r="B3194">
        <f>HYPERLINK("https://www.suredividend.com/sure-analysis-research-database/","Harvest Capital Credit Corp")</f>
        <v>0</v>
      </c>
      <c r="C3194" t="s">
        <v>3221</v>
      </c>
      <c r="D3194">
        <v>9.66</v>
      </c>
      <c r="E3194">
        <v>0</v>
      </c>
      <c r="F3194">
        <v>1.75</v>
      </c>
      <c r="G3194">
        <v>0.1828776201941695</v>
      </c>
      <c r="H3194">
        <v>0</v>
      </c>
      <c r="I3194">
        <v>0</v>
      </c>
      <c r="J3194">
        <v>0</v>
      </c>
      <c r="K3194" t="s">
        <v>3219</v>
      </c>
    </row>
    <row r="3195" spans="1:14">
      <c r="A3195" s="1" t="s">
        <v>3207</v>
      </c>
      <c r="B3195">
        <f>HYPERLINK("https://www.suredividend.com/sure-analysis-HRZN/","Horizon Technology Finance Corp")</f>
        <v>0</v>
      </c>
      <c r="C3195" t="s">
        <v>3221</v>
      </c>
      <c r="D3195">
        <v>14.19</v>
      </c>
      <c r="E3195">
        <v>0.08456659619450317</v>
      </c>
      <c r="F3195">
        <v>1</v>
      </c>
      <c r="G3195">
        <v>0</v>
      </c>
      <c r="H3195">
        <v>1.160377911738156</v>
      </c>
      <c r="I3195">
        <v>304.7122</v>
      </c>
      <c r="J3195">
        <v>0</v>
      </c>
      <c r="K3195" t="s">
        <v>3219</v>
      </c>
      <c r="L3195">
        <v>0.8027891835275101</v>
      </c>
      <c r="M3195">
        <v>18.5</v>
      </c>
      <c r="N3195">
        <v>13.11</v>
      </c>
    </row>
    <row r="3196" spans="1:14">
      <c r="A3196" s="1" t="s">
        <v>3208</v>
      </c>
      <c r="B3196">
        <f>HYPERLINK("https://www.suredividend.com/sure-analysis-MAIN/","Main Street Capital Corporation")</f>
        <v>0</v>
      </c>
      <c r="C3196" t="s">
        <v>3221</v>
      </c>
      <c r="D3196">
        <v>41.7</v>
      </c>
      <c r="E3196">
        <v>0.0618705035971223</v>
      </c>
      <c r="F3196">
        <v>0</v>
      </c>
      <c r="G3196">
        <v>0.009571122817161548</v>
      </c>
      <c r="H3196">
        <v>2.441828741743764</v>
      </c>
      <c r="I3196">
        <v>2989.574998</v>
      </c>
      <c r="J3196">
        <v>9.038447579226151</v>
      </c>
      <c r="K3196">
        <v>0.5087143211966175</v>
      </c>
      <c r="L3196">
        <v>0.7484229266040661</v>
      </c>
      <c r="M3196">
        <v>45.81</v>
      </c>
      <c r="N3196">
        <v>35.78</v>
      </c>
    </row>
    <row r="3197" spans="1:14">
      <c r="A3197" s="1" t="s">
        <v>3209</v>
      </c>
      <c r="B3197">
        <f>HYPERLINK("https://www.suredividend.com/sure-analysis-OXSQ/","Oxford Square Capital Corp")</f>
        <v>0</v>
      </c>
      <c r="C3197" t="s">
        <v>3221</v>
      </c>
      <c r="D3197">
        <v>4.045</v>
      </c>
      <c r="E3197">
        <v>0.103831891223733</v>
      </c>
      <c r="F3197">
        <v>0</v>
      </c>
      <c r="G3197">
        <v>0</v>
      </c>
      <c r="H3197">
        <v>0.401425263775204</v>
      </c>
      <c r="I3197">
        <v>201.080538</v>
      </c>
      <c r="J3197">
        <v>5.079756046934718</v>
      </c>
      <c r="K3197">
        <v>0.5032283612576207</v>
      </c>
      <c r="L3197">
        <v>0.496997391164639</v>
      </c>
      <c r="M3197">
        <v>4.74</v>
      </c>
      <c r="N3197">
        <v>3.59</v>
      </c>
    </row>
    <row r="3198" spans="1:14">
      <c r="A3198" s="1" t="s">
        <v>3210</v>
      </c>
      <c r="B3198">
        <f>HYPERLINK("https://www.suredividend.com/sure-analysis-PBA/","Pembina Pipeline Corporation")</f>
        <v>0</v>
      </c>
      <c r="C3198" t="s">
        <v>3226</v>
      </c>
      <c r="D3198">
        <v>39.72</v>
      </c>
      <c r="E3198">
        <v>0.05035246727089628</v>
      </c>
      <c r="F3198">
        <v>0</v>
      </c>
      <c r="G3198">
        <v>0</v>
      </c>
      <c r="H3198">
        <v>2.450511384617529</v>
      </c>
      <c r="I3198">
        <v>21860.378839</v>
      </c>
      <c r="J3198">
        <v>0</v>
      </c>
      <c r="K3198" t="s">
        <v>3219</v>
      </c>
      <c r="L3198">
        <v>0.47961765905901</v>
      </c>
      <c r="M3198">
        <v>40.08</v>
      </c>
      <c r="N3198">
        <v>27.47</v>
      </c>
    </row>
    <row r="3199" spans="1:14">
      <c r="A3199" s="1" t="s">
        <v>3211</v>
      </c>
      <c r="B3199">
        <f>HYPERLINK("https://www.suredividend.com/sure-analysis-PBT/","Permian Basin Royalty Trust")</f>
        <v>0</v>
      </c>
      <c r="C3199" t="s">
        <v>3226</v>
      </c>
      <c r="D3199">
        <v>12.87</v>
      </c>
      <c r="E3199">
        <v>0.03108003108003108</v>
      </c>
      <c r="F3199">
        <v>-0.1418741954099525</v>
      </c>
      <c r="G3199">
        <v>0.2765723147398291</v>
      </c>
      <c r="H3199">
        <v>0.267075033658871</v>
      </c>
      <c r="I3199">
        <v>599.855205</v>
      </c>
      <c r="J3199">
        <v>0</v>
      </c>
      <c r="K3199" t="s">
        <v>3219</v>
      </c>
      <c r="L3199">
        <v>0.674212496988104</v>
      </c>
      <c r="M3199">
        <v>14.67</v>
      </c>
      <c r="N3199">
        <v>3.58</v>
      </c>
    </row>
    <row r="3200" spans="1:14">
      <c r="A3200" s="1" t="s">
        <v>3212</v>
      </c>
      <c r="B3200">
        <f>HYPERLINK("https://www.suredividend.com/sure-analysis-PFLT/","PennantPark Floating Rate Capital Ltd")</f>
        <v>0</v>
      </c>
      <c r="C3200" t="s">
        <v>3221</v>
      </c>
      <c r="D3200">
        <v>13.89</v>
      </c>
      <c r="E3200">
        <v>0.08207343412526996</v>
      </c>
      <c r="F3200">
        <v>0</v>
      </c>
      <c r="G3200">
        <v>0</v>
      </c>
      <c r="H3200">
        <v>0.09499999880790701</v>
      </c>
      <c r="I3200">
        <v>543.804529</v>
      </c>
      <c r="J3200">
        <v>0</v>
      </c>
      <c r="K3200" t="s">
        <v>3219</v>
      </c>
      <c r="M3200">
        <v>14.07</v>
      </c>
      <c r="N3200">
        <v>10.77</v>
      </c>
    </row>
    <row r="3201" spans="1:14">
      <c r="A3201" s="1" t="s">
        <v>3213</v>
      </c>
      <c r="B3201">
        <f>HYPERLINK("https://www.suredividend.com/sure-analysis-PRT/","PermRock Royalty Trust")</f>
        <v>0</v>
      </c>
      <c r="C3201" t="s">
        <v>3226</v>
      </c>
      <c r="D3201">
        <v>9.23</v>
      </c>
      <c r="E3201">
        <v>0.09209100758396532</v>
      </c>
      <c r="H3201">
        <v>0.697628580978358</v>
      </c>
      <c r="I3201">
        <v>112.289706</v>
      </c>
      <c r="J3201">
        <v>0</v>
      </c>
      <c r="K3201" t="s">
        <v>3219</v>
      </c>
      <c r="L3201">
        <v>0.263142748435426</v>
      </c>
      <c r="M3201">
        <v>10.8</v>
      </c>
      <c r="N3201">
        <v>4.75</v>
      </c>
    </row>
    <row r="3202" spans="1:14">
      <c r="A3202" s="1" t="s">
        <v>3214</v>
      </c>
      <c r="B3202">
        <f>HYPERLINK("https://www.suredividend.com/sure-analysis-PSEC/","Prospect Capital Corp")</f>
        <v>0</v>
      </c>
      <c r="C3202" t="s">
        <v>3221</v>
      </c>
      <c r="D3202">
        <v>8.289999999999999</v>
      </c>
      <c r="E3202">
        <v>0.08685162846803378</v>
      </c>
      <c r="F3202">
        <v>0</v>
      </c>
      <c r="G3202">
        <v>0</v>
      </c>
      <c r="H3202">
        <v>0.6923496070000851</v>
      </c>
      <c r="I3202">
        <v>3244.064478</v>
      </c>
      <c r="J3202">
        <v>0</v>
      </c>
      <c r="K3202" t="s">
        <v>3219</v>
      </c>
      <c r="L3202">
        <v>0.706131951942741</v>
      </c>
      <c r="M3202">
        <v>8.76</v>
      </c>
      <c r="N3202">
        <v>7.02</v>
      </c>
    </row>
    <row r="3203" spans="1:14">
      <c r="A3203" s="1" t="s">
        <v>3215</v>
      </c>
      <c r="B3203">
        <f>HYPERLINK("https://www.suredividend.com/sure-analysis-SBR/","Sabine Royalty Trust")</f>
        <v>0</v>
      </c>
      <c r="C3203" t="s">
        <v>3226</v>
      </c>
      <c r="D3203">
        <v>64.79000000000001</v>
      </c>
      <c r="E3203">
        <v>0.07408550702268868</v>
      </c>
      <c r="F3203">
        <v>1.335486966256197</v>
      </c>
      <c r="G3203">
        <v>0.2914094885099696</v>
      </c>
      <c r="H3203">
        <v>4.696096156727792</v>
      </c>
      <c r="I3203">
        <v>944.595763</v>
      </c>
      <c r="J3203">
        <v>0</v>
      </c>
      <c r="K3203" t="s">
        <v>3219</v>
      </c>
      <c r="L3203">
        <v>0.150092532464459</v>
      </c>
      <c r="M3203">
        <v>64.79000000000001</v>
      </c>
      <c r="N3203">
        <v>29.21</v>
      </c>
    </row>
    <row r="3204" spans="1:14">
      <c r="A3204" s="1" t="s">
        <v>3216</v>
      </c>
      <c r="B3204">
        <f>HYPERLINK("https://www.suredividend.com/sure-analysis-SUNS/","SLR Senior Investment Corp")</f>
        <v>0</v>
      </c>
      <c r="C3204" t="s">
        <v>3221</v>
      </c>
      <c r="D3204">
        <v>14.16</v>
      </c>
      <c r="E3204">
        <v>0</v>
      </c>
      <c r="F3204">
        <v>0</v>
      </c>
      <c r="G3204">
        <v>0</v>
      </c>
      <c r="H3204">
        <v>1.200000017881393</v>
      </c>
      <c r="I3204">
        <v>0</v>
      </c>
      <c r="J3204">
        <v>0</v>
      </c>
      <c r="K3204" t="s">
        <v>3219</v>
      </c>
    </row>
  </sheetData>
  <autoFilter ref="A1:O3204"/>
  <conditionalFormatting sqref="A1:N1">
    <cfRule type="cellIs" dxfId="8" priority="15" operator="notEqual">
      <formula>-13.345</formula>
    </cfRule>
  </conditionalFormatting>
  <conditionalFormatting sqref="A2:A3204">
    <cfRule type="cellIs" dxfId="0" priority="1" operator="notEqual">
      <formula>"None"</formula>
    </cfRule>
  </conditionalFormatting>
  <conditionalFormatting sqref="B2:B3204">
    <cfRule type="cellIs" dxfId="1" priority="2" operator="notEqual">
      <formula>"None"</formula>
    </cfRule>
  </conditionalFormatting>
  <conditionalFormatting sqref="C2:C3204">
    <cfRule type="cellIs" dxfId="0" priority="3" operator="notEqual">
      <formula>"None"</formula>
    </cfRule>
  </conditionalFormatting>
  <conditionalFormatting sqref="D2:D3204">
    <cfRule type="cellIs" dxfId="2" priority="4" operator="notEqual">
      <formula>"None"</formula>
    </cfRule>
  </conditionalFormatting>
  <conditionalFormatting sqref="E2:E3204">
    <cfRule type="cellIs" dxfId="3" priority="5" operator="notEqual">
      <formula>"None"</formula>
    </cfRule>
  </conditionalFormatting>
  <conditionalFormatting sqref="F2:F3204">
    <cfRule type="cellIs" dxfId="4" priority="6" operator="notEqual">
      <formula>"None"</formula>
    </cfRule>
  </conditionalFormatting>
  <conditionalFormatting sqref="G2:G3204">
    <cfRule type="cellIs" dxfId="3" priority="7" operator="notEqual">
      <formula>"None"</formula>
    </cfRule>
  </conditionalFormatting>
  <conditionalFormatting sqref="H2:H3204">
    <cfRule type="cellIs" dxfId="2" priority="8" operator="notEqual">
      <formula>"None"</formula>
    </cfRule>
  </conditionalFormatting>
  <conditionalFormatting sqref="I2:I3204">
    <cfRule type="cellIs" dxfId="5" priority="9" operator="notEqual">
      <formula>"None"</formula>
    </cfRule>
  </conditionalFormatting>
  <conditionalFormatting sqref="J2:J3204">
    <cfRule type="cellIs" dxfId="6" priority="10" operator="notEqual">
      <formula>"None"</formula>
    </cfRule>
  </conditionalFormatting>
  <conditionalFormatting sqref="K2:K3204">
    <cfRule type="cellIs" dxfId="3" priority="11" operator="notEqual">
      <formula>"None"</formula>
    </cfRule>
  </conditionalFormatting>
  <conditionalFormatting sqref="L2:L3204">
    <cfRule type="cellIs" dxfId="7" priority="12" operator="notEqual">
      <formula>"None"</formula>
    </cfRule>
  </conditionalFormatting>
  <conditionalFormatting sqref="M2:M3204">
    <cfRule type="cellIs" dxfId="2" priority="13" operator="notEqual">
      <formula>"None"</formula>
    </cfRule>
  </conditionalFormatting>
  <conditionalFormatting sqref="N2:N3204">
    <cfRule type="cellIs" dxfId="2" priority="14" operator="notEqual">
      <formula>"None"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</cols>
  <sheetData>
    <row r="1" spans="1:9">
      <c r="A1" s="1" t="s">
        <v>13</v>
      </c>
      <c r="B1" s="1" t="s">
        <v>0</v>
      </c>
      <c r="C1" s="1" t="s">
        <v>3229</v>
      </c>
      <c r="D1" s="1" t="s">
        <v>3230</v>
      </c>
      <c r="E1" s="1" t="s">
        <v>3231</v>
      </c>
      <c r="F1" s="1" t="s">
        <v>3232</v>
      </c>
      <c r="G1" s="1" t="s">
        <v>3233</v>
      </c>
      <c r="H1" s="1" t="s">
        <v>3234</v>
      </c>
      <c r="I1" s="1" t="s">
        <v>3235</v>
      </c>
    </row>
    <row r="2" spans="1:9">
      <c r="A2" s="1" t="s">
        <v>14</v>
      </c>
      <c r="B2">
        <f>HYPERLINK("https://www.suredividend.com/sure-analysis-research-database/","Agilent Technologies Inc.")</f>
        <v>0</v>
      </c>
      <c r="C2">
        <v>-0.061937080638986</v>
      </c>
      <c r="D2">
        <v>-0.124699210540161</v>
      </c>
      <c r="E2">
        <v>-0.172667401695364</v>
      </c>
      <c r="F2">
        <v>-0.205729502023052</v>
      </c>
      <c r="G2">
        <v>-0.055356949409598</v>
      </c>
      <c r="H2">
        <v>0.625784186278556</v>
      </c>
      <c r="I2">
        <v>1.512958310808662</v>
      </c>
    </row>
    <row r="3" spans="1:9">
      <c r="A3" s="1" t="s">
        <v>15</v>
      </c>
      <c r="B3">
        <f>HYPERLINK("https://www.suredividend.com/sure-analysis-research-database/","Alcoa Corp")</f>
        <v>0</v>
      </c>
      <c r="C3">
        <v>0.16051831283882</v>
      </c>
      <c r="D3">
        <v>0.431290085336003</v>
      </c>
      <c r="E3">
        <v>0.57247972366495</v>
      </c>
      <c r="F3">
        <v>0.474771609512335</v>
      </c>
      <c r="G3">
        <v>1.471482354398799</v>
      </c>
      <c r="H3">
        <v>11.65207864844606</v>
      </c>
      <c r="I3">
        <v>1.841519793838463</v>
      </c>
    </row>
    <row r="4" spans="1:9">
      <c r="A4" s="1" t="s">
        <v>16</v>
      </c>
      <c r="B4">
        <f>HYPERLINK("https://www.suredividend.com/sure-analysis-research-database/","Ares Acquisition Corporation")</f>
        <v>0</v>
      </c>
      <c r="C4">
        <v>0.005117707267144</v>
      </c>
      <c r="D4">
        <v>0.008213552361396001</v>
      </c>
      <c r="E4">
        <v>0.008213552361396001</v>
      </c>
      <c r="F4">
        <v>0.008213552361396001</v>
      </c>
      <c r="G4">
        <v>-0.001017293997965</v>
      </c>
      <c r="H4">
        <v>-0.005065856129685</v>
      </c>
      <c r="I4">
        <v>-0.005065856129685</v>
      </c>
    </row>
    <row r="5" spans="1:9">
      <c r="A5" s="1" t="s">
        <v>17</v>
      </c>
      <c r="B5">
        <f>HYPERLINK("https://www.suredividend.com/sure-analysis-research-database/","American Airlines Group Inc")</f>
        <v>0</v>
      </c>
      <c r="C5">
        <v>0.153612629022465</v>
      </c>
      <c r="D5">
        <v>0.027582477014602</v>
      </c>
      <c r="E5">
        <v>-0.04904904904904901</v>
      </c>
      <c r="F5">
        <v>0.057906458797327</v>
      </c>
      <c r="G5">
        <v>-0.137539718565592</v>
      </c>
      <c r="H5">
        <v>0.7163504968383011</v>
      </c>
      <c r="I5">
        <v>-0.5474434125624941</v>
      </c>
    </row>
    <row r="6" spans="1:9">
      <c r="A6" s="1" t="s">
        <v>18</v>
      </c>
      <c r="B6">
        <f>HYPERLINK("https://www.suredividend.com/sure-analysis-research-database/","Atlantic American Corp.")</f>
        <v>0</v>
      </c>
      <c r="C6">
        <v>0.443056081450629</v>
      </c>
      <c r="D6">
        <v>0.267975305903663</v>
      </c>
      <c r="E6">
        <v>-0.203492557415879</v>
      </c>
      <c r="F6">
        <v>0.407699253057539</v>
      </c>
      <c r="G6">
        <v>-0.06788412413718101</v>
      </c>
      <c r="H6">
        <v>0.7421779764323441</v>
      </c>
      <c r="I6">
        <v>-0.07484828051247401</v>
      </c>
    </row>
    <row r="7" spans="1:9">
      <c r="A7" s="1" t="s">
        <v>19</v>
      </c>
      <c r="B7">
        <f>HYPERLINK("https://www.suredividend.com/sure-analysis-research-database/","Aarons Company Inc (The)")</f>
        <v>0</v>
      </c>
      <c r="C7">
        <v>-0.048509123275478</v>
      </c>
      <c r="D7">
        <v>-0.064029488762225</v>
      </c>
      <c r="E7">
        <v>-0.214646223469515</v>
      </c>
      <c r="F7">
        <v>-0.128197391116421</v>
      </c>
      <c r="G7">
        <v>-0.149356049001547</v>
      </c>
      <c r="H7">
        <v>-0.193207547169811</v>
      </c>
      <c r="I7">
        <v>-0.193207547169811</v>
      </c>
    </row>
    <row r="8" spans="1:9">
      <c r="A8" s="1" t="s">
        <v>20</v>
      </c>
      <c r="B8">
        <f>HYPERLINK("https://www.suredividend.com/sure-analysis-research-database/","Applied Optoelectronics Inc")</f>
        <v>0</v>
      </c>
      <c r="C8">
        <v>-0.07621951219512101</v>
      </c>
      <c r="D8">
        <v>-0.262773722627737</v>
      </c>
      <c r="E8">
        <v>-0.5803324099722991</v>
      </c>
      <c r="F8">
        <v>-0.410505836575875</v>
      </c>
      <c r="G8">
        <v>-0.615969581749049</v>
      </c>
      <c r="H8">
        <v>-0.6472642607683351</v>
      </c>
      <c r="I8">
        <v>-0.933112582781456</v>
      </c>
    </row>
    <row r="9" spans="1:9">
      <c r="A9" s="1" t="s">
        <v>21</v>
      </c>
      <c r="B9">
        <f>HYPERLINK("https://www.suredividend.com/sure-analysis-research-database/","AAON Inc.")</f>
        <v>0</v>
      </c>
      <c r="C9">
        <v>-0.083245149911816</v>
      </c>
      <c r="D9">
        <v>-0.27260005597537</v>
      </c>
      <c r="E9">
        <v>-0.255625057281642</v>
      </c>
      <c r="F9">
        <v>-0.345587309580763</v>
      </c>
      <c r="G9">
        <v>-0.24822686829652</v>
      </c>
      <c r="H9">
        <v>0.155290823016913</v>
      </c>
      <c r="I9">
        <v>0.5851378838195781</v>
      </c>
    </row>
    <row r="10" spans="1:9">
      <c r="A10" s="1" t="s">
        <v>22</v>
      </c>
      <c r="B10">
        <f>HYPERLINK("https://www.suredividend.com/sure-analysis-AAP/","Advance Auto Parts Inc")</f>
        <v>0</v>
      </c>
      <c r="C10">
        <v>0.06145034462673501</v>
      </c>
      <c r="D10">
        <v>-0.080666974680505</v>
      </c>
      <c r="E10">
        <v>0.026770307801022</v>
      </c>
      <c r="F10">
        <v>-0.08174015866730501</v>
      </c>
      <c r="G10">
        <v>0.158042512043525</v>
      </c>
      <c r="H10">
        <v>0.9129363765828871</v>
      </c>
      <c r="I10">
        <v>0.608204874769907</v>
      </c>
    </row>
    <row r="11" spans="1:9">
      <c r="A11" s="1" t="s">
        <v>23</v>
      </c>
      <c r="B11">
        <f>HYPERLINK("https://www.suredividend.com/sure-analysis-AAPL/","Apple Inc")</f>
        <v>0</v>
      </c>
      <c r="C11">
        <v>0.03571652359170301</v>
      </c>
      <c r="D11">
        <v>-0.04373623805176501</v>
      </c>
      <c r="E11">
        <v>0.144311775632092</v>
      </c>
      <c r="F11">
        <v>-0.067970121362932</v>
      </c>
      <c r="G11">
        <v>0.239359273225145</v>
      </c>
      <c r="H11">
        <v>1.337873580288822</v>
      </c>
      <c r="I11">
        <v>3.964647647882163</v>
      </c>
    </row>
    <row r="12" spans="1:9">
      <c r="A12" s="1" t="s">
        <v>24</v>
      </c>
      <c r="B12">
        <f>HYPERLINK("https://www.suredividend.com/sure-analysis-AAT/","American Assets Trust Inc")</f>
        <v>0</v>
      </c>
      <c r="C12">
        <v>-0.007971412864211</v>
      </c>
      <c r="D12">
        <v>-0.06365535044819401</v>
      </c>
      <c r="E12">
        <v>-0.07067408960051001</v>
      </c>
      <c r="F12">
        <v>-0.029974304667089</v>
      </c>
      <c r="G12">
        <v>0.108728510512798</v>
      </c>
      <c r="H12">
        <v>0.5032677016123991</v>
      </c>
      <c r="I12">
        <v>-0.048262003528471</v>
      </c>
    </row>
    <row r="13" spans="1:9">
      <c r="A13" s="1" t="s">
        <v>25</v>
      </c>
      <c r="B13">
        <f>HYPERLINK("https://www.suredividend.com/sure-analysis-research-database/","Atlas Air Worldwide Holdings Inc.")</f>
        <v>0</v>
      </c>
      <c r="C13">
        <v>-0.184924982138604</v>
      </c>
      <c r="D13">
        <v>-0.167376231601994</v>
      </c>
      <c r="E13">
        <v>-0.130241423125794</v>
      </c>
      <c r="F13">
        <v>-0.27273693157671</v>
      </c>
      <c r="G13">
        <v>0.023627934798863</v>
      </c>
      <c r="H13">
        <v>1.856844741235392</v>
      </c>
      <c r="I13">
        <v>0.269944341372912</v>
      </c>
    </row>
    <row r="14" spans="1:9">
      <c r="A14" s="1" t="s">
        <v>26</v>
      </c>
      <c r="B14">
        <f>HYPERLINK("https://www.suredividend.com/sure-analysis-ABBV/","Abbvie Inc")</f>
        <v>0</v>
      </c>
      <c r="C14">
        <v>0.048955342330657</v>
      </c>
      <c r="D14">
        <v>0.204750417517164</v>
      </c>
      <c r="E14">
        <v>0.51274241531774</v>
      </c>
      <c r="F14">
        <v>0.221477106052749</v>
      </c>
      <c r="G14">
        <v>0.5685232340705161</v>
      </c>
      <c r="H14">
        <v>1.172312815186783</v>
      </c>
      <c r="I14">
        <v>2.181145573031505</v>
      </c>
    </row>
    <row r="15" spans="1:9">
      <c r="A15" s="1" t="s">
        <v>27</v>
      </c>
      <c r="B15">
        <f>HYPERLINK("https://www.suredividend.com/sure-analysis-ABC/","Amerisource Bergen Corp.")</f>
        <v>0</v>
      </c>
      <c r="C15">
        <v>0.07116279069767401</v>
      </c>
      <c r="D15">
        <v>0.187485912370154</v>
      </c>
      <c r="E15">
        <v>0.354328036211746</v>
      </c>
      <c r="F15">
        <v>0.217064113104445</v>
      </c>
      <c r="G15">
        <v>0.366273280081361</v>
      </c>
      <c r="H15">
        <v>0.9286238112841421</v>
      </c>
      <c r="I15">
        <v>1.026939523749052</v>
      </c>
    </row>
    <row r="16" spans="1:9">
      <c r="A16" s="1" t="s">
        <v>28</v>
      </c>
      <c r="B16">
        <f>HYPERLINK("https://www.suredividend.com/sure-analysis-research-database/","Ameris Bancorp")</f>
        <v>0</v>
      </c>
      <c r="C16">
        <v>-0.153158467584476</v>
      </c>
      <c r="D16">
        <v>-0.259951716251293</v>
      </c>
      <c r="E16">
        <v>-0.209233944171179</v>
      </c>
      <c r="F16">
        <v>-0.176681320944847</v>
      </c>
      <c r="G16">
        <v>-0.195811989245933</v>
      </c>
      <c r="H16">
        <v>1.086136936955376</v>
      </c>
      <c r="I16">
        <v>0.009713258275587</v>
      </c>
    </row>
    <row r="17" spans="1:9">
      <c r="A17" s="1" t="s">
        <v>29</v>
      </c>
      <c r="B17">
        <f>HYPERLINK("https://www.suredividend.com/sure-analysis-research-database/","Abeona Therapeutics Inc")</f>
        <v>0</v>
      </c>
      <c r="C17">
        <v>-0.019431450161928</v>
      </c>
      <c r="D17">
        <v>-0.001831501831501</v>
      </c>
      <c r="E17">
        <v>-0.7005494505494501</v>
      </c>
      <c r="F17">
        <v>-0.191394658753709</v>
      </c>
      <c r="G17">
        <v>-0.8171140939597311</v>
      </c>
      <c r="H17">
        <v>-0.8850210970464131</v>
      </c>
      <c r="I17">
        <v>-0.94381443298969</v>
      </c>
    </row>
    <row r="18" spans="1:9">
      <c r="A18" s="1" t="s">
        <v>30</v>
      </c>
      <c r="B18">
        <f>HYPERLINK("https://www.suredividend.com/sure-analysis-research-database/","Asbury Automotive Group Inc")</f>
        <v>0</v>
      </c>
      <c r="C18">
        <v>-0.202718829450526</v>
      </c>
      <c r="D18">
        <v>-0.081035823216314</v>
      </c>
      <c r="E18">
        <v>-0.270474291411479</v>
      </c>
      <c r="F18">
        <v>-0.110403519944421</v>
      </c>
      <c r="G18">
        <v>-0.261995101099851</v>
      </c>
      <c r="H18">
        <v>1.889975550122249</v>
      </c>
      <c r="I18">
        <v>1.67002606429192</v>
      </c>
    </row>
    <row r="19" spans="1:9">
      <c r="A19" s="1" t="s">
        <v>31</v>
      </c>
      <c r="B19">
        <f>HYPERLINK("https://www.suredividend.com/sure-analysis-research-database/","ARCA biopharma Inc")</f>
        <v>0</v>
      </c>
      <c r="C19">
        <v>0.017391304347826</v>
      </c>
      <c r="D19">
        <v>0.158415841584158</v>
      </c>
      <c r="E19">
        <v>-0.161290322580645</v>
      </c>
      <c r="F19">
        <v>0.08837209302325501</v>
      </c>
      <c r="G19">
        <v>-0.303571428571428</v>
      </c>
      <c r="H19">
        <v>-0.518518518518518</v>
      </c>
      <c r="I19">
        <v>-0.9457202505219201</v>
      </c>
    </row>
    <row r="20" spans="1:9">
      <c r="A20" s="1" t="s">
        <v>32</v>
      </c>
      <c r="B20">
        <f>HYPERLINK("https://www.suredividend.com/sure-analysis-ABM/","ABM Industries Inc.")</f>
        <v>0</v>
      </c>
      <c r="C20">
        <v>0.08408592645367501</v>
      </c>
      <c r="D20">
        <v>0.096084111671628</v>
      </c>
      <c r="E20">
        <v>0.10194684726972</v>
      </c>
      <c r="F20">
        <v>0.217671801635582</v>
      </c>
      <c r="G20">
        <v>-0.061410055287326</v>
      </c>
      <c r="H20">
        <v>0.620553749461732</v>
      </c>
      <c r="I20">
        <v>0.2954423028917531</v>
      </c>
    </row>
    <row r="21" spans="1:9">
      <c r="A21" s="1" t="s">
        <v>33</v>
      </c>
      <c r="B21">
        <f>HYPERLINK("https://www.suredividend.com/sure-analysis-research-database/","Abiomed Inc.")</f>
        <v>0</v>
      </c>
      <c r="C21">
        <v>0.039215020541201</v>
      </c>
      <c r="D21">
        <v>0.016134386826903</v>
      </c>
      <c r="E21">
        <v>-0.128895466317557</v>
      </c>
      <c r="F21">
        <v>-0.147813013336303</v>
      </c>
      <c r="G21">
        <v>-0.07397210540646801</v>
      </c>
      <c r="H21">
        <v>0.9106117353308361</v>
      </c>
      <c r="I21">
        <v>1.45630366744242</v>
      </c>
    </row>
    <row r="22" spans="1:9">
      <c r="A22" s="1" t="s">
        <v>34</v>
      </c>
      <c r="B22">
        <f>HYPERLINK("https://www.suredividend.com/sure-analysis-ABR/","Arbor Realty Trust Inc.")</f>
        <v>0</v>
      </c>
      <c r="C22">
        <v>0.000570776255707</v>
      </c>
      <c r="D22">
        <v>-0.031566619156529</v>
      </c>
      <c r="E22">
        <v>-0.0502299927941</v>
      </c>
      <c r="F22">
        <v>-0.023109887599123</v>
      </c>
      <c r="G22">
        <v>0.146906036140952</v>
      </c>
      <c r="H22">
        <v>2.459982236257772</v>
      </c>
      <c r="I22">
        <v>2.287943581664041</v>
      </c>
    </row>
    <row r="23" spans="1:9">
      <c r="A23" s="1" t="s">
        <v>35</v>
      </c>
      <c r="B23">
        <f>HYPERLINK("https://www.suredividend.com/sure-analysis-ABT/","Abbott Laboratories")</f>
        <v>0</v>
      </c>
      <c r="C23">
        <v>-0.011055772958774</v>
      </c>
      <c r="D23">
        <v>-0.07803451906445001</v>
      </c>
      <c r="E23">
        <v>0.009241735220041</v>
      </c>
      <c r="F23">
        <v>-0.157483144651746</v>
      </c>
      <c r="G23">
        <v>-0.039108425865447</v>
      </c>
      <c r="H23">
        <v>0.263323994461082</v>
      </c>
      <c r="I23">
        <v>1.998303279816163</v>
      </c>
    </row>
    <row r="24" spans="1:9">
      <c r="A24" s="1" t="s">
        <v>36</v>
      </c>
      <c r="B24">
        <f>HYPERLINK("https://www.suredividend.com/sure-analysis-research-database/","Allegiance Bancshares Inc")</f>
        <v>0</v>
      </c>
      <c r="C24">
        <v>-0.09209942299156601</v>
      </c>
      <c r="D24">
        <v>-0.08784634971315401</v>
      </c>
      <c r="E24">
        <v>0.070819067960758</v>
      </c>
      <c r="F24">
        <v>-0.027554600515341</v>
      </c>
      <c r="G24">
        <v>0.023417780101516</v>
      </c>
      <c r="H24">
        <v>0.9427941853893891</v>
      </c>
      <c r="I24">
        <v>0.155081965361658</v>
      </c>
    </row>
    <row r="25" spans="1:9">
      <c r="A25" s="1" t="s">
        <v>37</v>
      </c>
      <c r="B25">
        <f>HYPERLINK("https://www.suredividend.com/sure-analysis-research-database/","Associated Capital Group Inc")</f>
        <v>0</v>
      </c>
      <c r="C25">
        <v>-0.06110029211295</v>
      </c>
      <c r="D25">
        <v>-0.157860262008733</v>
      </c>
      <c r="E25">
        <v>0.04278190528717701</v>
      </c>
      <c r="F25">
        <v>-0.103023255813953</v>
      </c>
      <c r="G25">
        <v>0.170493962411879</v>
      </c>
      <c r="H25">
        <v>0.169808802833988</v>
      </c>
      <c r="I25">
        <v>0.175989926184298</v>
      </c>
    </row>
    <row r="26" spans="1:9">
      <c r="A26" s="1" t="s">
        <v>38</v>
      </c>
      <c r="B26">
        <f>HYPERLINK("https://www.suredividend.com/sure-analysis-research-database/","Arcosa Inc")</f>
        <v>0</v>
      </c>
      <c r="C26">
        <v>-0.064723729285279</v>
      </c>
      <c r="D26">
        <v>0.03967136912344001</v>
      </c>
      <c r="E26">
        <v>0.04851601471466201</v>
      </c>
      <c r="F26">
        <v>0.034986891560218</v>
      </c>
      <c r="G26">
        <v>-0.14854749459631</v>
      </c>
      <c r="H26">
        <v>0.445968737964647</v>
      </c>
      <c r="I26">
        <v>1.592380952380952</v>
      </c>
    </row>
    <row r="27" spans="1:9">
      <c r="A27" s="1" t="s">
        <v>39</v>
      </c>
      <c r="B27">
        <f>HYPERLINK("https://www.suredividend.com/sure-analysis-research-database/","Acadia Pharmaceuticals Inc")</f>
        <v>0</v>
      </c>
      <c r="C27">
        <v>-0.005508474576271001</v>
      </c>
      <c r="D27">
        <v>0.01822125813449</v>
      </c>
      <c r="E27">
        <v>0.340376927470017</v>
      </c>
      <c r="F27">
        <v>0.005569837189374</v>
      </c>
      <c r="G27">
        <v>0.109692671394799</v>
      </c>
      <c r="H27">
        <v>-0.495810955961331</v>
      </c>
      <c r="I27">
        <v>-0.298984468339307</v>
      </c>
    </row>
    <row r="28" spans="1:9">
      <c r="A28" s="1" t="s">
        <v>40</v>
      </c>
      <c r="B28">
        <f>HYPERLINK("https://www.suredividend.com/sure-analysis-research-database/","Atlantic Capital Bancshares Inc")</f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41</v>
      </c>
      <c r="B29">
        <f>HYPERLINK("https://www.suredividend.com/sure-analysis-ACC/","American Campus Communities Inc.")</f>
        <v>0</v>
      </c>
      <c r="C29">
        <v>0.06388837892417801</v>
      </c>
      <c r="D29">
        <v>0.051487505534144</v>
      </c>
      <c r="E29">
        <v>0.142653203273962</v>
      </c>
      <c r="F29">
        <v>0.020652583598403</v>
      </c>
      <c r="G29">
        <v>0.373496146152314</v>
      </c>
      <c r="H29">
        <v>0.9372718398566521</v>
      </c>
      <c r="I29">
        <v>0.4960127838745561</v>
      </c>
    </row>
    <row r="30" spans="1:9">
      <c r="A30" s="1" t="s">
        <v>42</v>
      </c>
      <c r="B30">
        <f>HYPERLINK("https://www.suredividend.com/sure-analysis-research-database/","Acco Brands Corporation")</f>
        <v>0</v>
      </c>
      <c r="C30">
        <v>-0.08298507462686501</v>
      </c>
      <c r="D30">
        <v>-0.08945402809887901</v>
      </c>
      <c r="E30">
        <v>-0.114819852008943</v>
      </c>
      <c r="F30">
        <v>-0.061893070467954</v>
      </c>
      <c r="G30">
        <v>-0.103997013323377</v>
      </c>
      <c r="H30">
        <v>0.491986401165614</v>
      </c>
      <c r="I30">
        <v>-0.356422783303863</v>
      </c>
    </row>
    <row r="31" spans="1:9">
      <c r="A31" s="1" t="s">
        <v>43</v>
      </c>
      <c r="B31">
        <f>HYPERLINK("https://www.suredividend.com/sure-analysis-research-database/","Acer Therapeutics Inc")</f>
        <v>0</v>
      </c>
      <c r="C31">
        <v>-0.09803921568627401</v>
      </c>
      <c r="D31">
        <v>0.040723981900452</v>
      </c>
      <c r="E31">
        <v>-0.053497942386831</v>
      </c>
      <c r="F31">
        <v>0.008771929824561001</v>
      </c>
      <c r="G31">
        <v>-0.154411764705882</v>
      </c>
      <c r="H31">
        <v>0.36094674556213</v>
      </c>
      <c r="I31">
        <v>2.283369022127052</v>
      </c>
    </row>
    <row r="32" spans="1:9">
      <c r="A32" s="1" t="s">
        <v>44</v>
      </c>
      <c r="B32">
        <f>HYPERLINK("https://www.suredividend.com/sure-analysis-research-database/","Arch Capital Group Ltd")</f>
        <v>0</v>
      </c>
      <c r="C32">
        <v>0.049946409431939</v>
      </c>
      <c r="D32">
        <v>0.033115376502847</v>
      </c>
      <c r="E32">
        <v>0.153284671532846</v>
      </c>
      <c r="F32">
        <v>0.101912260967379</v>
      </c>
      <c r="G32">
        <v>0.222055888223552</v>
      </c>
      <c r="H32">
        <v>0.848999622499056</v>
      </c>
      <c r="I32">
        <v>0.5788133435192251</v>
      </c>
    </row>
    <row r="33" spans="1:9">
      <c r="A33" s="1" t="s">
        <v>45</v>
      </c>
      <c r="B33">
        <f>HYPERLINK("https://www.suredividend.com/sure-analysis-research-database/","Acadia Healthcare Company Inc")</f>
        <v>0</v>
      </c>
      <c r="C33">
        <v>0.13994833611913</v>
      </c>
      <c r="D33">
        <v>0.301752559430851</v>
      </c>
      <c r="E33">
        <v>0.31868518193004</v>
      </c>
      <c r="F33">
        <v>0.235914332784184</v>
      </c>
      <c r="G33">
        <v>0.207662588538313</v>
      </c>
      <c r="H33">
        <v>2.34313725490196</v>
      </c>
      <c r="I33">
        <v>0.7606195728702181</v>
      </c>
    </row>
    <row r="34" spans="1:9">
      <c r="A34" s="1" t="s">
        <v>46</v>
      </c>
      <c r="B34">
        <f>HYPERLINK("https://www.suredividend.com/sure-analysis-research-database/","Achison Inc")</f>
        <v>0</v>
      </c>
      <c r="C34">
        <v>-0.18</v>
      </c>
      <c r="D34">
        <v>-0.196078431372549</v>
      </c>
      <c r="E34">
        <v>-0.196078431372549</v>
      </c>
      <c r="F34">
        <v>0.078947368421052</v>
      </c>
      <c r="G34">
        <v>-0.196078431372549</v>
      </c>
      <c r="H34">
        <v>-0.196078431372549</v>
      </c>
      <c r="I34">
        <v>-0.196078431372549</v>
      </c>
    </row>
    <row r="35" spans="1:9">
      <c r="A35" s="1" t="s">
        <v>47</v>
      </c>
      <c r="B35">
        <f>HYPERLINK("https://www.suredividend.com/sure-analysis-research-database/","Achieve Life Sciences Inc.")</f>
        <v>0</v>
      </c>
      <c r="C35">
        <v>0.179012345679012</v>
      </c>
      <c r="D35">
        <v>-0.087216248506571</v>
      </c>
      <c r="E35">
        <v>-0.05093167701863301</v>
      </c>
      <c r="F35">
        <v>-0.017994858611825</v>
      </c>
      <c r="G35">
        <v>-0.230614300100704</v>
      </c>
      <c r="H35">
        <v>0.116632563577901</v>
      </c>
      <c r="I35">
        <v>17.23389021479714</v>
      </c>
    </row>
    <row r="36" spans="1:9">
      <c r="A36" s="1" t="s">
        <v>48</v>
      </c>
      <c r="B36">
        <f>HYPERLINK("https://www.suredividend.com/sure-analysis-research-database/","Acacia Communications Inc")</f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f>HYPERLINK("https://www.suredividend.com/sure-analysis-research-database/","ACI Worldwide Inc")</f>
        <v>0</v>
      </c>
      <c r="C37">
        <v>-0.162656107219007</v>
      </c>
      <c r="D37">
        <v>-0.204341534008683</v>
      </c>
      <c r="E37">
        <v>-0.118910256410256</v>
      </c>
      <c r="F37">
        <v>-0.207780979827089</v>
      </c>
      <c r="G37">
        <v>-0.324237954768928</v>
      </c>
      <c r="H37">
        <v>0.146850229453483</v>
      </c>
      <c r="I37">
        <v>0.337712895377128</v>
      </c>
    </row>
    <row r="38" spans="1:9">
      <c r="A38" s="1" t="s">
        <v>50</v>
      </c>
      <c r="B38">
        <f>HYPERLINK("https://www.suredividend.com/sure-analysis-research-database/","Axcelis Technologies Inc")</f>
        <v>0</v>
      </c>
      <c r="C38">
        <v>-0.214176298565659</v>
      </c>
      <c r="D38">
        <v>-0.209553158705701</v>
      </c>
      <c r="E38">
        <v>0.143001822969414</v>
      </c>
      <c r="F38">
        <v>-0.243159871244635</v>
      </c>
      <c r="G38">
        <v>0.322784810126582</v>
      </c>
      <c r="H38">
        <v>1.696129956999522</v>
      </c>
      <c r="I38">
        <v>2.109090909090909</v>
      </c>
    </row>
    <row r="39" spans="1:9">
      <c r="A39" s="1" t="s">
        <v>51</v>
      </c>
      <c r="B39">
        <f>HYPERLINK("https://www.suredividend.com/sure-analysis-research-database/","AECOM")</f>
        <v>0</v>
      </c>
      <c r="C39">
        <v>-0.006227363922978</v>
      </c>
      <c r="D39">
        <v>0.034810212442683</v>
      </c>
      <c r="E39">
        <v>0.205977398200203</v>
      </c>
      <c r="F39">
        <v>-0.009960102482367001</v>
      </c>
      <c r="G39">
        <v>0.142126469394813</v>
      </c>
      <c r="H39">
        <v>1.459994453080153</v>
      </c>
      <c r="I39">
        <v>1.348348644188853</v>
      </c>
    </row>
    <row r="40" spans="1:9">
      <c r="A40" s="1" t="s">
        <v>52</v>
      </c>
      <c r="B40">
        <f>HYPERLINK("https://www.suredividend.com/sure-analysis-research-database/","ACM Research Inc")</f>
        <v>0</v>
      </c>
      <c r="C40">
        <v>-0.163819095477386</v>
      </c>
      <c r="D40">
        <v>-0.43701428102596</v>
      </c>
      <c r="E40">
        <v>-0.5260164014276471</v>
      </c>
      <c r="F40">
        <v>-0.414564811263998</v>
      </c>
      <c r="G40">
        <v>-0.3614735226400611</v>
      </c>
      <c r="H40">
        <v>0.397145256087321</v>
      </c>
      <c r="I40">
        <v>7.251103287548966</v>
      </c>
    </row>
    <row r="41" spans="1:9">
      <c r="A41" s="1" t="s">
        <v>53</v>
      </c>
      <c r="B41">
        <f>HYPERLINK("https://www.suredividend.com/sure-analysis-ACN/","Accenture plc")</f>
        <v>0</v>
      </c>
      <c r="C41">
        <v>-0.013815291095351</v>
      </c>
      <c r="D41">
        <v>-0.09321567967383301</v>
      </c>
      <c r="E41">
        <v>-0.06017199732057601</v>
      </c>
      <c r="F41">
        <v>-0.225058550565736</v>
      </c>
      <c r="G41">
        <v>0.125994192919422</v>
      </c>
      <c r="H41">
        <v>0.951131029377814</v>
      </c>
      <c r="I41">
        <v>1.994510953721791</v>
      </c>
    </row>
    <row r="42" spans="1:9">
      <c r="A42" s="1" t="s">
        <v>54</v>
      </c>
      <c r="B42">
        <f>HYPERLINK("https://www.suredividend.com/sure-analysis-research-database/","ACNB Corp.")</f>
        <v>0</v>
      </c>
      <c r="C42">
        <v>0.03003003003003</v>
      </c>
      <c r="D42">
        <v>0.006118845221962</v>
      </c>
      <c r="E42">
        <v>0.257335987302006</v>
      </c>
      <c r="F42">
        <v>0.105506583082203</v>
      </c>
      <c r="G42">
        <v>0.247998835686217</v>
      </c>
      <c r="H42">
        <v>0.6253228137512731</v>
      </c>
      <c r="I42">
        <v>0.370437701020836</v>
      </c>
    </row>
    <row r="43" spans="1:9">
      <c r="A43" s="1" t="s">
        <v>55</v>
      </c>
      <c r="B43">
        <f>HYPERLINK("https://www.suredividend.com/sure-analysis-research-database/","Acorda Therapeutics Inc")</f>
        <v>0</v>
      </c>
      <c r="C43">
        <v>-0.124293785310734</v>
      </c>
      <c r="D43">
        <v>-0.282407407407407</v>
      </c>
      <c r="E43">
        <v>-0.6709129511677281</v>
      </c>
      <c r="F43">
        <v>-0.351464435146443</v>
      </c>
      <c r="G43">
        <v>-0.630071599045346</v>
      </c>
      <c r="H43">
        <v>-0.7562893081761001</v>
      </c>
      <c r="I43">
        <v>-0.984623015873015</v>
      </c>
    </row>
    <row r="44" spans="1:9">
      <c r="A44" s="1" t="s">
        <v>56</v>
      </c>
      <c r="B44">
        <f>HYPERLINK("https://www.suredividend.com/sure-analysis-ACRE/","Ares Commercial Real Estate Corp")</f>
        <v>0</v>
      </c>
      <c r="C44">
        <v>0.112916660976908</v>
      </c>
      <c r="D44">
        <v>0.108474046066277</v>
      </c>
      <c r="E44">
        <v>0.07490009364160301</v>
      </c>
      <c r="F44">
        <v>0.145064980681419</v>
      </c>
      <c r="G44">
        <v>0.182796479184958</v>
      </c>
      <c r="H44">
        <v>1.808698349243547</v>
      </c>
      <c r="I44">
        <v>0.8428907380607811</v>
      </c>
    </row>
    <row r="45" spans="1:9">
      <c r="A45" s="1" t="s">
        <v>57</v>
      </c>
      <c r="B45">
        <f>HYPERLINK("https://www.suredividend.com/sure-analysis-research-database/","Aclaris Therapeutics Inc")</f>
        <v>0</v>
      </c>
      <c r="C45">
        <v>0.07386363636363601</v>
      </c>
      <c r="D45">
        <v>0.5735430157261791</v>
      </c>
      <c r="E45">
        <v>0.011897679952409</v>
      </c>
      <c r="F45">
        <v>0.169876203576341</v>
      </c>
      <c r="G45">
        <v>-0.362443778110944</v>
      </c>
      <c r="H45">
        <v>12.94262295081967</v>
      </c>
      <c r="I45">
        <v>-0.472558139534883</v>
      </c>
    </row>
    <row r="46" spans="1:9">
      <c r="A46" s="1" t="s">
        <v>58</v>
      </c>
      <c r="B46">
        <f>HYPERLINK("https://www.suredividend.com/sure-analysis-research-database/","Acelrx Pharmaceuticals Inc")</f>
        <v>0</v>
      </c>
      <c r="C46">
        <v>-0.21473874962247</v>
      </c>
      <c r="D46">
        <v>-0.4992295839753461</v>
      </c>
      <c r="E46">
        <v>-0.7450980392156861</v>
      </c>
      <c r="F46">
        <v>-0.5358800428418421</v>
      </c>
      <c r="G46">
        <v>-0.7833333333333331</v>
      </c>
      <c r="H46">
        <v>-0.796875</v>
      </c>
      <c r="I46">
        <v>-0.9054545454545451</v>
      </c>
    </row>
    <row r="47" spans="1:9">
      <c r="A47" s="1" t="s">
        <v>59</v>
      </c>
      <c r="B47">
        <f>HYPERLINK("https://www.suredividend.com/sure-analysis-research-database/","Acacia Research Corp")</f>
        <v>0</v>
      </c>
      <c r="C47">
        <v>0.173333333333333</v>
      </c>
      <c r="D47">
        <v>-0.081419624217118</v>
      </c>
      <c r="E47">
        <v>-0.198542805100182</v>
      </c>
      <c r="F47">
        <v>-0.142300194931773</v>
      </c>
      <c r="G47">
        <v>-0.261744966442953</v>
      </c>
      <c r="H47">
        <v>0.833333333333333</v>
      </c>
      <c r="I47">
        <v>-0.137254901960784</v>
      </c>
    </row>
    <row r="48" spans="1:9">
      <c r="A48" s="1" t="s">
        <v>60</v>
      </c>
      <c r="B48">
        <f>HYPERLINK("https://www.suredividend.com/sure-analysis-research-database/","Acme United Corp.")</f>
        <v>0</v>
      </c>
      <c r="C48">
        <v>-0.018673751852196</v>
      </c>
      <c r="D48">
        <v>0.002333149137348</v>
      </c>
      <c r="E48">
        <v>-0.086163706844675</v>
      </c>
      <c r="F48">
        <v>-0.02352219879473</v>
      </c>
      <c r="G48">
        <v>-0.12424226168124</v>
      </c>
      <c r="H48">
        <v>0.679431719398593</v>
      </c>
      <c r="I48">
        <v>0.31674463623165</v>
      </c>
    </row>
    <row r="49" spans="1:9">
      <c r="A49" s="1" t="s">
        <v>61</v>
      </c>
      <c r="B49">
        <f>HYPERLINK("https://www.suredividend.com/sure-analysis-research-database/","Adobe Inc")</f>
        <v>0</v>
      </c>
      <c r="C49">
        <v>-0.04955240075956201</v>
      </c>
      <c r="D49">
        <v>-0.192393392239723</v>
      </c>
      <c r="E49">
        <v>-0.310855775377403</v>
      </c>
      <c r="F49">
        <v>-0.258561704228829</v>
      </c>
      <c r="G49">
        <v>-0.199283918640969</v>
      </c>
      <c r="H49">
        <v>0.226845637583892</v>
      </c>
      <c r="I49">
        <v>2.257962030220844</v>
      </c>
    </row>
    <row r="50" spans="1:9">
      <c r="A50" s="1" t="s">
        <v>62</v>
      </c>
      <c r="B50">
        <f>HYPERLINK("https://www.suredividend.com/sure-analysis-ADC/","Agree Realty Corp.")</f>
        <v>0</v>
      </c>
      <c r="C50">
        <v>0.09542882374493801</v>
      </c>
      <c r="D50">
        <v>0.037285029497978</v>
      </c>
      <c r="E50">
        <v>0.028081194314105</v>
      </c>
      <c r="F50">
        <v>-0.009229348677343001</v>
      </c>
      <c r="G50">
        <v>0.05913664316057501</v>
      </c>
      <c r="H50">
        <v>0.260567796060455</v>
      </c>
      <c r="I50">
        <v>0.6909864812930381</v>
      </c>
    </row>
    <row r="51" spans="1:9">
      <c r="A51" s="1" t="s">
        <v>63</v>
      </c>
      <c r="B51">
        <f>HYPERLINK("https://www.suredividend.com/sure-analysis-research-database/","Advanced Emissions Solutions Inc")</f>
        <v>0</v>
      </c>
      <c r="C51">
        <v>-0.047839506172839</v>
      </c>
      <c r="D51">
        <v>-0.065151515151515</v>
      </c>
      <c r="E51">
        <v>-0.059451219512195</v>
      </c>
      <c r="F51">
        <v>-0.06797583081571</v>
      </c>
      <c r="G51">
        <v>0.214566929133858</v>
      </c>
      <c r="H51">
        <v>-0.022187004754358</v>
      </c>
      <c r="I51">
        <v>-0.004951053913267001</v>
      </c>
    </row>
    <row r="52" spans="1:9">
      <c r="A52" s="1" t="s">
        <v>64</v>
      </c>
      <c r="B52">
        <f>HYPERLINK("https://www.suredividend.com/sure-analysis-research-database/","Analog Devices Inc.")</f>
        <v>0</v>
      </c>
      <c r="C52">
        <v>-0.013054171659204</v>
      </c>
      <c r="D52">
        <v>-0.08567596005484701</v>
      </c>
      <c r="E52">
        <v>-0.082386989947886</v>
      </c>
      <c r="F52">
        <v>-0.105286868469737</v>
      </c>
      <c r="G52">
        <v>-0.001922176715258</v>
      </c>
      <c r="H52">
        <v>0.5938454143081481</v>
      </c>
      <c r="I52">
        <v>1.25751869124501</v>
      </c>
    </row>
    <row r="53" spans="1:9">
      <c r="A53" s="1" t="s">
        <v>65</v>
      </c>
      <c r="B53">
        <f>HYPERLINK("https://www.suredividend.com/sure-analysis-ADM/","Archer Daniels Midland Co.")</f>
        <v>0</v>
      </c>
      <c r="C53">
        <v>0.189809699201964</v>
      </c>
      <c r="D53">
        <v>0.36163097847468</v>
      </c>
      <c r="E53">
        <v>0.5319171806780201</v>
      </c>
      <c r="F53">
        <v>0.441407406195478</v>
      </c>
      <c r="G53">
        <v>0.666778461734268</v>
      </c>
      <c r="H53">
        <v>1.870301809673311</v>
      </c>
      <c r="I53">
        <v>1.54226172362774</v>
      </c>
    </row>
    <row r="54" spans="1:9">
      <c r="A54" s="1" t="s">
        <v>66</v>
      </c>
      <c r="B54">
        <f>HYPERLINK("https://www.suredividend.com/sure-analysis-research-database/","Adma Biologics Inc")</f>
        <v>0</v>
      </c>
      <c r="C54">
        <v>0.280254777070063</v>
      </c>
      <c r="D54">
        <v>0.4357142857142851</v>
      </c>
      <c r="E54">
        <v>0.827272727272726</v>
      </c>
      <c r="F54">
        <v>0.425531914893616</v>
      </c>
      <c r="G54">
        <v>0.218181818181818</v>
      </c>
      <c r="H54">
        <v>-0.255555555555555</v>
      </c>
      <c r="I54">
        <v>-0.5630434782608691</v>
      </c>
    </row>
    <row r="55" spans="1:9">
      <c r="A55" s="1" t="s">
        <v>67</v>
      </c>
      <c r="B55">
        <f>HYPERLINK("https://www.suredividend.com/sure-analysis-research-database/","Adamis Pharmaceuticals Corp")</f>
        <v>0</v>
      </c>
      <c r="C55">
        <v>-0.183203521842194</v>
      </c>
      <c r="D55">
        <v>-0.209309949188657</v>
      </c>
      <c r="E55">
        <v>-0.573097345132743</v>
      </c>
      <c r="F55">
        <v>-0.202644628099173</v>
      </c>
      <c r="G55">
        <v>-0.338271604938271</v>
      </c>
      <c r="H55">
        <v>0.358873239436619</v>
      </c>
      <c r="I55">
        <v>-0.8939780219780221</v>
      </c>
    </row>
    <row r="56" spans="1:9">
      <c r="A56" s="1" t="s">
        <v>68</v>
      </c>
      <c r="B56">
        <f>HYPERLINK("https://www.suredividend.com/sure-analysis-research-database/","Adamas Pharmaceuticals Inc")</f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69</v>
      </c>
      <c r="B57">
        <f>HYPERLINK("https://www.suredividend.com/sure-analysis-research-database/","Adient plc")</f>
        <v>0</v>
      </c>
      <c r="C57">
        <v>-0.116869381279746</v>
      </c>
      <c r="D57">
        <v>-0.336643495531281</v>
      </c>
      <c r="E57">
        <v>-0.27343919947792</v>
      </c>
      <c r="F57">
        <v>-0.302422723475355</v>
      </c>
      <c r="G57">
        <v>-0.262693156732891</v>
      </c>
      <c r="H57">
        <v>2.233301064859632</v>
      </c>
      <c r="I57">
        <v>-0.4879899928103981</v>
      </c>
    </row>
    <row r="58" spans="1:9">
      <c r="A58" s="1" t="s">
        <v>70</v>
      </c>
      <c r="B58">
        <f>HYPERLINK("https://www.suredividend.com/sure-analysis-ADP/","Automatic Data Processing Inc.")</f>
        <v>0</v>
      </c>
      <c r="C58">
        <v>0.07879130189212001</v>
      </c>
      <c r="D58">
        <v>0.006961300965883</v>
      </c>
      <c r="E58">
        <v>0.08634293457627601</v>
      </c>
      <c r="F58">
        <v>-0.065851365214212</v>
      </c>
      <c r="G58">
        <v>0.210318759518322</v>
      </c>
      <c r="H58">
        <v>0.745170135052716</v>
      </c>
      <c r="I58">
        <v>1.51535331275982</v>
      </c>
    </row>
    <row r="59" spans="1:9">
      <c r="A59" s="1" t="s">
        <v>71</v>
      </c>
      <c r="B59">
        <f>HYPERLINK("https://www.suredividend.com/sure-analysis-research-database/","Autodesk Inc.")</f>
        <v>0</v>
      </c>
      <c r="C59">
        <v>-0.037995110024449</v>
      </c>
      <c r="D59">
        <v>-0.240717869548437</v>
      </c>
      <c r="E59">
        <v>-0.324393008001648</v>
      </c>
      <c r="F59">
        <v>-0.3003663003663</v>
      </c>
      <c r="G59">
        <v>-0.344582889125799</v>
      </c>
      <c r="H59">
        <v>0.150467836257309</v>
      </c>
      <c r="I59">
        <v>1.316923801672358</v>
      </c>
    </row>
    <row r="60" spans="1:9">
      <c r="A60" s="1" t="s">
        <v>72</v>
      </c>
      <c r="B60">
        <f>HYPERLINK("https://www.suredividend.com/sure-analysis-research-database/","ADT Inc")</f>
        <v>0</v>
      </c>
      <c r="C60">
        <v>-0.110687022900763</v>
      </c>
      <c r="D60">
        <v>-0.11325924798295</v>
      </c>
      <c r="E60">
        <v>-0.168203724638543</v>
      </c>
      <c r="F60">
        <v>-0.164924437010931</v>
      </c>
      <c r="G60">
        <v>-0.261302390463509</v>
      </c>
      <c r="H60">
        <v>0.367986378848073</v>
      </c>
      <c r="I60">
        <v>-0.7975122101006351</v>
      </c>
    </row>
    <row r="61" spans="1:9">
      <c r="A61" s="1" t="s">
        <v>73</v>
      </c>
      <c r="B61">
        <f>HYPERLINK("https://www.suredividend.com/sure-analysis-research-database/","Adtran Inc.")</f>
        <v>0</v>
      </c>
      <c r="C61">
        <v>-0.102318548387096</v>
      </c>
      <c r="D61">
        <v>-0.08930534604862801</v>
      </c>
      <c r="E61">
        <v>-0.012503118848936</v>
      </c>
      <c r="F61">
        <v>-0.216557427528262</v>
      </c>
      <c r="G61">
        <v>-0.018630049426661</v>
      </c>
      <c r="H61">
        <v>1.248169654127745</v>
      </c>
      <c r="I61">
        <v>0.052874269904703</v>
      </c>
    </row>
    <row r="62" spans="1:9">
      <c r="A62" s="1" t="s">
        <v>74</v>
      </c>
      <c r="B62">
        <f>HYPERLINK("https://www.suredividend.com/sure-analysis-research-database/","Addus HomeCare Corporation")</f>
        <v>0</v>
      </c>
      <c r="C62">
        <v>0.14355106736546</v>
      </c>
      <c r="D62">
        <v>0.051851851851851</v>
      </c>
      <c r="E62">
        <v>0.161818181818181</v>
      </c>
      <c r="F62">
        <v>-0.043310875842156</v>
      </c>
      <c r="G62">
        <v>-0.174342408860175</v>
      </c>
      <c r="H62">
        <v>0.188205604994022</v>
      </c>
      <c r="I62">
        <v>1.831012658227848</v>
      </c>
    </row>
    <row r="63" spans="1:9">
      <c r="A63" s="1" t="s">
        <v>75</v>
      </c>
      <c r="B63">
        <f>HYPERLINK("https://www.suredividend.com/sure-analysis-research-database/","Adverum Biotechnologies Inc")</f>
        <v>0</v>
      </c>
      <c r="C63">
        <v>-0.05511811023622001</v>
      </c>
      <c r="D63">
        <v>-0.272727272727272</v>
      </c>
      <c r="E63">
        <v>-0.417475728155339</v>
      </c>
      <c r="F63">
        <v>-0.318181818181818</v>
      </c>
      <c r="G63">
        <v>-0.864559819413092</v>
      </c>
      <c r="H63">
        <v>-0.8967297762478481</v>
      </c>
      <c r="I63">
        <v>-0.547169811320754</v>
      </c>
    </row>
    <row r="64" spans="1:9">
      <c r="A64" s="1" t="s">
        <v>76</v>
      </c>
      <c r="B64">
        <f>HYPERLINK("https://www.suredividend.com/sure-analysis-research-database/","Advaxis, Inc.")</f>
        <v>0</v>
      </c>
      <c r="C64">
        <v>-0.235344827586206</v>
      </c>
      <c r="D64">
        <v>-0.435031847133758</v>
      </c>
      <c r="E64">
        <v>-0.342962962962963</v>
      </c>
      <c r="F64">
        <v>-0.429948586118251</v>
      </c>
      <c r="G64">
        <v>-0.342962962962963</v>
      </c>
      <c r="H64">
        <v>-0.342962962962963</v>
      </c>
      <c r="I64">
        <v>-0.342962962962963</v>
      </c>
    </row>
    <row r="65" spans="1:9">
      <c r="A65" s="1" t="s">
        <v>77</v>
      </c>
      <c r="B65">
        <f>HYPERLINK("https://www.suredividend.com/sure-analysis-research-database/","Adams Resources &amp; Energy Inc.")</f>
        <v>0</v>
      </c>
      <c r="C65">
        <v>0.102919492774992</v>
      </c>
      <c r="D65">
        <v>0.255674035078294</v>
      </c>
      <c r="E65">
        <v>0.243355197324459</v>
      </c>
      <c r="F65">
        <v>0.354557143115843</v>
      </c>
      <c r="G65">
        <v>0.4312776257629971</v>
      </c>
      <c r="H65">
        <v>0.847543113455943</v>
      </c>
      <c r="I65">
        <v>0.141012694528935</v>
      </c>
    </row>
    <row r="66" spans="1:9">
      <c r="A66" s="1" t="s">
        <v>78</v>
      </c>
      <c r="B66">
        <f>HYPERLINK("https://www.suredividend.com/sure-analysis-AEE/","Ameren Corp.")</f>
        <v>0</v>
      </c>
      <c r="C66">
        <v>0.09462072102809001</v>
      </c>
      <c r="D66">
        <v>0.099878070659595</v>
      </c>
      <c r="E66">
        <v>0.172303671107007</v>
      </c>
      <c r="F66">
        <v>0.088509076186588</v>
      </c>
      <c r="G66">
        <v>0.164991902549789</v>
      </c>
      <c r="H66">
        <v>0.296525043475683</v>
      </c>
      <c r="I66">
        <v>0.9823942791705451</v>
      </c>
    </row>
    <row r="67" spans="1:9">
      <c r="A67" s="1" t="s">
        <v>79</v>
      </c>
      <c r="B67">
        <f>HYPERLINK("https://www.suredividend.com/sure-analysis-research-database/","Aegion Corp")</f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80</v>
      </c>
      <c r="B68">
        <f>HYPERLINK("https://www.suredividend.com/sure-analysis-research-database/","Aehr Test Systems")</f>
        <v>0</v>
      </c>
      <c r="C68">
        <v>-0.133911368015414</v>
      </c>
      <c r="D68">
        <v>-0.328101644245142</v>
      </c>
      <c r="E68">
        <v>-0.5749408983451531</v>
      </c>
      <c r="F68">
        <v>-0.6282051282051281</v>
      </c>
      <c r="G68">
        <v>3.123853211009174</v>
      </c>
      <c r="H68">
        <v>4.689873417721519</v>
      </c>
      <c r="I68">
        <v>1.020224719101123</v>
      </c>
    </row>
    <row r="69" spans="1:9">
      <c r="A69" s="1" t="s">
        <v>81</v>
      </c>
      <c r="B69">
        <f>HYPERLINK("https://www.suredividend.com/sure-analysis-research-database/","Advanced Energy Industries Inc.")</f>
        <v>0</v>
      </c>
      <c r="C69">
        <v>-0.139467256019541</v>
      </c>
      <c r="D69">
        <v>-0.209824747289179</v>
      </c>
      <c r="E69">
        <v>-0.161620866325104</v>
      </c>
      <c r="F69">
        <v>-0.18665578982781</v>
      </c>
      <c r="G69">
        <v>-0.363502850815495</v>
      </c>
      <c r="H69">
        <v>0.481104802479319</v>
      </c>
      <c r="I69">
        <v>0.154090954472843</v>
      </c>
    </row>
    <row r="70" spans="1:9">
      <c r="A70" s="1" t="s">
        <v>82</v>
      </c>
      <c r="B70">
        <f>HYPERLINK("https://www.suredividend.com/sure-analysis-research-database/","American Equity Investment Life Holding Co")</f>
        <v>0</v>
      </c>
      <c r="C70">
        <v>-0.023696682464455</v>
      </c>
      <c r="D70">
        <v>-0.104757548032936</v>
      </c>
      <c r="E70">
        <v>0.223889931207004</v>
      </c>
      <c r="F70">
        <v>0.005652620760534</v>
      </c>
      <c r="G70">
        <v>0.225806451612903</v>
      </c>
      <c r="H70">
        <v>1.134528756694262</v>
      </c>
      <c r="I70">
        <v>0.8062420105864051</v>
      </c>
    </row>
    <row r="71" spans="1:9">
      <c r="A71" s="1" t="s">
        <v>83</v>
      </c>
      <c r="B71">
        <f>HYPERLINK("https://www.suredividend.com/sure-analysis-research-database/","Aethlon Medical Inc")</f>
        <v>0</v>
      </c>
      <c r="C71">
        <v>-0.06766917293233</v>
      </c>
      <c r="D71">
        <v>-0.311111111111111</v>
      </c>
      <c r="E71">
        <v>-0.638483965014577</v>
      </c>
      <c r="F71">
        <v>-0.333333333333333</v>
      </c>
      <c r="G71">
        <v>-0.307262569832402</v>
      </c>
      <c r="H71">
        <v>-0.194805194805194</v>
      </c>
      <c r="I71">
        <v>-0.51937984496124</v>
      </c>
    </row>
    <row r="72" spans="1:9">
      <c r="A72" s="1" t="s">
        <v>84</v>
      </c>
      <c r="B72">
        <f>HYPERLINK("https://www.suredividend.com/sure-analysis-research-database/","American Eagle Outfitters Inc.")</f>
        <v>0</v>
      </c>
      <c r="C72">
        <v>-0.066666666666666</v>
      </c>
      <c r="D72">
        <v>-0.255800503504116</v>
      </c>
      <c r="E72">
        <v>-0.273270903843358</v>
      </c>
      <c r="F72">
        <v>-0.301946174066702</v>
      </c>
      <c r="G72">
        <v>-0.480164565046265</v>
      </c>
      <c r="H72">
        <v>1.047046988501444</v>
      </c>
      <c r="I72">
        <v>0.470699464665394</v>
      </c>
    </row>
    <row r="73" spans="1:9">
      <c r="A73" s="1" t="s">
        <v>85</v>
      </c>
      <c r="B73">
        <f>HYPERLINK("https://www.suredividend.com/sure-analysis-AEP/","American Electric Power Company Inc.")</f>
        <v>0</v>
      </c>
      <c r="C73">
        <v>0.07331439991585101</v>
      </c>
      <c r="D73">
        <v>0.131347893912297</v>
      </c>
      <c r="E73">
        <v>0.244413007555016</v>
      </c>
      <c r="F73">
        <v>0.156908229649231</v>
      </c>
      <c r="G73">
        <v>0.193122358182254</v>
      </c>
      <c r="H73">
        <v>0.301132306436805</v>
      </c>
      <c r="I73">
        <v>0.7902037049707801</v>
      </c>
    </row>
    <row r="74" spans="1:9">
      <c r="A74" s="1" t="s">
        <v>86</v>
      </c>
      <c r="B74">
        <f>HYPERLINK("https://www.suredividend.com/sure-analysis-research-database/","Aerie Pharmaceuticals Inc")</f>
        <v>0</v>
      </c>
      <c r="C74">
        <v>0.09569377990430601</v>
      </c>
      <c r="D74">
        <v>0.213245033112582</v>
      </c>
      <c r="E74">
        <v>-0.307634164777021</v>
      </c>
      <c r="F74">
        <v>0.304843304843305</v>
      </c>
      <c r="G74">
        <v>-0.4689855072463761</v>
      </c>
      <c r="H74">
        <v>-0.378139850644942</v>
      </c>
      <c r="I74">
        <v>-0.786976744186046</v>
      </c>
    </row>
    <row r="75" spans="1:9">
      <c r="A75" s="1" t="s">
        <v>87</v>
      </c>
      <c r="B75">
        <f>HYPERLINK("https://www.suredividend.com/sure-analysis-AES/","AES Corp.")</f>
        <v>0</v>
      </c>
      <c r="C75">
        <v>0.07770419426048501</v>
      </c>
      <c r="D75">
        <v>0.066148369766984</v>
      </c>
      <c r="E75">
        <v>0.013254077299538</v>
      </c>
      <c r="F75">
        <v>0.011742177753277</v>
      </c>
      <c r="G75">
        <v>-0.126004325222347</v>
      </c>
      <c r="H75">
        <v>1.127548307810307</v>
      </c>
      <c r="I75">
        <v>1.548176294966281</v>
      </c>
    </row>
    <row r="76" spans="1:9">
      <c r="A76" s="1" t="s">
        <v>88</v>
      </c>
      <c r="B76">
        <f>HYPERLINK("https://www.suredividend.com/sure-analysis-research-database/","Addvantage Technologies Group")</f>
        <v>0</v>
      </c>
      <c r="C76">
        <v>-0.024590163934426</v>
      </c>
      <c r="D76">
        <v>-0.131386861313868</v>
      </c>
      <c r="E76">
        <v>-0.4734513274336281</v>
      </c>
      <c r="F76">
        <v>-0.312138728323699</v>
      </c>
      <c r="G76">
        <v>-0.449074074074074</v>
      </c>
      <c r="H76">
        <v>-0.5492424242424241</v>
      </c>
      <c r="I76">
        <v>-0.338888888888888</v>
      </c>
    </row>
    <row r="77" spans="1:9">
      <c r="A77" s="1" t="s">
        <v>89</v>
      </c>
      <c r="B77">
        <f>HYPERLINK("https://www.suredividend.com/sure-analysis-research-database/","American Financial Group Inc")</f>
        <v>0</v>
      </c>
      <c r="C77">
        <v>0.043559557673616</v>
      </c>
      <c r="D77">
        <v>0.102219242957918</v>
      </c>
      <c r="E77">
        <v>0.177289320837226</v>
      </c>
      <c r="F77">
        <v>0.09264581647841201</v>
      </c>
      <c r="G77">
        <v>0.538658439227345</v>
      </c>
      <c r="H77">
        <v>1.884796941135745</v>
      </c>
      <c r="I77">
        <v>1.378033951067658</v>
      </c>
    </row>
    <row r="78" spans="1:9">
      <c r="A78" s="1" t="s">
        <v>90</v>
      </c>
      <c r="B78">
        <f>HYPERLINK("https://www.suredividend.com/sure-analysis-research-database/","Armstrong Flooring Inc")</f>
        <v>0</v>
      </c>
      <c r="C78">
        <v>0.178082191780821</v>
      </c>
      <c r="D78">
        <v>-0.252173913043478</v>
      </c>
      <c r="E78">
        <v>-0.457413249211356</v>
      </c>
      <c r="F78">
        <v>-0.131313131313131</v>
      </c>
      <c r="G78">
        <v>-0.666019417475728</v>
      </c>
      <c r="H78">
        <v>0.05521472392638001</v>
      </c>
      <c r="I78">
        <v>-0.9047091412742381</v>
      </c>
    </row>
    <row r="79" spans="1:9">
      <c r="A79" s="1" t="s">
        <v>91</v>
      </c>
      <c r="B79">
        <f>HYPERLINK("https://www.suredividend.com/sure-analysis-AFL/","Aflac Inc.")</f>
        <v>0</v>
      </c>
      <c r="C79">
        <v>0.04327690833599401</v>
      </c>
      <c r="D79">
        <v>0.026216993135514</v>
      </c>
      <c r="E79">
        <v>0.190250621269649</v>
      </c>
      <c r="F79">
        <v>0.125868787084477</v>
      </c>
      <c r="G79">
        <v>0.251472630621138</v>
      </c>
      <c r="H79">
        <v>0.9516348265097311</v>
      </c>
      <c r="I79">
        <v>0.967486628439261</v>
      </c>
    </row>
    <row r="80" spans="1:9">
      <c r="A80" s="1" t="s">
        <v>92</v>
      </c>
      <c r="B80">
        <f>HYPERLINK("https://www.suredividend.com/sure-analysis-research-database/","AGCO Corp.")</f>
        <v>0</v>
      </c>
      <c r="C80">
        <v>0.08561565017261201</v>
      </c>
      <c r="D80">
        <v>0.124315923955532</v>
      </c>
      <c r="E80">
        <v>0.106298812474103</v>
      </c>
      <c r="F80">
        <v>0.221610357142548</v>
      </c>
      <c r="G80">
        <v>-0.03812036852000601</v>
      </c>
      <c r="H80">
        <v>2.281048934024275</v>
      </c>
      <c r="I80">
        <v>1.609994743491612</v>
      </c>
    </row>
    <row r="81" spans="1:9">
      <c r="A81" s="1" t="s">
        <v>93</v>
      </c>
      <c r="B81">
        <f>HYPERLINK("https://www.suredividend.com/sure-analysis-research-database/","AgeX Therapeutics Inc")</f>
        <v>0</v>
      </c>
      <c r="C81">
        <v>0.168945569287404</v>
      </c>
      <c r="D81">
        <v>0.084268292682926</v>
      </c>
      <c r="E81">
        <v>-0.033586956521739</v>
      </c>
      <c r="F81">
        <v>-0.184311926605504</v>
      </c>
      <c r="G81">
        <v>-0.3951700680272101</v>
      </c>
      <c r="H81">
        <v>0.111375</v>
      </c>
      <c r="I81">
        <v>-0.6719188191881911</v>
      </c>
    </row>
    <row r="82" spans="1:9">
      <c r="A82" s="1" t="s">
        <v>94</v>
      </c>
      <c r="B82">
        <f>HYPERLINK("https://www.suredividend.com/sure-analysis-research-database/","Agenus Inc")</f>
        <v>0</v>
      </c>
      <c r="C82">
        <v>-0.149090909090909</v>
      </c>
      <c r="D82">
        <v>-0.232786885245901</v>
      </c>
      <c r="E82">
        <v>-0.559322033898305</v>
      </c>
      <c r="F82">
        <v>-0.273291925465838</v>
      </c>
      <c r="G82">
        <v>-0.106870229007633</v>
      </c>
      <c r="H82">
        <v>-0.103448275862068</v>
      </c>
      <c r="I82">
        <v>-0.3256484149855901</v>
      </c>
    </row>
    <row r="83" spans="1:9">
      <c r="A83" s="1" t="s">
        <v>95</v>
      </c>
      <c r="B83">
        <f>HYPERLINK("https://www.suredividend.com/sure-analysis-research-database/","AgroFresh Solutions Inc")</f>
        <v>0</v>
      </c>
      <c r="C83">
        <v>-0.03157894736842001</v>
      </c>
      <c r="D83">
        <v>-0.111111111111111</v>
      </c>
      <c r="E83">
        <v>-0.14018691588785</v>
      </c>
      <c r="F83">
        <v>-0.07537688442211</v>
      </c>
      <c r="G83">
        <v>-0.08457711442786001</v>
      </c>
      <c r="H83">
        <v>0.277777777777777</v>
      </c>
      <c r="I83">
        <v>-0.62217659137577</v>
      </c>
    </row>
    <row r="84" spans="1:9">
      <c r="A84" s="1" t="s">
        <v>96</v>
      </c>
      <c r="B84">
        <f>HYPERLINK("https://www.suredividend.com/sure-analysis-research-database/","Agios Pharmaceuticals Inc")</f>
        <v>0</v>
      </c>
      <c r="C84">
        <v>0.007947976878612</v>
      </c>
      <c r="D84">
        <v>-0.158117079058539</v>
      </c>
      <c r="E84">
        <v>-0.3971477960242</v>
      </c>
      <c r="F84">
        <v>-0.151201703681168</v>
      </c>
      <c r="G84">
        <v>-0.4898518924849151</v>
      </c>
      <c r="H84">
        <v>-0.354316130525341</v>
      </c>
      <c r="I84">
        <v>-0.495752756190131</v>
      </c>
    </row>
    <row r="85" spans="1:9">
      <c r="A85" s="1" t="s">
        <v>97</v>
      </c>
      <c r="B85">
        <f>HYPERLINK("https://www.suredividend.com/sure-analysis-research-database/","Aeglea BioTherapeutics Inc")</f>
        <v>0</v>
      </c>
      <c r="C85">
        <v>-0.178423236514522</v>
      </c>
      <c r="D85">
        <v>-0.564835164835164</v>
      </c>
      <c r="E85">
        <v>-0.757946210268948</v>
      </c>
      <c r="F85">
        <v>-0.5831578947368421</v>
      </c>
      <c r="G85">
        <v>-0.757649938800489</v>
      </c>
      <c r="H85">
        <v>-0.630597014925373</v>
      </c>
      <c r="I85">
        <v>-0.7338709677419351</v>
      </c>
    </row>
    <row r="86" spans="1:9">
      <c r="A86" s="1" t="s">
        <v>98</v>
      </c>
      <c r="B86">
        <f>HYPERLINK("https://www.suredividend.com/sure-analysis-AGM/","Federal Agricultural Mortgage Corp.")</f>
        <v>0</v>
      </c>
      <c r="C86">
        <v>-0.140920134806803</v>
      </c>
      <c r="D86">
        <v>-0.143661170764634</v>
      </c>
      <c r="E86">
        <v>-0.05805414835153001</v>
      </c>
      <c r="F86">
        <v>-0.108973348052357</v>
      </c>
      <c r="G86">
        <v>0.123754473846898</v>
      </c>
      <c r="H86">
        <v>1.242857172088797</v>
      </c>
      <c r="I86">
        <v>1.404577054617968</v>
      </c>
    </row>
    <row r="87" spans="1:9">
      <c r="A87" s="1" t="s">
        <v>99</v>
      </c>
      <c r="B87">
        <f>HYPERLINK("https://www.suredividend.com/sure-analysis-AGNC/","AGNC Investment Corp")</f>
        <v>0</v>
      </c>
      <c r="C87">
        <v>-0.028438417164254</v>
      </c>
      <c r="D87">
        <v>-0.163084516392947</v>
      </c>
      <c r="E87">
        <v>-0.191856399098609</v>
      </c>
      <c r="F87">
        <v>-0.148058898620374</v>
      </c>
      <c r="G87">
        <v>-0.21762353147686</v>
      </c>
      <c r="H87">
        <v>0.287075615692421</v>
      </c>
      <c r="I87">
        <v>0.039047539755224</v>
      </c>
    </row>
    <row r="88" spans="1:9">
      <c r="A88" s="1" t="s">
        <v>100</v>
      </c>
      <c r="B88">
        <f>HYPERLINK("https://www.suredividend.com/sure-analysis-research-database/","Assured Guaranty Ltd")</f>
        <v>0</v>
      </c>
      <c r="C88">
        <v>-0.0151638676015</v>
      </c>
      <c r="D88">
        <v>0.08912426475096201</v>
      </c>
      <c r="E88">
        <v>0.152148451657453</v>
      </c>
      <c r="F88">
        <v>0.208234397473109</v>
      </c>
      <c r="G88">
        <v>0.346276008871156</v>
      </c>
      <c r="H88">
        <v>1.191836497706555</v>
      </c>
      <c r="I88">
        <v>0.7613848450914511</v>
      </c>
    </row>
    <row r="89" spans="1:9">
      <c r="A89" s="1" t="s">
        <v>101</v>
      </c>
      <c r="B89">
        <f>HYPERLINK("https://www.suredividend.com/sure-analysis-research-database/","Avangrid Inc")</f>
        <v>0</v>
      </c>
      <c r="C89">
        <v>0.09340782122905</v>
      </c>
      <c r="D89">
        <v>0.028600258569041</v>
      </c>
      <c r="E89">
        <v>-0.022738847778543</v>
      </c>
      <c r="F89">
        <v>-0.009343712987052001</v>
      </c>
      <c r="G89">
        <v>-0.038344372162496</v>
      </c>
      <c r="H89">
        <v>0.157796849599988</v>
      </c>
      <c r="I89">
        <v>0.352423333655799</v>
      </c>
    </row>
    <row r="90" spans="1:9">
      <c r="A90" s="1" t="s">
        <v>102</v>
      </c>
      <c r="B90">
        <f>HYPERLINK("https://www.suredividend.com/sure-analysis-research-database/","Agile Therapeutics Inc")</f>
        <v>0</v>
      </c>
      <c r="C90">
        <v>-0.341572123176661</v>
      </c>
      <c r="D90">
        <v>-0.571805006587615</v>
      </c>
      <c r="E90">
        <v>-0.786184210526315</v>
      </c>
      <c r="F90">
        <v>-0.667076418766646</v>
      </c>
      <c r="G90">
        <v>-0.910714285714285</v>
      </c>
      <c r="H90">
        <v>-0.9271300448430491</v>
      </c>
      <c r="I90">
        <v>-0.9454697986577181</v>
      </c>
    </row>
    <row r="91" spans="1:9">
      <c r="A91" s="1" t="s">
        <v>103</v>
      </c>
      <c r="B91">
        <f>HYPERLINK("https://www.suredividend.com/sure-analysis-research-database/","PlayAGS Inc")</f>
        <v>0</v>
      </c>
      <c r="C91">
        <v>-0.164364640883977</v>
      </c>
      <c r="D91">
        <v>-0.140625</v>
      </c>
      <c r="E91">
        <v>-0.257668711656441</v>
      </c>
      <c r="F91">
        <v>-0.108983799705449</v>
      </c>
      <c r="G91">
        <v>-0.219354838709677</v>
      </c>
      <c r="H91">
        <v>1.153024911032028</v>
      </c>
      <c r="I91">
        <v>-0.6729729729729731</v>
      </c>
    </row>
    <row r="92" spans="1:9">
      <c r="A92" s="1" t="s">
        <v>104</v>
      </c>
      <c r="B92">
        <f>HYPERLINK("https://www.suredividend.com/sure-analysis-research-database/","Applied Genetic Technologies Corp")</f>
        <v>0</v>
      </c>
      <c r="C92">
        <v>-0.35672514619883</v>
      </c>
      <c r="D92">
        <v>-0.367816091954023</v>
      </c>
      <c r="E92">
        <v>-0.586466165413533</v>
      </c>
      <c r="F92">
        <v>-0.421052631578947</v>
      </c>
      <c r="G92">
        <v>-0.724310776942355</v>
      </c>
      <c r="H92">
        <v>-0.71938775510204</v>
      </c>
      <c r="I92">
        <v>-0.8211382113821131</v>
      </c>
    </row>
    <row r="93" spans="1:9">
      <c r="A93" s="1" t="s">
        <v>105</v>
      </c>
      <c r="B93">
        <f>HYPERLINK("https://www.suredividend.com/sure-analysis-research-database/","Argan, Inc.")</f>
        <v>0</v>
      </c>
      <c r="C93">
        <v>-0.078015952143569</v>
      </c>
      <c r="D93">
        <v>-0.059864685579508</v>
      </c>
      <c r="E93">
        <v>-0.15600935485711</v>
      </c>
      <c r="F93">
        <v>-0.037753665979038</v>
      </c>
      <c r="G93">
        <v>-0.307226828432354</v>
      </c>
      <c r="H93">
        <v>0.164078775939225</v>
      </c>
      <c r="I93">
        <v>-0.35349121733811</v>
      </c>
    </row>
    <row r="94" spans="1:9">
      <c r="A94" s="1" t="s">
        <v>106</v>
      </c>
      <c r="B94">
        <f>HYPERLINK("https://www.suredividend.com/sure-analysis-research-database/","Agilysys, Inc")</f>
        <v>0</v>
      </c>
      <c r="C94">
        <v>-0.06511056511056501</v>
      </c>
      <c r="D94">
        <v>-0.07172481092949501</v>
      </c>
      <c r="E94">
        <v>-0.28825289936401</v>
      </c>
      <c r="F94">
        <v>-0.144174538911381</v>
      </c>
      <c r="G94">
        <v>-0.24563838223632</v>
      </c>
      <c r="H94">
        <v>1.384085213032581</v>
      </c>
      <c r="I94">
        <v>3.149400218102508</v>
      </c>
    </row>
    <row r="95" spans="1:9">
      <c r="A95" s="1" t="s">
        <v>107</v>
      </c>
      <c r="B95">
        <f>HYPERLINK("https://www.suredividend.com/sure-analysis-research-database/","A.H. Belo Corp")</f>
        <v>0</v>
      </c>
      <c r="C95">
        <v>0.044198895027624</v>
      </c>
      <c r="D95">
        <v>-0.09879839786381801</v>
      </c>
      <c r="E95">
        <v>0.343522303181091</v>
      </c>
      <c r="F95">
        <v>0</v>
      </c>
      <c r="G95">
        <v>0.242787394584997</v>
      </c>
      <c r="H95">
        <v>-0.371576296123889</v>
      </c>
      <c r="I95">
        <v>-0.41443918610145</v>
      </c>
    </row>
    <row r="96" spans="1:9">
      <c r="A96" s="1" t="s">
        <v>108</v>
      </c>
      <c r="B96">
        <f>HYPERLINK("https://www.suredividend.com/sure-analysis-research-database/","Armada Hoffler Properties Inc")</f>
        <v>0</v>
      </c>
      <c r="C96">
        <v>-0.035012172544977</v>
      </c>
      <c r="D96">
        <v>0.008240220494980001</v>
      </c>
      <c r="E96">
        <v>0.07210125819332401</v>
      </c>
      <c r="F96">
        <v>-0.05403249395059401</v>
      </c>
      <c r="G96">
        <v>0.099520939576572</v>
      </c>
      <c r="H96">
        <v>0.864175858726124</v>
      </c>
      <c r="I96">
        <v>0.280367104552816</v>
      </c>
    </row>
    <row r="97" spans="1:9">
      <c r="A97" s="1" t="s">
        <v>109</v>
      </c>
      <c r="B97">
        <f>HYPERLINK("https://www.suredividend.com/sure-analysis-research-database/","Ashford Hospitality Trust Inc")</f>
        <v>0</v>
      </c>
      <c r="C97">
        <v>-0.066964285714285</v>
      </c>
      <c r="D97">
        <v>-0.258207630878438</v>
      </c>
      <c r="E97">
        <v>-0.406671398154719</v>
      </c>
      <c r="F97">
        <v>-0.129166666666666</v>
      </c>
      <c r="G97">
        <v>-0.564583333333333</v>
      </c>
      <c r="H97">
        <v>-0.8673226471988571</v>
      </c>
      <c r="I97">
        <v>-0.983410381132602</v>
      </c>
    </row>
    <row r="98" spans="1:9">
      <c r="A98" s="1" t="s">
        <v>110</v>
      </c>
      <c r="B98">
        <f>HYPERLINK("https://www.suredividend.com/sure-analysis-research-database/","American International Group Inc")</f>
        <v>0</v>
      </c>
      <c r="C98">
        <v>0.054366008698561</v>
      </c>
      <c r="D98">
        <v>0.02368624495709</v>
      </c>
      <c r="E98">
        <v>0.09385114391873901</v>
      </c>
      <c r="F98">
        <v>0.114604627474836</v>
      </c>
      <c r="G98">
        <v>0.369925537602858</v>
      </c>
      <c r="H98">
        <v>1.885671904186352</v>
      </c>
      <c r="I98">
        <v>0.216480678743336</v>
      </c>
    </row>
    <row r="99" spans="1:9">
      <c r="A99" s="1" t="s">
        <v>111</v>
      </c>
      <c r="B99">
        <f>HYPERLINK("https://www.suredividend.com/sure-analysis-research-database/","Altra Industrial Motion Corp")</f>
        <v>0</v>
      </c>
      <c r="C99">
        <v>-0.118287552585993</v>
      </c>
      <c r="D99">
        <v>-0.294676121134377</v>
      </c>
      <c r="E99">
        <v>-0.351444823663253</v>
      </c>
      <c r="F99">
        <v>-0.307668691390841</v>
      </c>
      <c r="G99">
        <v>-0.430428513423215</v>
      </c>
      <c r="H99">
        <v>1.047124660296813</v>
      </c>
      <c r="I99">
        <v>0.04136526113044901</v>
      </c>
    </row>
    <row r="100" spans="1:9">
      <c r="A100" s="1" t="s">
        <v>112</v>
      </c>
      <c r="B100">
        <f>HYPERLINK("https://www.suredividend.com/sure-analysis-research-database/","Aimmune Therapeutics Inc")</f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113</v>
      </c>
      <c r="B101">
        <f>HYPERLINK("https://www.suredividend.com/sure-analysis-research-database/","Albany International Corp.")</f>
        <v>0</v>
      </c>
      <c r="C101">
        <v>-0.056660381582318</v>
      </c>
      <c r="D101">
        <v>-0.078201235153965</v>
      </c>
      <c r="E101">
        <v>0.023202605380481</v>
      </c>
      <c r="F101">
        <v>-0.073511611987796</v>
      </c>
      <c r="G101">
        <v>-0.06182434138347301</v>
      </c>
      <c r="H101">
        <v>0.843749295202868</v>
      </c>
      <c r="I101">
        <v>0.9707913058571671</v>
      </c>
    </row>
    <row r="102" spans="1:9">
      <c r="A102" s="1" t="s">
        <v>114</v>
      </c>
      <c r="B102">
        <f>HYPERLINK("https://www.suredividend.com/sure-analysis-research-database/","Ashford Inc")</f>
        <v>0</v>
      </c>
      <c r="C102">
        <v>0.054434250764525</v>
      </c>
      <c r="D102">
        <v>0.072139303482587</v>
      </c>
      <c r="E102">
        <v>-0.09023746701846901</v>
      </c>
      <c r="F102">
        <v>0.035435435435435</v>
      </c>
      <c r="G102">
        <v>0.9976825028968711</v>
      </c>
      <c r="H102">
        <v>1.238961038961038</v>
      </c>
      <c r="I102">
        <v>-0.6993231282254301</v>
      </c>
    </row>
    <row r="103" spans="1:9">
      <c r="A103" s="1" t="s">
        <v>115</v>
      </c>
      <c r="B103">
        <f>HYPERLINK("https://www.suredividend.com/sure-analysis-research-database/","AAR Corp.")</f>
        <v>0</v>
      </c>
      <c r="C103">
        <v>0.129190880643719</v>
      </c>
      <c r="D103">
        <v>0.18009810791871</v>
      </c>
      <c r="E103">
        <v>0.492907801418439</v>
      </c>
      <c r="F103">
        <v>0.294388931591083</v>
      </c>
      <c r="G103">
        <v>0.24280442804428</v>
      </c>
      <c r="H103">
        <v>2.032412965186074</v>
      </c>
      <c r="I103">
        <v>0.571193541063448</v>
      </c>
    </row>
    <row r="104" spans="1:9">
      <c r="A104" s="1" t="s">
        <v>116</v>
      </c>
      <c r="B104">
        <f>HYPERLINK("https://www.suredividend.com/sure-analysis-research-database/","Airgain Inc")</f>
        <v>0</v>
      </c>
      <c r="C104">
        <v>0.030978934324659</v>
      </c>
      <c r="D104">
        <v>-0.228915662650602</v>
      </c>
      <c r="E104">
        <v>-0.243636363636363</v>
      </c>
      <c r="F104">
        <v>-0.2173095014111</v>
      </c>
      <c r="G104">
        <v>-0.602674307545367</v>
      </c>
      <c r="H104">
        <v>0.212827988338192</v>
      </c>
      <c r="I104">
        <v>-0.446071904127829</v>
      </c>
    </row>
    <row r="105" spans="1:9">
      <c r="A105" s="1" t="s">
        <v>117</v>
      </c>
      <c r="B105">
        <f>HYPERLINK("https://www.suredividend.com/sure-analysis-research-database/","Air Industries Group")</f>
        <v>0</v>
      </c>
      <c r="C105">
        <v>-0.059266013220879</v>
      </c>
      <c r="D105">
        <v>-0.063003746168691</v>
      </c>
      <c r="E105">
        <v>-0.275964912280701</v>
      </c>
      <c r="F105">
        <v>-0.089966923925027</v>
      </c>
      <c r="G105">
        <v>-0.317851239669421</v>
      </c>
      <c r="H105">
        <v>-0.294529914529914</v>
      </c>
      <c r="I105">
        <v>-0.732012987012987</v>
      </c>
    </row>
    <row r="106" spans="1:9">
      <c r="A106" s="1" t="s">
        <v>118</v>
      </c>
      <c r="B106">
        <f>HYPERLINK("https://www.suredividend.com/sure-analysis-research-database/","Air T Inc")</f>
        <v>0</v>
      </c>
      <c r="C106">
        <v>-0.161166287015945</v>
      </c>
      <c r="D106">
        <v>-0.306500941619585</v>
      </c>
      <c r="E106">
        <v>-0.353950877192982</v>
      </c>
      <c r="F106">
        <v>-0.267896620278329</v>
      </c>
      <c r="G106">
        <v>-0.160783956244302</v>
      </c>
      <c r="H106">
        <v>0.6038396543614221</v>
      </c>
      <c r="I106">
        <v>0.4091086502330351</v>
      </c>
    </row>
    <row r="107" spans="1:9">
      <c r="A107" s="1" t="s">
        <v>119</v>
      </c>
      <c r="B107">
        <f>HYPERLINK("https://www.suredividend.com/sure-analysis-research-database/","Applied Industrial Technologies Inc.")</f>
        <v>0</v>
      </c>
      <c r="C107">
        <v>-0.04009410842074301</v>
      </c>
      <c r="D107">
        <v>-0.03141951642194901</v>
      </c>
      <c r="E107">
        <v>0.033153333375537</v>
      </c>
      <c r="F107">
        <v>-0.04311456826799</v>
      </c>
      <c r="G107">
        <v>0.047049879223566</v>
      </c>
      <c r="H107">
        <v>1.227438991101162</v>
      </c>
      <c r="I107">
        <v>0.8226083848920061</v>
      </c>
    </row>
    <row r="108" spans="1:9">
      <c r="A108" s="1" t="s">
        <v>120</v>
      </c>
      <c r="B108">
        <f>HYPERLINK("https://www.suredividend.com/sure-analysis-research-database/","Apartment Investment &amp; Management Co.")</f>
        <v>0</v>
      </c>
      <c r="C108">
        <v>-0.06233062330623301</v>
      </c>
      <c r="D108">
        <v>-0.048143053645116</v>
      </c>
      <c r="E108">
        <v>-0.071140939597315</v>
      </c>
      <c r="F108">
        <v>-0.103626943005181</v>
      </c>
      <c r="G108">
        <v>0.084639498432601</v>
      </c>
      <c r="H108">
        <v>0.5090060621919841</v>
      </c>
      <c r="I108">
        <v>0.405932547744819</v>
      </c>
    </row>
    <row r="109" spans="1:9">
      <c r="A109" s="1" t="s">
        <v>121</v>
      </c>
      <c r="B109">
        <f>HYPERLINK("https://www.suredividend.com/sure-analysis-AIZ/","Assurant Inc")</f>
        <v>0</v>
      </c>
      <c r="C109">
        <v>0.08568479008946901</v>
      </c>
      <c r="D109">
        <v>0.227261941654165</v>
      </c>
      <c r="E109">
        <v>0.169932548104437</v>
      </c>
      <c r="F109">
        <v>0.219623765718843</v>
      </c>
      <c r="G109">
        <v>0.256576615328243</v>
      </c>
      <c r="H109">
        <v>0.9374112787426171</v>
      </c>
      <c r="I109">
        <v>1.22018148488271</v>
      </c>
    </row>
    <row r="110" spans="1:9">
      <c r="A110" s="1" t="s">
        <v>122</v>
      </c>
      <c r="B110">
        <f>HYPERLINK("https://www.suredividend.com/sure-analysis-AJG/","Arthur J. Gallagher &amp; Co.")</f>
        <v>0</v>
      </c>
      <c r="C110">
        <v>0.110284625315055</v>
      </c>
      <c r="D110">
        <v>0.148966083203186</v>
      </c>
      <c r="E110">
        <v>0.115725045219574</v>
      </c>
      <c r="F110">
        <v>0.06790835181079101</v>
      </c>
      <c r="G110">
        <v>0.33723672295929</v>
      </c>
      <c r="H110">
        <v>1.302263001775678</v>
      </c>
      <c r="I110">
        <v>2.561997211303883</v>
      </c>
    </row>
    <row r="111" spans="1:9">
      <c r="A111" s="1" t="s">
        <v>123</v>
      </c>
      <c r="B111">
        <f>HYPERLINK("https://www.suredividend.com/sure-analysis-research-database/","Aerojet Rocketdyne Holdings Inc")</f>
        <v>0</v>
      </c>
      <c r="C111">
        <v>0.138449367088607</v>
      </c>
      <c r="D111">
        <v>0.004420660772452001</v>
      </c>
      <c r="E111">
        <v>-0.016628701594533</v>
      </c>
      <c r="F111">
        <v>-0.076775021385799</v>
      </c>
      <c r="G111">
        <v>-0.110447146095198</v>
      </c>
      <c r="H111">
        <v>0.142837477233258</v>
      </c>
      <c r="I111">
        <v>1.25979532546392</v>
      </c>
    </row>
    <row r="112" spans="1:9">
      <c r="A112" s="1" t="s">
        <v>124</v>
      </c>
      <c r="B112">
        <f>HYPERLINK("https://www.suredividend.com/sure-analysis-research-database/","Great Ajax Corp")</f>
        <v>0</v>
      </c>
      <c r="C112">
        <v>-0.07308377896613101</v>
      </c>
      <c r="D112">
        <v>-0.198118663017078</v>
      </c>
      <c r="E112">
        <v>-0.222354322289269</v>
      </c>
      <c r="F112">
        <v>-0.185265846187592</v>
      </c>
      <c r="G112">
        <v>-0.022868632203994</v>
      </c>
      <c r="H112">
        <v>0.7169649342930721</v>
      </c>
      <c r="I112">
        <v>0.215947620717876</v>
      </c>
    </row>
    <row r="113" spans="1:9">
      <c r="A113" s="1" t="s">
        <v>125</v>
      </c>
      <c r="B113">
        <f>HYPERLINK("https://www.suredividend.com/sure-analysis-research-database/","Akamai Technologies Inc")</f>
        <v>0</v>
      </c>
      <c r="C113">
        <v>0.05646808132824201</v>
      </c>
      <c r="D113">
        <v>0.05656188954004601</v>
      </c>
      <c r="E113">
        <v>0.119168547780285</v>
      </c>
      <c r="F113">
        <v>0.016660970608338</v>
      </c>
      <c r="G113">
        <v>0.122970932427331</v>
      </c>
      <c r="H113">
        <v>0.124244142101284</v>
      </c>
      <c r="I113">
        <v>1.023639455782313</v>
      </c>
    </row>
    <row r="114" spans="1:9">
      <c r="A114" s="1" t="s">
        <v>126</v>
      </c>
      <c r="B114">
        <f>HYPERLINK("https://www.suredividend.com/sure-analysis-research-database/","Akebia Therapeutics Inc.")</f>
        <v>0</v>
      </c>
      <c r="C114">
        <v>-0.77</v>
      </c>
      <c r="D114">
        <v>-0.755363636363636</v>
      </c>
      <c r="E114">
        <v>-0.8111578947368421</v>
      </c>
      <c r="F114">
        <v>-0.761858407079646</v>
      </c>
      <c r="G114">
        <v>-0.8181756756756751</v>
      </c>
      <c r="H114">
        <v>-0.9236595744680851</v>
      </c>
      <c r="I114">
        <v>-0.940661521499448</v>
      </c>
    </row>
    <row r="115" spans="1:9">
      <c r="A115" s="1" t="s">
        <v>127</v>
      </c>
      <c r="B115">
        <f>HYPERLINK("https://www.suredividend.com/sure-analysis-research-database/","Akcea Therapeutics Inc")</f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128</v>
      </c>
      <c r="B116">
        <f>HYPERLINK("https://www.suredividend.com/sure-analysis-AKR/","Acadia Realty Trust")</f>
        <v>0</v>
      </c>
      <c r="C116">
        <v>-0.025917310998538</v>
      </c>
      <c r="D116">
        <v>-0.04890145649588101</v>
      </c>
      <c r="E116">
        <v>-0.041011576651188</v>
      </c>
      <c r="F116">
        <v>-0.021455025722017</v>
      </c>
      <c r="G116">
        <v>0.07842089459568101</v>
      </c>
      <c r="H116">
        <v>0.95817508062802</v>
      </c>
      <c r="I116">
        <v>-0.194682395506335</v>
      </c>
    </row>
    <row r="117" spans="1:9">
      <c r="A117" s="1" t="s">
        <v>129</v>
      </c>
      <c r="B117">
        <f>HYPERLINK("https://www.suredividend.com/sure-analysis-research-database/","Akoustis Technologies Inc")</f>
        <v>0</v>
      </c>
      <c r="C117">
        <v>-0.041379310344827</v>
      </c>
      <c r="D117">
        <v>-0.056027164685908</v>
      </c>
      <c r="E117">
        <v>-0.364571428571428</v>
      </c>
      <c r="F117">
        <v>-0.167664670658682</v>
      </c>
      <c r="G117">
        <v>-0.5308016877637131</v>
      </c>
      <c r="H117">
        <v>-0.251682368775235</v>
      </c>
      <c r="I117">
        <v>-0.5512510088781271</v>
      </c>
    </row>
    <row r="118" spans="1:9">
      <c r="A118" s="1" t="s">
        <v>130</v>
      </c>
      <c r="B118">
        <f>HYPERLINK("https://www.suredividend.com/sure-analysis-research-database/","Air Lease Corp")</f>
        <v>0</v>
      </c>
      <c r="C118">
        <v>0.051583930088602</v>
      </c>
      <c r="D118">
        <v>-0.022146176957231</v>
      </c>
      <c r="E118">
        <v>0.034216029870985</v>
      </c>
      <c r="F118">
        <v>-0.016176761150337</v>
      </c>
      <c r="G118">
        <v>-0.09277106919819501</v>
      </c>
      <c r="H118">
        <v>1.054804267086608</v>
      </c>
      <c r="I118">
        <v>0.315777484167843</v>
      </c>
    </row>
    <row r="119" spans="1:9">
      <c r="A119" s="1" t="s">
        <v>131</v>
      </c>
      <c r="B119">
        <f>HYPERLINK("https://www.suredividend.com/sure-analysis-ALB/","Albemarle Corp.")</f>
        <v>0</v>
      </c>
      <c r="C119">
        <v>0.104974981006523</v>
      </c>
      <c r="D119">
        <v>-0.09562008925010501</v>
      </c>
      <c r="E119">
        <v>-0.07474436901067101</v>
      </c>
      <c r="F119">
        <v>-0.09600698195186001</v>
      </c>
      <c r="G119">
        <v>0.3977462675289931</v>
      </c>
      <c r="H119">
        <v>2.678598403248623</v>
      </c>
      <c r="I119">
        <v>1.180839347557892</v>
      </c>
    </row>
    <row r="120" spans="1:9">
      <c r="A120" s="1" t="s">
        <v>132</v>
      </c>
      <c r="B120">
        <f>HYPERLINK("https://www.suredividend.com/sure-analysis-research-database/","Albireo Pharma Inc")</f>
        <v>0</v>
      </c>
      <c r="C120">
        <v>0.205474934036939</v>
      </c>
      <c r="D120">
        <v>0.346720707442888</v>
      </c>
      <c r="E120">
        <v>0.169974391805377</v>
      </c>
      <c r="F120">
        <v>0.5693430656934301</v>
      </c>
      <c r="G120">
        <v>0.121165644171779</v>
      </c>
      <c r="H120">
        <v>1.052217855137563</v>
      </c>
      <c r="I120">
        <v>0.7555235350624391</v>
      </c>
    </row>
    <row r="121" spans="1:9">
      <c r="A121" s="1" t="s">
        <v>133</v>
      </c>
      <c r="B121">
        <f>HYPERLINK("https://www.suredividend.com/sure-analysis-research-database/","Alico Inc.")</f>
        <v>0</v>
      </c>
      <c r="C121">
        <v>0.199391389106816</v>
      </c>
      <c r="D121">
        <v>0.093618750846768</v>
      </c>
      <c r="E121">
        <v>0.205528225071761</v>
      </c>
      <c r="F121">
        <v>0.105135759739761</v>
      </c>
      <c r="G121">
        <v>0.455972698708166</v>
      </c>
      <c r="H121">
        <v>0.615744299256981</v>
      </c>
      <c r="I121">
        <v>0.615136502245023</v>
      </c>
    </row>
    <row r="122" spans="1:9">
      <c r="A122" s="1" t="s">
        <v>134</v>
      </c>
      <c r="B122">
        <f>HYPERLINK("https://www.suredividend.com/sure-analysis-research-database/","Aldeyra Therapeutics Inc")</f>
        <v>0</v>
      </c>
      <c r="C122">
        <v>0.09090909090909001</v>
      </c>
      <c r="D122">
        <v>0.206349206349206</v>
      </c>
      <c r="E122">
        <v>-0.453237410071942</v>
      </c>
      <c r="F122">
        <v>0.139999999999999</v>
      </c>
      <c r="G122">
        <v>-0.595744680851063</v>
      </c>
      <c r="H122">
        <v>0.456869009584664</v>
      </c>
      <c r="I122">
        <v>-0.05691594970218401</v>
      </c>
    </row>
    <row r="123" spans="1:9">
      <c r="A123" s="1" t="s">
        <v>135</v>
      </c>
      <c r="B123">
        <f>HYPERLINK("https://www.suredividend.com/sure-analysis-ALE/","Allete, Inc.")</f>
        <v>0</v>
      </c>
      <c r="C123">
        <v>-0.04125736738703301</v>
      </c>
      <c r="D123">
        <v>-0.026405527266477</v>
      </c>
      <c r="E123">
        <v>0.015553463831313</v>
      </c>
      <c r="F123">
        <v>-0.033742845219128</v>
      </c>
      <c r="G123">
        <v>-0.06656053157788601</v>
      </c>
      <c r="H123">
        <v>0.220572730281131</v>
      </c>
      <c r="I123">
        <v>0.09233163904844501</v>
      </c>
    </row>
    <row r="124" spans="1:9">
      <c r="A124" s="1" t="s">
        <v>136</v>
      </c>
      <c r="B124">
        <f>HYPERLINK("https://www.suredividend.com/sure-analysis-research-database/","Alector Inc")</f>
        <v>0</v>
      </c>
      <c r="C124">
        <v>-0.181655960028551</v>
      </c>
      <c r="D124">
        <v>-0.345231296402056</v>
      </c>
      <c r="E124">
        <v>-0.50793991416309</v>
      </c>
      <c r="F124">
        <v>-0.444794188861985</v>
      </c>
      <c r="G124">
        <v>-0.355898876404494</v>
      </c>
      <c r="H124">
        <v>-0.490217874610938</v>
      </c>
      <c r="I124">
        <v>-0.363055555555555</v>
      </c>
    </row>
    <row r="125" spans="1:9">
      <c r="A125" s="1" t="s">
        <v>137</v>
      </c>
      <c r="B125">
        <f>HYPERLINK("https://www.suredividend.com/sure-analysis-research-database/","Alexander &amp; Baldwin Inc.")</f>
        <v>0</v>
      </c>
      <c r="C125">
        <v>-0.058183340309753</v>
      </c>
      <c r="D125">
        <v>-0.064787374213901</v>
      </c>
      <c r="E125">
        <v>-0.045538422381063</v>
      </c>
      <c r="F125">
        <v>-0.096095130965772</v>
      </c>
      <c r="G125">
        <v>0.318295005126702</v>
      </c>
      <c r="H125">
        <v>1.119801774980686</v>
      </c>
      <c r="I125">
        <v>0.090169097339987</v>
      </c>
    </row>
    <row r="126" spans="1:9">
      <c r="A126" s="1" t="s">
        <v>138</v>
      </c>
      <c r="B126">
        <f>HYPERLINK("https://www.suredividend.com/sure-analysis-research-database/","Alamo Group Inc.")</f>
        <v>0</v>
      </c>
      <c r="C126">
        <v>-0.069358692776136</v>
      </c>
      <c r="D126">
        <v>-0.135757784780822</v>
      </c>
      <c r="E126">
        <v>-0.06727839169944501</v>
      </c>
      <c r="F126">
        <v>-0.068102360257923</v>
      </c>
      <c r="G126">
        <v>-0.135925892477654</v>
      </c>
      <c r="H126">
        <v>0.586962825494403</v>
      </c>
      <c r="I126">
        <v>0.937485573648383</v>
      </c>
    </row>
    <row r="127" spans="1:9">
      <c r="A127" s="1" t="s">
        <v>139</v>
      </c>
      <c r="B127">
        <f>HYPERLINK("https://www.suredividend.com/sure-analysis-research-database/","Align Technology, Inc.")</f>
        <v>0</v>
      </c>
      <c r="C127">
        <v>-0.025745869487697</v>
      </c>
      <c r="D127">
        <v>-0.218839944341726</v>
      </c>
      <c r="E127">
        <v>-0.304930377707298</v>
      </c>
      <c r="F127">
        <v>-0.376396116741227</v>
      </c>
      <c r="G127">
        <v>-0.324097438688503</v>
      </c>
      <c r="H127">
        <v>1.272485305533991</v>
      </c>
      <c r="I127">
        <v>2.603446759869867</v>
      </c>
    </row>
    <row r="128" spans="1:9">
      <c r="A128" s="1" t="s">
        <v>140</v>
      </c>
      <c r="B128">
        <f>HYPERLINK("https://www.suredividend.com/sure-analysis-research-database/","Allegiant Travel")</f>
        <v>0</v>
      </c>
      <c r="C128">
        <v>0.013018506700702</v>
      </c>
      <c r="D128">
        <v>-0.147017732401934</v>
      </c>
      <c r="E128">
        <v>-0.164834008523175</v>
      </c>
      <c r="F128">
        <v>-0.151304533789563</v>
      </c>
      <c r="G128">
        <v>-0.3496394624713201</v>
      </c>
      <c r="H128">
        <v>1.188008270158511</v>
      </c>
      <c r="I128">
        <v>0.10813882381193</v>
      </c>
    </row>
    <row r="129" spans="1:9">
      <c r="A129" s="1" t="s">
        <v>141</v>
      </c>
      <c r="B129">
        <f>HYPERLINK("https://www.suredividend.com/sure-analysis-research-database/","Alimera Sciences Inc.")</f>
        <v>0</v>
      </c>
      <c r="C129">
        <v>0.15819209039548</v>
      </c>
      <c r="D129">
        <v>0.362126245847176</v>
      </c>
      <c r="E129">
        <v>0.397727272727272</v>
      </c>
      <c r="F129">
        <v>0.198830409356725</v>
      </c>
      <c r="G129">
        <v>-0.372448979591836</v>
      </c>
      <c r="H129">
        <v>0.311300639658848</v>
      </c>
      <c r="I129">
        <v>-0.7092198581560281</v>
      </c>
    </row>
    <row r="130" spans="1:9">
      <c r="A130" s="1" t="s">
        <v>142</v>
      </c>
      <c r="B130">
        <f>HYPERLINK("https://www.suredividend.com/sure-analysis-research-database/","Alj Regional Holdings Inc")</f>
        <v>0</v>
      </c>
      <c r="C130">
        <v>0.007936507936507001</v>
      </c>
      <c r="D130">
        <v>0.485380116959064</v>
      </c>
      <c r="E130">
        <v>1.189655172413793</v>
      </c>
      <c r="F130">
        <v>0.395604395604395</v>
      </c>
      <c r="G130">
        <v>0.8814814814814811</v>
      </c>
      <c r="H130">
        <v>3.124046111381718</v>
      </c>
      <c r="I130">
        <v>-0.241791044776119</v>
      </c>
    </row>
    <row r="131" spans="1:9">
      <c r="A131" s="1" t="s">
        <v>143</v>
      </c>
      <c r="B131">
        <f>HYPERLINK("https://www.suredividend.com/sure-analysis-research-database/","Alaska Air Group Inc.")</f>
        <v>0</v>
      </c>
      <c r="C131">
        <v>0.044249405741451</v>
      </c>
      <c r="D131">
        <v>0.023660154149489</v>
      </c>
      <c r="E131">
        <v>-0.011424614851999</v>
      </c>
      <c r="F131">
        <v>0.09616122840690901</v>
      </c>
      <c r="G131">
        <v>-0.176258473965094</v>
      </c>
      <c r="H131">
        <v>1.020877565463552</v>
      </c>
      <c r="I131">
        <v>-0.298074405833688</v>
      </c>
    </row>
    <row r="132" spans="1:9">
      <c r="A132" s="1" t="s">
        <v>144</v>
      </c>
      <c r="B132">
        <f>HYPERLINK("https://www.suredividend.com/sure-analysis-research-database/","Alkermes plc")</f>
        <v>0</v>
      </c>
      <c r="C132">
        <v>0.156360771957463</v>
      </c>
      <c r="D132">
        <v>0.162772277227722</v>
      </c>
      <c r="E132">
        <v>-0.07293969055888801</v>
      </c>
      <c r="F132">
        <v>0.26225279449699</v>
      </c>
      <c r="G132">
        <v>0.4776044287871161</v>
      </c>
      <c r="H132">
        <v>0.8881028938906751</v>
      </c>
      <c r="I132">
        <v>-0.4863540937718681</v>
      </c>
    </row>
    <row r="133" spans="1:9">
      <c r="A133" s="1" t="s">
        <v>145</v>
      </c>
      <c r="B133">
        <f>HYPERLINK("https://www.suredividend.com/sure-analysis-ALL/","Allstate Corp (The)")</f>
        <v>0</v>
      </c>
      <c r="C133">
        <v>0.115977547632224</v>
      </c>
      <c r="D133">
        <v>0.145713193476674</v>
      </c>
      <c r="E133">
        <v>0.129437217660698</v>
      </c>
      <c r="F133">
        <v>0.208330943664009</v>
      </c>
      <c r="G133">
        <v>0.185476319447068</v>
      </c>
      <c r="H133">
        <v>0.477063452201573</v>
      </c>
      <c r="I133">
        <v>0.938276148053759</v>
      </c>
    </row>
    <row r="134" spans="1:9">
      <c r="A134" s="1" t="s">
        <v>146</v>
      </c>
      <c r="B134">
        <f>HYPERLINK("https://www.suredividend.com/sure-analysis-research-database/","Allegion plc")</f>
        <v>0</v>
      </c>
      <c r="C134">
        <v>-0.077378907591892</v>
      </c>
      <c r="D134">
        <v>-0.133658376087261</v>
      </c>
      <c r="E134">
        <v>-0.193731171675294</v>
      </c>
      <c r="F134">
        <v>-0.185858815505285</v>
      </c>
      <c r="G134">
        <v>-0.18289518118841</v>
      </c>
      <c r="H134">
        <v>0.17080475253222</v>
      </c>
      <c r="I134">
        <v>0.508204362182439</v>
      </c>
    </row>
    <row r="135" spans="1:9">
      <c r="A135" s="1" t="s">
        <v>147</v>
      </c>
      <c r="B135">
        <f>HYPERLINK("https://www.suredividend.com/sure-analysis-research-database/","Allakos Inc")</f>
        <v>0</v>
      </c>
      <c r="C135">
        <v>-0.039285714285714</v>
      </c>
      <c r="D135">
        <v>-0.295811518324607</v>
      </c>
      <c r="E135">
        <v>-0.9499441756605881</v>
      </c>
      <c r="F135">
        <v>-0.450459652706843</v>
      </c>
      <c r="G135">
        <v>-0.9485167464114831</v>
      </c>
      <c r="H135">
        <v>-0.9117309269893351</v>
      </c>
      <c r="I135">
        <v>-0.82784</v>
      </c>
    </row>
    <row r="136" spans="1:9">
      <c r="A136" s="1" t="s">
        <v>148</v>
      </c>
      <c r="B136">
        <f>HYPERLINK("https://www.suredividend.com/sure-analysis-research-database/","Allogene Therapeutics Inc")</f>
        <v>0</v>
      </c>
      <c r="C136">
        <v>-0.01668653158522</v>
      </c>
      <c r="D136">
        <v>-0.378765060240963</v>
      </c>
      <c r="E136">
        <v>-0.4993932038834951</v>
      </c>
      <c r="F136">
        <v>-0.447050938337801</v>
      </c>
      <c r="G136">
        <v>-0.7462319286373421</v>
      </c>
      <c r="H136">
        <v>-0.683422870299309</v>
      </c>
      <c r="I136">
        <v>-0.669999999999999</v>
      </c>
    </row>
    <row r="137" spans="1:9">
      <c r="A137" s="1" t="s">
        <v>149</v>
      </c>
      <c r="B137">
        <f>HYPERLINK("https://www.suredividend.com/sure-analysis-ALLY/","Ally Financial Inc")</f>
        <v>0</v>
      </c>
      <c r="C137">
        <v>-0.049573437860272</v>
      </c>
      <c r="D137">
        <v>-0.211889343298478</v>
      </c>
      <c r="E137">
        <v>-0.240370563530047</v>
      </c>
      <c r="F137">
        <v>-0.128625968721857</v>
      </c>
      <c r="G137">
        <v>-0.118375518130836</v>
      </c>
      <c r="H137">
        <v>2.201876694345836</v>
      </c>
      <c r="I137">
        <v>1.411499376941573</v>
      </c>
    </row>
    <row r="138" spans="1:9">
      <c r="A138" s="1" t="s">
        <v>150</v>
      </c>
      <c r="B138">
        <f>HYPERLINK("https://www.suredividend.com/sure-analysis-research-database/","Allena Pharmaceuticals Inc")</f>
        <v>0</v>
      </c>
      <c r="C138">
        <v>-0.466830466830466</v>
      </c>
      <c r="D138">
        <v>-0.464798206278026</v>
      </c>
      <c r="E138">
        <v>-0.7357467065205351</v>
      </c>
      <c r="F138">
        <v>-0.597130801687763</v>
      </c>
      <c r="G138">
        <v>-0.786875</v>
      </c>
      <c r="H138">
        <v>-0.8075</v>
      </c>
      <c r="I138">
        <v>-0.976082164328657</v>
      </c>
    </row>
    <row r="139" spans="1:9">
      <c r="A139" s="1" t="s">
        <v>151</v>
      </c>
      <c r="B139">
        <f>HYPERLINK("https://www.suredividend.com/sure-analysis-research-database/","Alnylam Pharmaceuticals Inc")</f>
        <v>0</v>
      </c>
      <c r="C139">
        <v>0.052651443668616</v>
      </c>
      <c r="D139">
        <v>0.126868686868686</v>
      </c>
      <c r="E139">
        <v>-0.197640966628308</v>
      </c>
      <c r="F139">
        <v>-0.013209104847269</v>
      </c>
      <c r="G139">
        <v>0.204925115207373</v>
      </c>
      <c r="H139">
        <v>0.310209834011901</v>
      </c>
      <c r="I139">
        <v>2.356870611835506</v>
      </c>
    </row>
    <row r="140" spans="1:9">
      <c r="A140" s="1" t="s">
        <v>152</v>
      </c>
      <c r="B140">
        <f>HYPERLINK("https://www.suredividend.com/sure-analysis-research-database/","AstroNova Inc")</f>
        <v>0</v>
      </c>
      <c r="C140">
        <v>-0.11986301369863</v>
      </c>
      <c r="D140">
        <v>-0.021325209444021</v>
      </c>
      <c r="E140">
        <v>-0.247658079625292</v>
      </c>
      <c r="F140">
        <v>-0.048148148148148</v>
      </c>
      <c r="G140">
        <v>-0.152933421226104</v>
      </c>
      <c r="H140">
        <v>1.262323943661972</v>
      </c>
      <c r="I140">
        <v>-0.08251640403549901</v>
      </c>
    </row>
    <row r="141" spans="1:9">
      <c r="A141" s="1" t="s">
        <v>153</v>
      </c>
      <c r="B141">
        <f>HYPERLINK("https://www.suredividend.com/sure-analysis-research-database/","Alpine Immune Sciences Inc")</f>
        <v>0</v>
      </c>
      <c r="C141">
        <v>-0.029126213592233</v>
      </c>
      <c r="D141">
        <v>-0.231508165225744</v>
      </c>
      <c r="E141">
        <v>-0.29701230228471</v>
      </c>
      <c r="F141">
        <v>-0.422382671480144</v>
      </c>
      <c r="G141">
        <v>-0.272727272727272</v>
      </c>
      <c r="H141">
        <v>1.476780185758514</v>
      </c>
      <c r="I141">
        <v>-0.275362318840579</v>
      </c>
    </row>
    <row r="142" spans="1:9">
      <c r="A142" s="1" t="s">
        <v>154</v>
      </c>
      <c r="B142">
        <f>HYPERLINK("https://www.suredividend.com/sure-analysis-research-database/","Alarm.com Holdings Inc")</f>
        <v>0</v>
      </c>
      <c r="C142">
        <v>-0.09280564503758201</v>
      </c>
      <c r="D142">
        <v>-0.245181876196553</v>
      </c>
      <c r="E142">
        <v>-0.271315919172005</v>
      </c>
      <c r="F142">
        <v>-0.302676571159061</v>
      </c>
      <c r="G142">
        <v>-0.3768177028451</v>
      </c>
      <c r="H142">
        <v>0.385011709601873</v>
      </c>
      <c r="I142">
        <v>0.9052835051546391</v>
      </c>
    </row>
    <row r="143" spans="1:9">
      <c r="A143" s="1" t="s">
        <v>155</v>
      </c>
      <c r="B143">
        <f>HYPERLINK("https://www.suredividend.com/sure-analysis-research-database/","Alaska Communications Systems Group Inc")</f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156</v>
      </c>
      <c r="B144">
        <f>HYPERLINK("https://www.suredividend.com/sure-analysis-research-database/","Allison Transmission Holdings Inc")</f>
        <v>0</v>
      </c>
      <c r="C144">
        <v>-0.108519269776876</v>
      </c>
      <c r="D144">
        <v>-0.140081589528365</v>
      </c>
      <c r="E144">
        <v>0.011920865255656</v>
      </c>
      <c r="F144">
        <v>-0.027711333136073</v>
      </c>
      <c r="G144">
        <v>-0.199737798049873</v>
      </c>
      <c r="H144">
        <v>0.096621868187049</v>
      </c>
      <c r="I144">
        <v>0.117627425737853</v>
      </c>
    </row>
    <row r="145" spans="1:9">
      <c r="A145" s="1" t="s">
        <v>157</v>
      </c>
      <c r="B145">
        <f>HYPERLINK("https://www.suredividend.com/sure-analysis-research-database/","Altimmune Inc")</f>
        <v>0</v>
      </c>
      <c r="C145">
        <v>-0.203957382039573</v>
      </c>
      <c r="D145">
        <v>-0.332908163265306</v>
      </c>
      <c r="E145">
        <v>-0.564529558701082</v>
      </c>
      <c r="F145">
        <v>-0.429039301310043</v>
      </c>
      <c r="G145">
        <v>-0.573757131214343</v>
      </c>
      <c r="H145">
        <v>0.511560693641618</v>
      </c>
      <c r="I145">
        <v>-0.327504178989327</v>
      </c>
    </row>
    <row r="146" spans="1:9">
      <c r="A146" s="1" t="s">
        <v>158</v>
      </c>
      <c r="B146">
        <f>HYPERLINK("https://www.suredividend.com/sure-analysis-research-database/","Altair Engineering Inc")</f>
        <v>0</v>
      </c>
      <c r="C146">
        <v>-0.05245901639344201</v>
      </c>
      <c r="D146">
        <v>-0.09968847352024901</v>
      </c>
      <c r="E146">
        <v>-0.205498281786941</v>
      </c>
      <c r="F146">
        <v>-0.252457320227625</v>
      </c>
      <c r="G146">
        <v>-0.086887835703001</v>
      </c>
      <c r="H146">
        <v>0.9917298414886281</v>
      </c>
      <c r="I146">
        <v>0.824782951854774</v>
      </c>
    </row>
    <row r="147" spans="1:9">
      <c r="A147" s="1" t="s">
        <v>159</v>
      </c>
      <c r="B147">
        <f>HYPERLINK("https://www.suredividend.com/sure-analysis-ALV/","Autoliv Inc.")</f>
        <v>0</v>
      </c>
      <c r="C147">
        <v>-0.09213483146067401</v>
      </c>
      <c r="D147">
        <v>-0.321176999923455</v>
      </c>
      <c r="E147">
        <v>-0.241876917591645</v>
      </c>
      <c r="F147">
        <v>-0.29084930352664</v>
      </c>
      <c r="G147">
        <v>-0.23844471812401</v>
      </c>
      <c r="H147">
        <v>0.418304159149641</v>
      </c>
      <c r="I147">
        <v>0.181904765000536</v>
      </c>
    </row>
    <row r="148" spans="1:9">
      <c r="A148" s="1" t="s">
        <v>160</v>
      </c>
      <c r="B148">
        <f>HYPERLINK("https://www.suredividend.com/sure-analysis-research-database/","Alexander`s Inc.")</f>
        <v>0</v>
      </c>
      <c r="C148">
        <v>0.048003840307224</v>
      </c>
      <c r="D148">
        <v>0.015356304875089</v>
      </c>
      <c r="E148">
        <v>-0.024273242226271</v>
      </c>
      <c r="F148">
        <v>0.023898921736493</v>
      </c>
      <c r="G148">
        <v>-0.015340438206955</v>
      </c>
      <c r="H148">
        <v>0.022034323468908</v>
      </c>
      <c r="I148">
        <v>-0.201318717366272</v>
      </c>
    </row>
    <row r="149" spans="1:9">
      <c r="A149" s="1" t="s">
        <v>161</v>
      </c>
      <c r="B149">
        <f>HYPERLINK("https://www.suredividend.com/sure-analysis-research-database/","Alexion Pharmaceuticals Inc.")</f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162</v>
      </c>
      <c r="B150">
        <f>HYPERLINK("https://www.suredividend.com/sure-analysis-AM/","Antero Midstream Corp")</f>
        <v>0</v>
      </c>
      <c r="C150">
        <v>0.133668341708542</v>
      </c>
      <c r="D150">
        <v>0.08061503089524301</v>
      </c>
      <c r="E150">
        <v>0.036802823633221</v>
      </c>
      <c r="F150">
        <v>0.192250372578241</v>
      </c>
      <c r="G150">
        <v>0.417762248309494</v>
      </c>
      <c r="H150">
        <v>4.347745697624804</v>
      </c>
      <c r="I150">
        <v>-0.264538086886218</v>
      </c>
    </row>
    <row r="151" spans="1:9">
      <c r="A151" s="1" t="s">
        <v>163</v>
      </c>
      <c r="B151">
        <f>HYPERLINK("https://www.suredividend.com/sure-analysis-research-database/","Amalgamated Financial Corp")</f>
        <v>0</v>
      </c>
      <c r="C151">
        <v>0.016496018202502</v>
      </c>
      <c r="D151">
        <v>0.041527028996066</v>
      </c>
      <c r="E151">
        <v>0.045475553891427</v>
      </c>
      <c r="F151">
        <v>0.07072026459433001</v>
      </c>
      <c r="G151">
        <v>0.081202088589597</v>
      </c>
      <c r="H151">
        <v>0.002653918878733</v>
      </c>
      <c r="I151">
        <v>0.002653918878733</v>
      </c>
    </row>
    <row r="152" spans="1:9">
      <c r="A152" s="1" t="s">
        <v>164</v>
      </c>
      <c r="B152">
        <f>HYPERLINK("https://www.suredividend.com/sure-analysis-AMAT/","Applied Materials Inc.")</f>
        <v>0</v>
      </c>
      <c r="C152">
        <v>-0.131207847946045</v>
      </c>
      <c r="D152">
        <v>-0.321197604790419</v>
      </c>
      <c r="E152">
        <v>-0.13714559298025</v>
      </c>
      <c r="F152">
        <v>-0.279613624809354</v>
      </c>
      <c r="G152">
        <v>-0.147913266951347</v>
      </c>
      <c r="H152">
        <v>1.208356142234032</v>
      </c>
      <c r="I152">
        <v>2.195102496385216</v>
      </c>
    </row>
    <row r="153" spans="1:9">
      <c r="A153" s="1" t="s">
        <v>165</v>
      </c>
      <c r="B153">
        <f>HYPERLINK("https://www.suredividend.com/sure-analysis-research-database/","AMBAC Financial Group Inc.")</f>
        <v>0</v>
      </c>
      <c r="C153">
        <v>-0.324695121951219</v>
      </c>
      <c r="D153">
        <v>-0.461398176291793</v>
      </c>
      <c r="E153">
        <v>-0.404169468728984</v>
      </c>
      <c r="F153">
        <v>-0.44797507788162</v>
      </c>
      <c r="G153">
        <v>-0.491681009753299</v>
      </c>
      <c r="H153">
        <v>-0.391483516483516</v>
      </c>
      <c r="I153">
        <v>-0.5414078674948241</v>
      </c>
    </row>
    <row r="154" spans="1:9">
      <c r="A154" s="1" t="s">
        <v>166</v>
      </c>
      <c r="B154">
        <f>HYPERLINK("https://www.suredividend.com/sure-analysis-research-database/","AMC Entertainment Holdings Inc")</f>
        <v>0</v>
      </c>
      <c r="C154">
        <v>0.183191070256073</v>
      </c>
      <c r="D154">
        <v>-0.12396694214876</v>
      </c>
      <c r="E154">
        <v>-0.557682866961217</v>
      </c>
      <c r="F154">
        <v>-0.3375</v>
      </c>
      <c r="G154">
        <v>0.9314040728831721</v>
      </c>
      <c r="H154">
        <v>6.385245901639344</v>
      </c>
      <c r="I154">
        <v>-0.239656030852581</v>
      </c>
    </row>
    <row r="155" spans="1:9">
      <c r="A155" s="1" t="s">
        <v>167</v>
      </c>
      <c r="B155">
        <f>HYPERLINK("https://www.suredividend.com/sure-analysis-AMCR/","Amcor Plc")</f>
        <v>0</v>
      </c>
      <c r="C155">
        <v>0.018324607329842</v>
      </c>
      <c r="D155">
        <v>-0.056588520614389</v>
      </c>
      <c r="E155">
        <v>-0.013533275289304</v>
      </c>
      <c r="F155">
        <v>-0.028309741881765</v>
      </c>
      <c r="G155">
        <v>-0.003730674338594</v>
      </c>
      <c r="H155">
        <v>0.467758366977323</v>
      </c>
      <c r="I155">
        <v>0.150876224100354</v>
      </c>
    </row>
    <row r="156" spans="1:9">
      <c r="A156" s="1" t="s">
        <v>168</v>
      </c>
      <c r="B156">
        <f>HYPERLINK("https://www.suredividend.com/sure-analysis-research-database/","AMC Networks Inc")</f>
        <v>0</v>
      </c>
      <c r="C156">
        <v>-0.045169385194479</v>
      </c>
      <c r="D156">
        <v>-0.098341232227488</v>
      </c>
      <c r="E156">
        <v>-0.158185840707964</v>
      </c>
      <c r="F156">
        <v>0.104819976771196</v>
      </c>
      <c r="G156">
        <v>-0.280174044646235</v>
      </c>
      <c r="H156">
        <v>0.640086206896551</v>
      </c>
      <c r="I156">
        <v>-0.344981924599759</v>
      </c>
    </row>
    <row r="157" spans="1:9">
      <c r="A157" s="1" t="s">
        <v>169</v>
      </c>
      <c r="B157">
        <f>HYPERLINK("https://www.suredividend.com/sure-analysis-research-database/","Advanced Micro Devices Inc.")</f>
        <v>0</v>
      </c>
      <c r="C157">
        <v>-0.193377827858195</v>
      </c>
      <c r="D157">
        <v>-0.3201344243132671</v>
      </c>
      <c r="E157">
        <v>-0.169996432393863</v>
      </c>
      <c r="F157">
        <v>-0.353300903405142</v>
      </c>
      <c r="G157">
        <v>0.132805842970176</v>
      </c>
      <c r="H157">
        <v>0.6340649692712901</v>
      </c>
      <c r="I157">
        <v>6.559707554833468</v>
      </c>
    </row>
    <row r="158" spans="1:9">
      <c r="A158" s="1" t="s">
        <v>170</v>
      </c>
      <c r="B158">
        <f>HYPERLINK("https://www.suredividend.com/sure-analysis-research-database/","Ametek Inc")</f>
        <v>0</v>
      </c>
      <c r="C158">
        <v>-0.03295783224235</v>
      </c>
      <c r="D158">
        <v>-0.10083843896211</v>
      </c>
      <c r="E158">
        <v>-0.006862459244621</v>
      </c>
      <c r="F158">
        <v>-0.134471339454141</v>
      </c>
      <c r="G158">
        <v>-0.037767529785279</v>
      </c>
      <c r="H158">
        <v>0.693801260652083</v>
      </c>
      <c r="I158">
        <v>1.4641720440118</v>
      </c>
    </row>
    <row r="159" spans="1:9">
      <c r="A159" s="1" t="s">
        <v>171</v>
      </c>
      <c r="B159">
        <f>HYPERLINK("https://www.suredividend.com/sure-analysis-research-database/","Amedisys Inc.")</f>
        <v>0</v>
      </c>
      <c r="C159">
        <v>-0.019892884468247</v>
      </c>
      <c r="D159">
        <v>0.047210300429184</v>
      </c>
      <c r="E159">
        <v>-0.019580330378212</v>
      </c>
      <c r="F159">
        <v>-0.050407709414381</v>
      </c>
      <c r="G159">
        <v>-0.456743002544529</v>
      </c>
      <c r="H159">
        <v>-0.281043917496843</v>
      </c>
      <c r="I159">
        <v>1.949913644214162</v>
      </c>
    </row>
    <row r="160" spans="1:9">
      <c r="A160" s="1" t="s">
        <v>172</v>
      </c>
      <c r="B160">
        <f>HYPERLINK("https://www.suredividend.com/sure-analysis-research-database/","Apollo Medical Holdings Inc")</f>
        <v>0</v>
      </c>
      <c r="C160">
        <v>-0.05307201057035801</v>
      </c>
      <c r="D160">
        <v>-0.287489643744821</v>
      </c>
      <c r="E160">
        <v>-0.398517275143376</v>
      </c>
      <c r="F160">
        <v>-0.414806750136091</v>
      </c>
      <c r="G160">
        <v>0.5902366863905321</v>
      </c>
      <c r="H160">
        <v>2.060498220640569</v>
      </c>
      <c r="I160">
        <v>65.15384615384615</v>
      </c>
    </row>
    <row r="161" spans="1:9">
      <c r="A161" s="1" t="s">
        <v>173</v>
      </c>
      <c r="B161">
        <f>HYPERLINK("https://www.suredividend.com/sure-analysis-research-database/","Affiliated Managers Group Inc.")</f>
        <v>0</v>
      </c>
      <c r="C161">
        <v>-0.078392528654308</v>
      </c>
      <c r="D161">
        <v>-0.167610288761141</v>
      </c>
      <c r="E161">
        <v>-0.185978279005851</v>
      </c>
      <c r="F161">
        <v>-0.208139157415321</v>
      </c>
      <c r="G161">
        <v>-0.172750164325882</v>
      </c>
      <c r="H161">
        <v>1.176597483194281</v>
      </c>
      <c r="I161">
        <v>-0.167587415782609</v>
      </c>
    </row>
    <row r="162" spans="1:9">
      <c r="A162" s="1" t="s">
        <v>174</v>
      </c>
      <c r="B162">
        <f>HYPERLINK("https://www.suredividend.com/sure-analysis-AMGN/","AMGEN Inc.")</f>
        <v>0</v>
      </c>
      <c r="C162">
        <v>0.09647343203694901</v>
      </c>
      <c r="D162">
        <v>0.08853693727821101</v>
      </c>
      <c r="E162">
        <v>0.243018359012201</v>
      </c>
      <c r="F162">
        <v>0.138809499792654</v>
      </c>
      <c r="G162">
        <v>0.025280456706299</v>
      </c>
      <c r="H162">
        <v>0.176027229831332</v>
      </c>
      <c r="I162">
        <v>0.8324798064361141</v>
      </c>
    </row>
    <row r="163" spans="1:9">
      <c r="A163" s="1" t="s">
        <v>175</v>
      </c>
      <c r="B163">
        <f>HYPERLINK("https://www.suredividend.com/sure-analysis-AMH/","American Homes 4 Rent")</f>
        <v>0</v>
      </c>
      <c r="C163">
        <v>0.07586742620403901</v>
      </c>
      <c r="D163">
        <v>-0.000117916298679</v>
      </c>
      <c r="E163">
        <v>0.070186735350933</v>
      </c>
      <c r="F163">
        <v>-0.042763476185429</v>
      </c>
      <c r="G163">
        <v>0.214386756608251</v>
      </c>
      <c r="H163">
        <v>0.7850851943186601</v>
      </c>
      <c r="I163">
        <v>0.8750169225354011</v>
      </c>
    </row>
    <row r="164" spans="1:9">
      <c r="A164" s="1" t="s">
        <v>176</v>
      </c>
      <c r="B164">
        <f>HYPERLINK("https://www.suredividend.com/sure-analysis-research-database/","AMKOR Technology Inc.")</f>
        <v>0</v>
      </c>
      <c r="C164">
        <v>-0.165780141843971</v>
      </c>
      <c r="D164">
        <v>-0.245286045411162</v>
      </c>
      <c r="E164">
        <v>-0.148185027609305</v>
      </c>
      <c r="F164">
        <v>-0.239196345555241</v>
      </c>
      <c r="G164">
        <v>-0.21049098902574</v>
      </c>
      <c r="H164">
        <v>1.076918832422888</v>
      </c>
      <c r="I164">
        <v>0.7472843747098691</v>
      </c>
    </row>
    <row r="165" spans="1:9">
      <c r="A165" s="1" t="s">
        <v>177</v>
      </c>
      <c r="B165">
        <f>HYPERLINK("https://www.suredividend.com/sure-analysis-research-database/","AMN Healthcare Services Inc.")</f>
        <v>0</v>
      </c>
      <c r="C165">
        <v>0.015525827555902</v>
      </c>
      <c r="D165">
        <v>-0.040059073287797</v>
      </c>
      <c r="E165">
        <v>0.100063465199915</v>
      </c>
      <c r="F165">
        <v>-0.149840595111583</v>
      </c>
      <c r="G165">
        <v>0.352054082163286</v>
      </c>
      <c r="H165">
        <v>0.9209456963428141</v>
      </c>
      <c r="I165">
        <v>1.593516209476309</v>
      </c>
    </row>
    <row r="166" spans="1:9">
      <c r="A166" s="1" t="s">
        <v>178</v>
      </c>
      <c r="B166">
        <f>HYPERLINK("https://www.suredividend.com/sure-analysis-research-database/","American National Bankshares Inc.")</f>
        <v>0</v>
      </c>
      <c r="C166">
        <v>-0.04054054054054</v>
      </c>
      <c r="D166">
        <v>-0.07707130076617601</v>
      </c>
      <c r="E166">
        <v>0.06774158353655101</v>
      </c>
      <c r="F166">
        <v>-0.032001946154606</v>
      </c>
      <c r="G166">
        <v>0.153206749173551</v>
      </c>
      <c r="H166">
        <v>0.9007574683863241</v>
      </c>
      <c r="I166">
        <v>0.173899934837369</v>
      </c>
    </row>
    <row r="167" spans="1:9">
      <c r="A167" s="1" t="s">
        <v>179</v>
      </c>
      <c r="B167">
        <f>HYPERLINK("https://www.suredividend.com/sure-analysis-research-database/","Allied Motion Technologies Inc")</f>
        <v>0</v>
      </c>
      <c r="C167">
        <v>-0.125561683006535</v>
      </c>
      <c r="D167">
        <v>-0.303470698740908</v>
      </c>
      <c r="E167">
        <v>-0.145994433379773</v>
      </c>
      <c r="F167">
        <v>-0.248495619881405</v>
      </c>
      <c r="G167">
        <v>-0.195872536992798</v>
      </c>
      <c r="H167">
        <v>0.618610476072329</v>
      </c>
      <c r="I167">
        <v>0.9878696421834641</v>
      </c>
    </row>
    <row r="168" spans="1:9">
      <c r="A168" s="1" t="s">
        <v>180</v>
      </c>
      <c r="B168">
        <f>HYPERLINK("https://www.suredividend.com/sure-analysis-AMP/","Ameriprise Financial Inc")</f>
        <v>0</v>
      </c>
      <c r="C168">
        <v>-0.012700784460216</v>
      </c>
      <c r="D168">
        <v>-0.112048686596831</v>
      </c>
      <c r="E168">
        <v>0.010252641345196</v>
      </c>
      <c r="F168">
        <v>-0.032808591047</v>
      </c>
      <c r="G168">
        <v>0.187354812150201</v>
      </c>
      <c r="H168">
        <v>1.981512836000898</v>
      </c>
      <c r="I168">
        <v>1.589429413488404</v>
      </c>
    </row>
    <row r="169" spans="1:9">
      <c r="A169" s="1" t="s">
        <v>181</v>
      </c>
      <c r="B169">
        <f>HYPERLINK("https://www.suredividend.com/sure-analysis-research-database/","Ampio Pharmaceuticals Inc")</f>
        <v>0</v>
      </c>
      <c r="C169">
        <v>-0.09090909090909001</v>
      </c>
      <c r="D169">
        <v>-0.190283400809716</v>
      </c>
      <c r="E169">
        <v>-0.764705882352941</v>
      </c>
      <c r="F169">
        <v>-0.298245614035087</v>
      </c>
      <c r="G169">
        <v>-0.745222929936305</v>
      </c>
      <c r="H169">
        <v>-0.44055944055944</v>
      </c>
      <c r="I169">
        <v>-0.320305862361937</v>
      </c>
    </row>
    <row r="170" spans="1:9">
      <c r="A170" s="1" t="s">
        <v>182</v>
      </c>
      <c r="B170">
        <f>HYPERLINK("https://www.suredividend.com/sure-analysis-research-database/","Amphastar Pharmaceuticals Inc")</f>
        <v>0</v>
      </c>
      <c r="C170">
        <v>0.213909994155464</v>
      </c>
      <c r="D170">
        <v>0.6373669688608591</v>
      </c>
      <c r="E170">
        <v>1.173731030873888</v>
      </c>
      <c r="F170">
        <v>0.783598110777157</v>
      </c>
      <c r="G170">
        <v>1.401156069364161</v>
      </c>
      <c r="H170">
        <v>1.597873671044402</v>
      </c>
      <c r="I170">
        <v>1.806756756756756</v>
      </c>
    </row>
    <row r="171" spans="1:9">
      <c r="A171" s="1" t="s">
        <v>183</v>
      </c>
      <c r="B171">
        <f>HYPERLINK("https://www.suredividend.com/sure-analysis-research-database/","Alpha Metallurgical Resources Inc")</f>
        <v>0</v>
      </c>
      <c r="C171">
        <v>0.4208235080718301</v>
      </c>
      <c r="D171">
        <v>1.215214932126696</v>
      </c>
      <c r="E171">
        <v>1.53290218270008</v>
      </c>
      <c r="F171">
        <v>1.566093366093366</v>
      </c>
      <c r="G171">
        <v>10.43503649635036</v>
      </c>
      <c r="H171">
        <v>46.90825688073394</v>
      </c>
      <c r="I171">
        <v>1.0888</v>
      </c>
    </row>
    <row r="172" spans="1:9">
      <c r="A172" s="1" t="s">
        <v>184</v>
      </c>
      <c r="B172">
        <f>HYPERLINK("https://www.suredividend.com/sure-analysis-research-database/","American River Bancshares")</f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185</v>
      </c>
      <c r="B173">
        <f>HYPERLINK("https://www.suredividend.com/sure-analysis-research-database/","Ameresco Inc.")</f>
        <v>0</v>
      </c>
      <c r="C173">
        <v>-0.223612622415669</v>
      </c>
      <c r="D173">
        <v>-0.0008751969193060001</v>
      </c>
      <c r="E173">
        <v>-0.092527821939586</v>
      </c>
      <c r="F173">
        <v>-0.299115913555992</v>
      </c>
      <c r="G173">
        <v>0.125394321766561</v>
      </c>
      <c r="H173">
        <v>2.434416365824308</v>
      </c>
      <c r="I173">
        <v>8.206451612903225</v>
      </c>
    </row>
    <row r="174" spans="1:9">
      <c r="A174" s="1" t="s">
        <v>186</v>
      </c>
      <c r="B174">
        <f>HYPERLINK("https://www.suredividend.com/sure-analysis-research-database/","A-Mark Precious Metals Inc")</f>
        <v>0</v>
      </c>
      <c r="C174">
        <v>0.153191489361702</v>
      </c>
      <c r="D174">
        <v>0.4299574468085101</v>
      </c>
      <c r="E174">
        <v>0.221075581395348</v>
      </c>
      <c r="F174">
        <v>0.374959083469721</v>
      </c>
      <c r="G174">
        <v>1.329760534671861</v>
      </c>
      <c r="H174">
        <v>5.977458846198568</v>
      </c>
      <c r="I174">
        <v>4.567964157183476</v>
      </c>
    </row>
    <row r="175" spans="1:9">
      <c r="A175" s="1" t="s">
        <v>187</v>
      </c>
      <c r="B175">
        <f>HYPERLINK("https://www.suredividend.com/sure-analysis-research-database/","Amyris Inc")</f>
        <v>0</v>
      </c>
      <c r="C175">
        <v>0.043778801843318</v>
      </c>
      <c r="D175">
        <v>-0.092184368737474</v>
      </c>
      <c r="E175">
        <v>-0.6573373676248101</v>
      </c>
      <c r="F175">
        <v>-0.162661737523105</v>
      </c>
      <c r="G175">
        <v>-0.6992031872509961</v>
      </c>
      <c r="H175">
        <v>1.013333333333333</v>
      </c>
      <c r="I175">
        <v>-0.5558823529411761</v>
      </c>
    </row>
    <row r="176" spans="1:9">
      <c r="A176" s="1" t="s">
        <v>188</v>
      </c>
      <c r="B176">
        <f>HYPERLINK("https://www.suredividend.com/sure-analysis-research-database/","Amneal Pharmaceuticals Inc")</f>
        <v>0</v>
      </c>
      <c r="C176">
        <v>0.004878048780487</v>
      </c>
      <c r="D176">
        <v>-0.112068965517241</v>
      </c>
      <c r="E176">
        <v>-0.26950354609929</v>
      </c>
      <c r="F176">
        <v>-0.139874739039665</v>
      </c>
      <c r="G176">
        <v>-0.30050933786078</v>
      </c>
      <c r="H176">
        <v>0.271604938271604</v>
      </c>
      <c r="I176">
        <v>-0.7255163224516981</v>
      </c>
    </row>
    <row r="177" spans="1:9">
      <c r="A177" s="1" t="s">
        <v>189</v>
      </c>
      <c r="B177">
        <f>HYPERLINK("https://www.suredividend.com/sure-analysis-research-database/","American Shared Hospital Services")</f>
        <v>0</v>
      </c>
      <c r="C177">
        <v>0.017467248908296</v>
      </c>
      <c r="D177">
        <v>-0.025063810201263</v>
      </c>
      <c r="E177">
        <v>-0.170818505338078</v>
      </c>
      <c r="F177">
        <v>-0.016877637130801</v>
      </c>
      <c r="G177">
        <v>-0.05668016194331901</v>
      </c>
      <c r="H177">
        <v>0.5032258064516121</v>
      </c>
      <c r="I177">
        <v>-0.487912087912087</v>
      </c>
    </row>
    <row r="178" spans="1:9">
      <c r="A178" s="1" t="s">
        <v>190</v>
      </c>
      <c r="B178">
        <f>HYPERLINK("https://www.suredividend.com/sure-analysis-research-database/","American Superconductor Corp.")</f>
        <v>0</v>
      </c>
      <c r="C178">
        <v>-0.177458033573141</v>
      </c>
      <c r="D178">
        <v>-0.285416666666666</v>
      </c>
      <c r="E178">
        <v>-0.5904477611940291</v>
      </c>
      <c r="F178">
        <v>-0.369485294117647</v>
      </c>
      <c r="G178">
        <v>-0.585247883917775</v>
      </c>
      <c r="H178">
        <v>0.277467411545624</v>
      </c>
      <c r="I178">
        <v>0.005865102639296</v>
      </c>
    </row>
    <row r="179" spans="1:9">
      <c r="A179" s="1" t="s">
        <v>191</v>
      </c>
      <c r="B179">
        <f>HYPERLINK("https://www.suredividend.com/sure-analysis-research-database/","Amerisafe Inc")</f>
        <v>0</v>
      </c>
      <c r="C179">
        <v>-0.028195488721804</v>
      </c>
      <c r="D179">
        <v>-0.153924622375448</v>
      </c>
      <c r="E179">
        <v>-0.126207028653198</v>
      </c>
      <c r="F179">
        <v>-0.129877027107892</v>
      </c>
      <c r="G179">
        <v>-0.213327945708976</v>
      </c>
      <c r="H179">
        <v>-0.124607503202999</v>
      </c>
      <c r="I179">
        <v>-0.001617838276251</v>
      </c>
    </row>
    <row r="180" spans="1:9">
      <c r="A180" s="1" t="s">
        <v>192</v>
      </c>
      <c r="B180">
        <f>HYPERLINK("https://www.suredividend.com/sure-analysis-research-database/","American Software Inc.")</f>
        <v>0</v>
      </c>
      <c r="C180">
        <v>-0.094594594594594</v>
      </c>
      <c r="D180">
        <v>-0.243740501404885</v>
      </c>
      <c r="E180">
        <v>-0.293672039427859</v>
      </c>
      <c r="F180">
        <v>-0.279575425687974</v>
      </c>
      <c r="G180">
        <v>-0.064049731088915</v>
      </c>
      <c r="H180">
        <v>0.401056019835846</v>
      </c>
      <c r="I180">
        <v>1.027450556576245</v>
      </c>
    </row>
    <row r="181" spans="1:9">
      <c r="A181" s="1" t="s">
        <v>193</v>
      </c>
      <c r="B181">
        <f>HYPERLINK("https://www.suredividend.com/sure-analysis-AMT/","American Tower Corp.")</f>
        <v>0</v>
      </c>
      <c r="C181">
        <v>0.07209429261033601</v>
      </c>
      <c r="D181">
        <v>0.025081482224339</v>
      </c>
      <c r="E181">
        <v>-0.041391883679578</v>
      </c>
      <c r="F181">
        <v>-0.121689062667557</v>
      </c>
      <c r="G181">
        <v>0.0482986990824</v>
      </c>
      <c r="H181">
        <v>0.05580731206679401</v>
      </c>
      <c r="I181">
        <v>1.298734769330412</v>
      </c>
    </row>
    <row r="182" spans="1:9">
      <c r="A182" s="1" t="s">
        <v>194</v>
      </c>
      <c r="B182">
        <f>HYPERLINK("https://www.suredividend.com/sure-analysis-research-database/","AMTD IDEA Group")</f>
        <v>0</v>
      </c>
      <c r="C182">
        <v>-0.170289855072463</v>
      </c>
      <c r="D182">
        <v>-0.454761904761904</v>
      </c>
      <c r="E182">
        <v>-0.428927680798004</v>
      </c>
      <c r="F182">
        <v>-0.277602523659305</v>
      </c>
      <c r="G182">
        <v>-0.6723891273247491</v>
      </c>
      <c r="H182">
        <v>-0.7137500000000001</v>
      </c>
      <c r="I182">
        <v>-0.7730426164519321</v>
      </c>
    </row>
    <row r="183" spans="1:9">
      <c r="A183" s="1" t="s">
        <v>195</v>
      </c>
      <c r="B183">
        <f>HYPERLINK("https://www.suredividend.com/sure-analysis-research-database/","Aemetis Inc")</f>
        <v>0</v>
      </c>
      <c r="C183">
        <v>0.225116279069767</v>
      </c>
      <c r="D183">
        <v>0.268786127167629</v>
      </c>
      <c r="E183">
        <v>-0.268739589117157</v>
      </c>
      <c r="F183">
        <v>0.07073170731707301</v>
      </c>
      <c r="G183">
        <v>-0.30647709320695</v>
      </c>
      <c r="H183">
        <v>22.10526315789474</v>
      </c>
      <c r="I183">
        <v>10.0672268907563</v>
      </c>
    </row>
    <row r="184" spans="1:9">
      <c r="A184" s="1" t="s">
        <v>196</v>
      </c>
      <c r="B184">
        <f>HYPERLINK("https://www.suredividend.com/sure-analysis-research-database/","American Woodmark Corp.")</f>
        <v>0</v>
      </c>
      <c r="C184">
        <v>-0.212961387991154</v>
      </c>
      <c r="D184">
        <v>-0.285626061448201</v>
      </c>
      <c r="E184">
        <v>-0.317249520436771</v>
      </c>
      <c r="F184">
        <v>-0.290337423312883</v>
      </c>
      <c r="G184">
        <v>-0.5601292898564501</v>
      </c>
      <c r="H184">
        <v>0.106408417025346</v>
      </c>
      <c r="I184">
        <v>-0.462289366647298</v>
      </c>
    </row>
    <row r="185" spans="1:9">
      <c r="A185" s="1" t="s">
        <v>197</v>
      </c>
      <c r="B185">
        <f>HYPERLINK("https://www.suredividend.com/sure-analysis-research-database/","Amazon.com Inc.")</f>
        <v>0</v>
      </c>
      <c r="C185">
        <v>-0.009127782422405001</v>
      </c>
      <c r="D185">
        <v>-0.064337169571599</v>
      </c>
      <c r="E185">
        <v>-0.109970020709764</v>
      </c>
      <c r="F185">
        <v>-0.09003580918562501</v>
      </c>
      <c r="G185">
        <v>-0.107461817240486</v>
      </c>
      <c r="H185">
        <v>0.259921351720586</v>
      </c>
      <c r="I185">
        <v>2.429674341844982</v>
      </c>
    </row>
    <row r="186" spans="1:9">
      <c r="A186" s="1" t="s">
        <v>198</v>
      </c>
      <c r="B186">
        <f>HYPERLINK("https://www.suredividend.com/sure-analysis-research-database/","Autonation Inc.")</f>
        <v>0</v>
      </c>
      <c r="C186">
        <v>-0.139513188024764</v>
      </c>
      <c r="D186">
        <v>-0.076797088262056</v>
      </c>
      <c r="E186">
        <v>-0.130665752720418</v>
      </c>
      <c r="F186">
        <v>-0.13170731707317</v>
      </c>
      <c r="G186">
        <v>0.04371978191544</v>
      </c>
      <c r="H186">
        <v>2.3375</v>
      </c>
      <c r="I186">
        <v>1.573167638853664</v>
      </c>
    </row>
    <row r="187" spans="1:9">
      <c r="A187" s="1" t="s">
        <v>199</v>
      </c>
      <c r="B187">
        <f>HYPERLINK("https://www.suredividend.com/sure-analysis-research-database/","AnaptysBio Inc")</f>
        <v>0</v>
      </c>
      <c r="C187">
        <v>-0.126480703095147</v>
      </c>
      <c r="D187">
        <v>-0.322465915826911</v>
      </c>
      <c r="E187">
        <v>-0.202650854551796</v>
      </c>
      <c r="F187">
        <v>-0.342158273381295</v>
      </c>
      <c r="G187">
        <v>0.052486187845303</v>
      </c>
      <c r="H187">
        <v>0.463508322663252</v>
      </c>
      <c r="I187">
        <v>-0.075990299110751</v>
      </c>
    </row>
    <row r="188" spans="1:9">
      <c r="A188" s="1" t="s">
        <v>200</v>
      </c>
      <c r="B188">
        <f>HYPERLINK("https://www.suredividend.com/sure-analysis-research-database/","American National Group Inc")</f>
        <v>0</v>
      </c>
      <c r="C188">
        <v>0.00312864566762</v>
      </c>
      <c r="D188">
        <v>0.006681230027485</v>
      </c>
      <c r="E188">
        <v>0.009508602996346</v>
      </c>
      <c r="F188">
        <v>0.006094431511705</v>
      </c>
      <c r="G188">
        <v>0.7020813313610531</v>
      </c>
      <c r="H188">
        <v>1.82083093504797</v>
      </c>
      <c r="I188">
        <v>1.82083093504797</v>
      </c>
    </row>
    <row r="189" spans="1:9">
      <c r="A189" s="1" t="s">
        <v>201</v>
      </c>
      <c r="B189">
        <f>HYPERLINK("https://www.suredividend.com/sure-analysis-ANDE/","Andersons Inc.")</f>
        <v>0</v>
      </c>
      <c r="C189">
        <v>0.343324100232821</v>
      </c>
      <c r="D189">
        <v>0.491747994481631</v>
      </c>
      <c r="E189">
        <v>0.8850625179579721</v>
      </c>
      <c r="F189">
        <v>0.5137139005547781</v>
      </c>
      <c r="G189">
        <v>1.067920144779201</v>
      </c>
      <c r="H189">
        <v>3.058694322415615</v>
      </c>
      <c r="I189">
        <v>0.783892117146017</v>
      </c>
    </row>
    <row r="190" spans="1:9">
      <c r="A190" s="1" t="s">
        <v>202</v>
      </c>
      <c r="B190">
        <f>HYPERLINK("https://www.suredividend.com/sure-analysis-research-database/","Arista Networks Inc")</f>
        <v>0</v>
      </c>
      <c r="C190">
        <v>0.019244705692889</v>
      </c>
      <c r="D190">
        <v>-0.024356405117928</v>
      </c>
      <c r="E190">
        <v>0.298989173379855</v>
      </c>
      <c r="F190">
        <v>-0.119443478260869</v>
      </c>
      <c r="G190">
        <v>0.598888432753339</v>
      </c>
      <c r="H190">
        <v>1.467326153696213</v>
      </c>
      <c r="I190">
        <v>2.854445797807551</v>
      </c>
    </row>
    <row r="191" spans="1:9">
      <c r="A191" s="1" t="s">
        <v>203</v>
      </c>
      <c r="B191">
        <f>HYPERLINK("https://www.suredividend.com/sure-analysis-research-database/","Abercrombie &amp; Fitch Co.")</f>
        <v>0</v>
      </c>
      <c r="C191">
        <v>0.101213282247765</v>
      </c>
      <c r="D191">
        <v>0.010251903925014</v>
      </c>
      <c r="E191">
        <v>-0.119254341164453</v>
      </c>
      <c r="F191">
        <v>-0.009761699684180001</v>
      </c>
      <c r="G191">
        <v>-0.14860528264626</v>
      </c>
      <c r="H191">
        <v>2.414851485148515</v>
      </c>
      <c r="I191">
        <v>2.661786408179299</v>
      </c>
    </row>
    <row r="192" spans="1:9">
      <c r="A192" s="1" t="s">
        <v>204</v>
      </c>
      <c r="B192">
        <f>HYPERLINK("https://www.suredividend.com/sure-analysis-research-database/","Angi Inc")</f>
        <v>0</v>
      </c>
      <c r="C192">
        <v>-0.149579831932773</v>
      </c>
      <c r="D192">
        <v>-0.3836784409257</v>
      </c>
      <c r="E192">
        <v>-0.6152091254752851</v>
      </c>
      <c r="F192">
        <v>-0.4505971769815411</v>
      </c>
      <c r="G192">
        <v>-0.6988095238095231</v>
      </c>
      <c r="H192">
        <v>-0.07832422586520901</v>
      </c>
      <c r="I192">
        <v>-0.388888888888888</v>
      </c>
    </row>
    <row r="193" spans="1:9">
      <c r="A193" s="1" t="s">
        <v>205</v>
      </c>
      <c r="B193">
        <f>HYPERLINK("https://www.suredividend.com/sure-analysis-research-database/","Angiodynamic Inc")</f>
        <v>0</v>
      </c>
      <c r="C193">
        <v>-0.0008718395815160001</v>
      </c>
      <c r="D193">
        <v>0.012814847547503</v>
      </c>
      <c r="E193">
        <v>-0.16258677383997</v>
      </c>
      <c r="F193">
        <v>-0.168963016678752</v>
      </c>
      <c r="G193">
        <v>-0.054065208419314</v>
      </c>
      <c r="H193">
        <v>1.494015233949945</v>
      </c>
      <c r="I193">
        <v>0.5088874259381171</v>
      </c>
    </row>
    <row r="194" spans="1:9">
      <c r="A194" s="1" t="s">
        <v>206</v>
      </c>
      <c r="B194">
        <f>HYPERLINK("https://www.suredividend.com/sure-analysis-research-database/","Anworth Mortgage Asset Corp.")</f>
        <v>0</v>
      </c>
      <c r="C194">
        <v>0.09833407047029301</v>
      </c>
      <c r="D194">
        <v>0.165610576546976</v>
      </c>
      <c r="E194">
        <v>0.779848294809771</v>
      </c>
      <c r="F194">
        <v>0.114560347084564</v>
      </c>
      <c r="G194">
        <v>1.549187339606501</v>
      </c>
      <c r="H194">
        <v>-0.09636727515313201</v>
      </c>
      <c r="I194">
        <v>0.114018691588785</v>
      </c>
    </row>
    <row r="195" spans="1:9">
      <c r="A195" s="1" t="s">
        <v>207</v>
      </c>
      <c r="B195">
        <f>HYPERLINK("https://www.suredividend.com/sure-analysis-research-database/","Anika Therapeutics Inc.")</f>
        <v>0</v>
      </c>
      <c r="C195">
        <v>-0.115560640732265</v>
      </c>
      <c r="D195">
        <v>-0.322128032738965</v>
      </c>
      <c r="E195">
        <v>-0.443350936149784</v>
      </c>
      <c r="F195">
        <v>-0.352777002511861</v>
      </c>
      <c r="G195">
        <v>-0.42327779159413</v>
      </c>
      <c r="H195">
        <v>-0.237421900690562</v>
      </c>
      <c r="I195">
        <v>-0.461198884758364</v>
      </c>
    </row>
    <row r="196" spans="1:9">
      <c r="A196" s="1" t="s">
        <v>208</v>
      </c>
      <c r="B196">
        <f>HYPERLINK("https://www.suredividend.com/sure-analysis-research-database/","ANI Pharmaceuticals Inc")</f>
        <v>0</v>
      </c>
      <c r="C196">
        <v>0.195316855603047</v>
      </c>
      <c r="D196">
        <v>-0.252614455031373</v>
      </c>
      <c r="E196">
        <v>-0.165542293720809</v>
      </c>
      <c r="F196">
        <v>-0.302083333333333</v>
      </c>
      <c r="G196">
        <v>-0.05909888823873601</v>
      </c>
      <c r="H196">
        <v>-0.248246844319775</v>
      </c>
      <c r="I196">
        <v>-0.37212026552128</v>
      </c>
    </row>
    <row r="197" spans="1:9">
      <c r="A197" s="1" t="s">
        <v>209</v>
      </c>
      <c r="B197">
        <f>HYPERLINK("https://www.suredividend.com/sure-analysis-research-database/","Anixa Biosciences Inc")</f>
        <v>0</v>
      </c>
      <c r="C197">
        <v>0.015503875968992</v>
      </c>
      <c r="D197">
        <v>-0.231671554252199</v>
      </c>
      <c r="E197">
        <v>-0.4031890660592251</v>
      </c>
      <c r="F197">
        <v>-0.117845117845117</v>
      </c>
      <c r="G197">
        <v>-0.442553191489361</v>
      </c>
      <c r="H197">
        <v>0.357512953367875</v>
      </c>
      <c r="I197">
        <v>0.21860465116279</v>
      </c>
    </row>
    <row r="198" spans="1:9">
      <c r="A198" s="1" t="s">
        <v>210</v>
      </c>
      <c r="B198">
        <f>HYPERLINK("https://www.suredividend.com/sure-analysis-research-database/","Ansys Inc.")</f>
        <v>0</v>
      </c>
      <c r="C198">
        <v>-0.09195291393284401</v>
      </c>
      <c r="D198">
        <v>-0.189963849199518</v>
      </c>
      <c r="E198">
        <v>-0.213236728438066</v>
      </c>
      <c r="F198">
        <v>-0.296145791783007</v>
      </c>
      <c r="G198">
        <v>-0.24496563527933</v>
      </c>
      <c r="H198">
        <v>0.09506632534326201</v>
      </c>
      <c r="I198">
        <v>1.679415393375723</v>
      </c>
    </row>
    <row r="199" spans="1:9">
      <c r="A199" s="1" t="s">
        <v>211</v>
      </c>
      <c r="B199">
        <f>HYPERLINK("https://www.suredividend.com/sure-analysis-ANTM/","Anthem Inc")</f>
        <v>0</v>
      </c>
      <c r="C199">
        <v>0.09748948642793401</v>
      </c>
      <c r="D199">
        <v>0.146048426268267</v>
      </c>
      <c r="E199">
        <v>0.322033924323843</v>
      </c>
      <c r="F199">
        <v>0.117863269866887</v>
      </c>
      <c r="G199">
        <v>0.391619847980775</v>
      </c>
      <c r="H199">
        <v>0.94806810547436</v>
      </c>
      <c r="I199">
        <v>2.331281046215142</v>
      </c>
    </row>
    <row r="200" spans="1:9">
      <c r="A200" s="1" t="s">
        <v>212</v>
      </c>
      <c r="B200">
        <f>HYPERLINK("https://www.suredividend.com/sure-analysis-AON/","Aon plc.")</f>
        <v>0</v>
      </c>
      <c r="C200">
        <v>0.060545360558283</v>
      </c>
      <c r="D200">
        <v>0.202709228391646</v>
      </c>
      <c r="E200">
        <v>0.06499845243324801</v>
      </c>
      <c r="F200">
        <v>0.09422662618123701</v>
      </c>
      <c r="G200">
        <v>0.383184611281133</v>
      </c>
      <c r="H200">
        <v>0.7926929168259511</v>
      </c>
      <c r="I200">
        <v>1.123051072617453</v>
      </c>
    </row>
    <row r="201" spans="1:9">
      <c r="A201" s="1" t="s">
        <v>213</v>
      </c>
      <c r="B201">
        <f>HYPERLINK("https://www.suredividend.com/sure-analysis-AOS/","A.O. Smith Corp.")</f>
        <v>0</v>
      </c>
      <c r="C201">
        <v>-0.05229534987371801</v>
      </c>
      <c r="D201">
        <v>-0.20533282838727</v>
      </c>
      <c r="E201">
        <v>-0.021208429360985</v>
      </c>
      <c r="F201">
        <v>-0.254206850915026</v>
      </c>
      <c r="G201">
        <v>-0.05024655772071</v>
      </c>
      <c r="H201">
        <v>0.656956281186442</v>
      </c>
      <c r="I201">
        <v>0.3958638316123</v>
      </c>
    </row>
    <row r="202" spans="1:9">
      <c r="A202" s="1" t="s">
        <v>214</v>
      </c>
      <c r="B202">
        <f>HYPERLINK("https://www.suredividend.com/sure-analysis-research-database/","Alpha &amp; Omega Semiconductor Ltd")</f>
        <v>0</v>
      </c>
      <c r="C202">
        <v>-0.170700166266395</v>
      </c>
      <c r="D202">
        <v>-0.116164599330576</v>
      </c>
      <c r="E202">
        <v>0.411635220125786</v>
      </c>
      <c r="F202">
        <v>-0.258751651254953</v>
      </c>
      <c r="G202">
        <v>0.398442367601246</v>
      </c>
      <c r="H202">
        <v>4.17762399077278</v>
      </c>
      <c r="I202">
        <v>1.784739454094292</v>
      </c>
    </row>
    <row r="203" spans="1:9">
      <c r="A203" s="1" t="s">
        <v>215</v>
      </c>
      <c r="B203">
        <f>HYPERLINK("https://www.suredividend.com/sure-analysis-research-database/","Ampco-Pittsburgh Corp.")</f>
        <v>0</v>
      </c>
      <c r="C203">
        <v>-0.140625</v>
      </c>
      <c r="D203">
        <v>-0.03677758318739</v>
      </c>
      <c r="E203">
        <v>0.172707889125799</v>
      </c>
      <c r="F203">
        <v>0.1</v>
      </c>
      <c r="G203">
        <v>-0.205202312138728</v>
      </c>
      <c r="H203">
        <v>0.8272425249169431</v>
      </c>
      <c r="I203">
        <v>-0.6451612903225801</v>
      </c>
    </row>
    <row r="204" spans="1:9">
      <c r="A204" s="1" t="s">
        <v>216</v>
      </c>
      <c r="B204">
        <f>HYPERLINK("https://www.suredividend.com/sure-analysis-APA/","APA Corporation")</f>
        <v>0</v>
      </c>
      <c r="C204">
        <v>0.185345997286295</v>
      </c>
      <c r="D204">
        <v>0.317190115043046</v>
      </c>
      <c r="E204">
        <v>0.666641229529463</v>
      </c>
      <c r="F204">
        <v>0.6306904301468661</v>
      </c>
      <c r="G204">
        <v>1.476920634200558</v>
      </c>
      <c r="H204">
        <v>1.260354784624619</v>
      </c>
      <c r="I204">
        <v>1.260354784624619</v>
      </c>
    </row>
    <row r="205" spans="1:9">
      <c r="A205" s="1" t="s">
        <v>217</v>
      </c>
      <c r="B205">
        <f>HYPERLINK("https://www.suredividend.com/sure-analysis-APAM/","Artisan Partners Asset Management Inc")</f>
        <v>0</v>
      </c>
      <c r="C205">
        <v>-0.01401004493788</v>
      </c>
      <c r="D205">
        <v>-0.166878855698057</v>
      </c>
      <c r="E205">
        <v>-0.173024181837127</v>
      </c>
      <c r="F205">
        <v>-0.197307429102662</v>
      </c>
      <c r="G205">
        <v>-0.280264584772482</v>
      </c>
      <c r="H205">
        <v>0.9240589907201551</v>
      </c>
      <c r="I205">
        <v>1.004955950096484</v>
      </c>
    </row>
    <row r="206" spans="1:9">
      <c r="A206" s="1" t="s">
        <v>218</v>
      </c>
      <c r="B206">
        <f>HYPERLINK("https://www.suredividend.com/sure-analysis-APD/","Air Products &amp; Chemicals Inc.")</f>
        <v>0</v>
      </c>
      <c r="C206">
        <v>0.106098328215993</v>
      </c>
      <c r="D206">
        <v>-0.147315099611172</v>
      </c>
      <c r="E206">
        <v>-0.14703783628752</v>
      </c>
      <c r="F206">
        <v>-0.183495251610086</v>
      </c>
      <c r="G206">
        <v>-0.121946117998005</v>
      </c>
      <c r="H206">
        <v>0.210285366304506</v>
      </c>
      <c r="I206">
        <v>1.065966293714721</v>
      </c>
    </row>
    <row r="207" spans="1:9">
      <c r="A207" s="1" t="s">
        <v>219</v>
      </c>
      <c r="B207">
        <f>HYPERLINK("https://www.suredividend.com/sure-analysis-research-database/","Applied Dna Sciences Inc")</f>
        <v>0</v>
      </c>
      <c r="C207">
        <v>-0.076555023923444</v>
      </c>
      <c r="D207">
        <v>-0.5222772277227721</v>
      </c>
      <c r="E207">
        <v>-0.6614035087719291</v>
      </c>
      <c r="F207">
        <v>-0.5199004975124371</v>
      </c>
      <c r="G207">
        <v>-0.6936507936507931</v>
      </c>
      <c r="H207">
        <v>-0.68046357615894</v>
      </c>
      <c r="I207">
        <v>-0.970757575757575</v>
      </c>
    </row>
    <row r="208" spans="1:9">
      <c r="A208" s="1" t="s">
        <v>220</v>
      </c>
      <c r="B208">
        <f>HYPERLINK("https://www.suredividend.com/sure-analysis-research-database/","American Public Education Inc")</f>
        <v>0</v>
      </c>
      <c r="C208">
        <v>-0.03863037752414401</v>
      </c>
      <c r="D208">
        <v>-0.030973451327433</v>
      </c>
      <c r="E208">
        <v>-0.130262112787927</v>
      </c>
      <c r="F208">
        <v>-0.015730337078651</v>
      </c>
      <c r="G208">
        <v>-0.361702127659574</v>
      </c>
      <c r="H208">
        <v>-0.044085552160628</v>
      </c>
      <c r="I208">
        <v>0.040380047505938</v>
      </c>
    </row>
    <row r="209" spans="1:9">
      <c r="A209" s="1" t="s">
        <v>221</v>
      </c>
      <c r="B209">
        <f>HYPERLINK("https://www.suredividend.com/sure-analysis-research-database/","Apollo Endosurgery Inc")</f>
        <v>0</v>
      </c>
      <c r="C209">
        <v>-0.013355592654424</v>
      </c>
      <c r="D209">
        <v>0</v>
      </c>
      <c r="E209">
        <v>-0.287951807228915</v>
      </c>
      <c r="F209">
        <v>-0.298932384341636</v>
      </c>
      <c r="G209">
        <v>0.04973357015985801</v>
      </c>
      <c r="H209">
        <v>1.686363636363636</v>
      </c>
      <c r="I209">
        <v>-0.518337408312958</v>
      </c>
    </row>
    <row r="210" spans="1:9">
      <c r="A210" s="1" t="s">
        <v>222</v>
      </c>
      <c r="B210">
        <f>HYPERLINK("https://www.suredividend.com/sure-analysis-research-database/","Apex Global Brands Inc")</f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223</v>
      </c>
      <c r="B211">
        <f>HYPERLINK("https://www.suredividend.com/sure-analysis-research-database/","Amphenol Corp.")</f>
        <v>0</v>
      </c>
      <c r="C211">
        <v>-0.06202396516774401</v>
      </c>
      <c r="D211">
        <v>-0.135352155415474</v>
      </c>
      <c r="E211">
        <v>-0.08219194159830001</v>
      </c>
      <c r="F211">
        <v>-0.193186911698789</v>
      </c>
      <c r="G211">
        <v>0.037185716369938</v>
      </c>
      <c r="H211">
        <v>0.7775779679338871</v>
      </c>
      <c r="I211">
        <v>1.155860307113604</v>
      </c>
    </row>
    <row r="212" spans="1:9">
      <c r="A212" s="1" t="s">
        <v>224</v>
      </c>
      <c r="B212">
        <f>HYPERLINK("https://www.suredividend.com/sure-analysis-APLE/","Apple Hospitality REIT Inc")</f>
        <v>0</v>
      </c>
      <c r="C212">
        <v>-0.022114490636206</v>
      </c>
      <c r="D212">
        <v>0.058299294467137</v>
      </c>
      <c r="E212">
        <v>0.105024201718509</v>
      </c>
      <c r="F212">
        <v>0.100235364441289</v>
      </c>
      <c r="G212">
        <v>0.181323456658064</v>
      </c>
      <c r="H212">
        <v>1.221300346960326</v>
      </c>
      <c r="I212">
        <v>0.149784293439006</v>
      </c>
    </row>
    <row r="213" spans="1:9">
      <c r="A213" s="1" t="s">
        <v>225</v>
      </c>
      <c r="B213">
        <f>HYPERLINK("https://www.suredividend.com/sure-analysis-research-database/","Apellis Pharmaceuticals Inc")</f>
        <v>0</v>
      </c>
      <c r="C213">
        <v>0.167329796640141</v>
      </c>
      <c r="D213">
        <v>0.308473736372646</v>
      </c>
      <c r="E213">
        <v>0.52497834247762</v>
      </c>
      <c r="F213">
        <v>0.116962774957698</v>
      </c>
      <c r="G213">
        <v>0.158876453807329</v>
      </c>
      <c r="H213">
        <v>0.6743817374762201</v>
      </c>
      <c r="I213">
        <v>2.764076977904491</v>
      </c>
    </row>
    <row r="214" spans="1:9">
      <c r="A214" s="1" t="s">
        <v>226</v>
      </c>
      <c r="B214">
        <f>HYPERLINK("https://www.suredividend.com/sure-analysis-research-database/","Apogee Enterprises Inc.")</f>
        <v>0</v>
      </c>
      <c r="C214">
        <v>-0.05054672993604201</v>
      </c>
      <c r="D214">
        <v>-0.05583150223732201</v>
      </c>
      <c r="E214">
        <v>0.196259933090546</v>
      </c>
      <c r="F214">
        <v>-0.039555215140049</v>
      </c>
      <c r="G214">
        <v>0.298866243871874</v>
      </c>
      <c r="H214">
        <v>1.853369542977251</v>
      </c>
      <c r="I214">
        <v>0.0009004188905270001</v>
      </c>
    </row>
    <row r="215" spans="1:9">
      <c r="A215" s="1" t="s">
        <v>227</v>
      </c>
      <c r="B215">
        <f>HYPERLINK("https://www.suredividend.com/sure-analysis-research-database/","Appfolio Inc")</f>
        <v>0</v>
      </c>
      <c r="C215">
        <v>0.021517041858783</v>
      </c>
      <c r="D215">
        <v>-0.017563690113903</v>
      </c>
      <c r="E215">
        <v>-0.127625077208153</v>
      </c>
      <c r="F215">
        <v>-0.066661159755493</v>
      </c>
      <c r="G215">
        <v>-0.227471625871735</v>
      </c>
      <c r="H215">
        <v>0.116171095525041</v>
      </c>
      <c r="I215">
        <v>3.448425196850394</v>
      </c>
    </row>
    <row r="216" spans="1:9">
      <c r="A216" s="1" t="s">
        <v>228</v>
      </c>
      <c r="B216">
        <f>HYPERLINK("https://www.suredividend.com/sure-analysis-research-database/","Appian Corp")</f>
        <v>0</v>
      </c>
      <c r="C216">
        <v>0.04607410251487801</v>
      </c>
      <c r="D216">
        <v>-0.020316432937792</v>
      </c>
      <c r="E216">
        <v>-0.407588606218743</v>
      </c>
      <c r="F216">
        <v>-0.164391964422634</v>
      </c>
      <c r="G216">
        <v>-0.5970568660800111</v>
      </c>
      <c r="H216">
        <v>0.243496120492925</v>
      </c>
      <c r="I216">
        <v>2.630246502331779</v>
      </c>
    </row>
    <row r="217" spans="1:9">
      <c r="A217" s="1" t="s">
        <v>229</v>
      </c>
      <c r="B217">
        <f>HYPERLINK("https://www.suredividend.com/sure-analysis-research-database/","Digital Turbine Inc")</f>
        <v>0</v>
      </c>
      <c r="C217">
        <v>-0.03143006809848</v>
      </c>
      <c r="D217">
        <v>-0.256832797427652</v>
      </c>
      <c r="E217">
        <v>-0.563297118564005</v>
      </c>
      <c r="F217">
        <v>-0.3936710936219051</v>
      </c>
      <c r="G217">
        <v>-0.508832514278124</v>
      </c>
      <c r="H217">
        <v>6.801687763713079</v>
      </c>
      <c r="I217">
        <v>38.92658173180738</v>
      </c>
    </row>
    <row r="218" spans="1:9">
      <c r="A218" s="1" t="s">
        <v>230</v>
      </c>
      <c r="B218">
        <f>HYPERLINK("https://www.suredividend.com/sure-analysis-research-database/","Blue Apron Holdings Inc")</f>
        <v>0</v>
      </c>
      <c r="C218">
        <v>-0.054669703872437</v>
      </c>
      <c r="D218">
        <v>-0.479949874686716</v>
      </c>
      <c r="E218">
        <v>-0.5180023228803711</v>
      </c>
      <c r="F218">
        <v>-0.38335809806835</v>
      </c>
      <c r="G218">
        <v>-0.31855500821018</v>
      </c>
      <c r="H218">
        <v>-0.6477079796264851</v>
      </c>
      <c r="I218">
        <v>-0.972333333333333</v>
      </c>
    </row>
    <row r="219" spans="1:9">
      <c r="A219" s="1" t="s">
        <v>231</v>
      </c>
      <c r="B219">
        <f>HYPERLINK("https://www.suredividend.com/sure-analysis-research-database/","Alpha Pro Tech Ltd.")</f>
        <v>0</v>
      </c>
      <c r="C219">
        <v>-0.004784688995215</v>
      </c>
      <c r="D219">
        <v>-0.235294117647058</v>
      </c>
      <c r="E219">
        <v>-0.339682539682539</v>
      </c>
      <c r="F219">
        <v>-0.303182579564489</v>
      </c>
      <c r="G219">
        <v>-0.573770491803278</v>
      </c>
      <c r="H219">
        <v>-0.7121107266435981</v>
      </c>
      <c r="I219">
        <v>0.512727272727272</v>
      </c>
    </row>
    <row r="220" spans="1:9">
      <c r="A220" s="1" t="s">
        <v>232</v>
      </c>
      <c r="B220">
        <f>HYPERLINK("https://www.suredividend.com/sure-analysis-APTS/","Preferred Apartment Communities Inc")</f>
        <v>0</v>
      </c>
      <c r="C220">
        <v>-0.005990415335463</v>
      </c>
      <c r="D220">
        <v>0.385471750626217</v>
      </c>
      <c r="E220">
        <v>1.051311636186818</v>
      </c>
      <c r="F220">
        <v>0.38777376332575</v>
      </c>
      <c r="G220">
        <v>1.563204778332732</v>
      </c>
      <c r="H220">
        <v>3.109702133280496</v>
      </c>
      <c r="I220">
        <v>1.5741263586816</v>
      </c>
    </row>
    <row r="221" spans="1:9">
      <c r="A221" s="1" t="s">
        <v>233</v>
      </c>
      <c r="B221">
        <f>HYPERLINK("https://www.suredividend.com/sure-analysis-research-database/","Aptiv PLC")</f>
        <v>0</v>
      </c>
      <c r="C221">
        <v>-0.078827863936252</v>
      </c>
      <c r="D221">
        <v>-0.295478374836172</v>
      </c>
      <c r="E221">
        <v>-0.36286594761171</v>
      </c>
      <c r="F221">
        <v>-0.348226735374355</v>
      </c>
      <c r="G221">
        <v>-0.237788018433179</v>
      </c>
      <c r="H221">
        <v>0.8111522911051211</v>
      </c>
      <c r="I221">
        <v>0.471552404977354</v>
      </c>
    </row>
    <row r="222" spans="1:9">
      <c r="A222" s="1" t="s">
        <v>234</v>
      </c>
      <c r="B222">
        <f>HYPERLINK("https://www.suredividend.com/sure-analysis-research-database/","Aptevo Therapeutics Inc")</f>
        <v>0</v>
      </c>
      <c r="C222">
        <v>0.0042194092827</v>
      </c>
      <c r="D222">
        <v>-0.340747614365054</v>
      </c>
      <c r="E222">
        <v>-0.682454969979986</v>
      </c>
      <c r="F222">
        <v>-0.395171537484116</v>
      </c>
      <c r="G222">
        <v>-0.8120063191153231</v>
      </c>
      <c r="H222">
        <v>0.304109589041095</v>
      </c>
      <c r="I222">
        <v>-0.8219895287958111</v>
      </c>
    </row>
    <row r="223" spans="1:9">
      <c r="A223" s="1" t="s">
        <v>235</v>
      </c>
      <c r="B223">
        <f>HYPERLINK("https://www.suredividend.com/sure-analysis-research-database/","Apyx Medical Corp")</f>
        <v>0</v>
      </c>
      <c r="C223">
        <v>-0.229106628242075</v>
      </c>
      <c r="D223">
        <v>-0.539982803095442</v>
      </c>
      <c r="E223">
        <v>-0.5931558935361211</v>
      </c>
      <c r="F223">
        <v>-0.582683307332293</v>
      </c>
      <c r="G223">
        <v>-0.4450207468879661</v>
      </c>
      <c r="H223">
        <v>0.6614906832298131</v>
      </c>
      <c r="I223">
        <v>1.041984732824427</v>
      </c>
    </row>
    <row r="224" spans="1:9">
      <c r="A224" s="1" t="s">
        <v>236</v>
      </c>
      <c r="B224">
        <f>HYPERLINK("https://www.suredividend.com/sure-analysis-research-database/","AquaBounty Technologies Inc")</f>
        <v>0</v>
      </c>
      <c r="C224">
        <v>0.005952380952380001</v>
      </c>
      <c r="D224">
        <v>-0.08152173913043401</v>
      </c>
      <c r="E224">
        <v>-0.5677749360613811</v>
      </c>
      <c r="F224">
        <v>-0.195238095238095</v>
      </c>
      <c r="G224">
        <v>-0.711111111111111</v>
      </c>
      <c r="H224">
        <v>-0.034285714285714</v>
      </c>
      <c r="I224">
        <v>-0.8275510204081631</v>
      </c>
    </row>
    <row r="225" spans="1:9">
      <c r="A225" s="1" t="s">
        <v>237</v>
      </c>
      <c r="B225">
        <f>HYPERLINK("https://www.suredividend.com/sure-analysis-research-database/","Aqua Metals Inc")</f>
        <v>0</v>
      </c>
      <c r="C225">
        <v>0</v>
      </c>
      <c r="D225">
        <v>0.133333333333333</v>
      </c>
      <c r="E225">
        <v>-0.461538461538461</v>
      </c>
      <c r="F225">
        <v>-0.032520325203252</v>
      </c>
      <c r="G225">
        <v>-0.6185897435897431</v>
      </c>
      <c r="H225">
        <v>1.016949152542372</v>
      </c>
      <c r="I225">
        <v>-0.9314516129032251</v>
      </c>
    </row>
    <row r="226" spans="1:9">
      <c r="A226" s="1" t="s">
        <v>238</v>
      </c>
      <c r="B226">
        <f>HYPERLINK("https://www.suredividend.com/sure-analysis-research-database/","Evoqua Water Technologies Corp")</f>
        <v>0</v>
      </c>
      <c r="C226">
        <v>-0.025161433979069</v>
      </c>
      <c r="D226">
        <v>0.133609528741584</v>
      </c>
      <c r="E226">
        <v>0.115414012738853</v>
      </c>
      <c r="F226">
        <v>-0.063529411764705</v>
      </c>
      <c r="G226">
        <v>0.5264993026499301</v>
      </c>
      <c r="H226">
        <v>2.216752387950037</v>
      </c>
      <c r="I226">
        <v>1.096743295019157</v>
      </c>
    </row>
    <row r="227" spans="1:9">
      <c r="A227" s="1" t="s">
        <v>239</v>
      </c>
      <c r="B227">
        <f>HYPERLINK("https://www.suredividend.com/sure-analysis-research-database/","Antero Resources Corp")</f>
        <v>0</v>
      </c>
      <c r="C227">
        <v>0.405017921146953</v>
      </c>
      <c r="D227">
        <v>0.761357963055416</v>
      </c>
      <c r="E227">
        <v>0.8009188361408881</v>
      </c>
      <c r="F227">
        <v>1.016</v>
      </c>
      <c r="G227">
        <v>2.769230769230769</v>
      </c>
      <c r="H227">
        <v>27.45161290322581</v>
      </c>
      <c r="I227">
        <v>0.599274705349048</v>
      </c>
    </row>
    <row r="228" spans="1:9">
      <c r="A228" s="1" t="s">
        <v>240</v>
      </c>
      <c r="B228">
        <f>HYPERLINK("https://www.suredividend.com/sure-analysis-research-database/","American Renal Associates Holdings Inc.")</f>
        <v>0</v>
      </c>
      <c r="C228">
        <v>0.005244755244755</v>
      </c>
      <c r="D228">
        <v>0</v>
      </c>
      <c r="E228">
        <v>0.802507836990595</v>
      </c>
      <c r="F228">
        <v>0.004366812227074001</v>
      </c>
      <c r="G228">
        <v>0.171079429735234</v>
      </c>
      <c r="H228">
        <v>-0.05427631578947301</v>
      </c>
      <c r="I228">
        <v>-0.566037735849056</v>
      </c>
    </row>
    <row r="229" spans="1:9">
      <c r="A229" s="1" t="s">
        <v>241</v>
      </c>
      <c r="B229">
        <f>HYPERLINK("https://www.suredividend.com/sure-analysis-research-database/","Aravive Inc")</f>
        <v>0</v>
      </c>
      <c r="C229">
        <v>-0.08648648648648601</v>
      </c>
      <c r="D229">
        <v>-0.304526748971193</v>
      </c>
      <c r="E229">
        <v>-0.5407608695652171</v>
      </c>
      <c r="F229">
        <v>-0.228310502283105</v>
      </c>
      <c r="G229">
        <v>-0.6737451737451731</v>
      </c>
      <c r="H229">
        <v>-0.8363988383349461</v>
      </c>
      <c r="I229">
        <v>-0.91855421686747</v>
      </c>
    </row>
    <row r="230" spans="1:9">
      <c r="A230" s="1" t="s">
        <v>242</v>
      </c>
      <c r="B230">
        <f>HYPERLINK("https://www.suredividend.com/sure-analysis-research-database/","Accuray Inc")</f>
        <v>0</v>
      </c>
      <c r="C230">
        <v>-0.049418604651162</v>
      </c>
      <c r="D230">
        <v>-0.22877358490566</v>
      </c>
      <c r="E230">
        <v>-0.167938931297709</v>
      </c>
      <c r="F230">
        <v>-0.314465408805031</v>
      </c>
      <c r="G230">
        <v>-0.37236084452975</v>
      </c>
      <c r="H230">
        <v>0.923529411764706</v>
      </c>
      <c r="I230">
        <v>-0.289130434782608</v>
      </c>
    </row>
    <row r="231" spans="1:9">
      <c r="A231" s="1" t="s">
        <v>243</v>
      </c>
      <c r="B231">
        <f>HYPERLINK("https://www.suredividend.com/sure-analysis-research-database/","ARC Document Solutions Inc")</f>
        <v>0</v>
      </c>
      <c r="C231">
        <v>0.06060606060606</v>
      </c>
      <c r="D231">
        <v>0.074008982620581</v>
      </c>
      <c r="E231">
        <v>0.4114455401987021</v>
      </c>
      <c r="F231">
        <v>0.11697806661251</v>
      </c>
      <c r="G231">
        <v>0.8073420336118671</v>
      </c>
      <c r="H231">
        <v>5.703813337976667</v>
      </c>
      <c r="I231">
        <v>0.18403247631935</v>
      </c>
    </row>
    <row r="232" spans="1:9">
      <c r="A232" s="1" t="s">
        <v>244</v>
      </c>
      <c r="B232">
        <f>HYPERLINK("https://www.suredividend.com/sure-analysis-research-database/","ArcBest Corp")</f>
        <v>0</v>
      </c>
      <c r="C232">
        <v>-0.228899542869885</v>
      </c>
      <c r="D232">
        <v>-0.237317200393913</v>
      </c>
      <c r="E232">
        <v>-0.189437845376713</v>
      </c>
      <c r="F232">
        <v>-0.4224359739879051</v>
      </c>
      <c r="G232">
        <v>-0.063826561552456</v>
      </c>
      <c r="H232">
        <v>2.814608693733694</v>
      </c>
      <c r="I232">
        <v>1.949090242331981</v>
      </c>
    </row>
    <row r="233" spans="1:9">
      <c r="A233" s="1" t="s">
        <v>245</v>
      </c>
      <c r="B233">
        <f>HYPERLINK("https://www.suredividend.com/sure-analysis-research-database/","Arch Resources Inc")</f>
        <v>0</v>
      </c>
      <c r="C233">
        <v>0.182541373677108</v>
      </c>
      <c r="D233">
        <v>0.727646389209707</v>
      </c>
      <c r="E233">
        <v>0.7740615556417481</v>
      </c>
      <c r="F233">
        <v>0.827157025319442</v>
      </c>
      <c r="G233">
        <v>2.427864343128212</v>
      </c>
      <c r="H233">
        <v>4.807864984319568</v>
      </c>
      <c r="I233">
        <v>1.522434348377439</v>
      </c>
    </row>
    <row r="234" spans="1:9">
      <c r="A234" s="1" t="s">
        <v>246</v>
      </c>
      <c r="B234">
        <f>HYPERLINK("https://www.suredividend.com/sure-analysis-research-database/","Ardelyx Inc")</f>
        <v>0</v>
      </c>
      <c r="C234">
        <v>-0.06826009811084401</v>
      </c>
      <c r="D234">
        <v>-0.042270142688552</v>
      </c>
      <c r="E234">
        <v>-0.173425925925925</v>
      </c>
      <c r="F234">
        <v>-0.188454545454545</v>
      </c>
      <c r="G234">
        <v>-0.8972727272727271</v>
      </c>
      <c r="H234">
        <v>-0.8702470930232551</v>
      </c>
      <c r="I234">
        <v>-0.925608333333333</v>
      </c>
    </row>
    <row r="235" spans="1:9">
      <c r="A235" s="1" t="s">
        <v>247</v>
      </c>
      <c r="B235">
        <f>HYPERLINK("https://www.suredividend.com/sure-analysis-ARE/","Alexandria Real Estate Equities Inc.")</f>
        <v>0</v>
      </c>
      <c r="C235">
        <v>0.029640612493931</v>
      </c>
      <c r="D235">
        <v>-0.06172848953495801</v>
      </c>
      <c r="E235">
        <v>-0.016514909439461</v>
      </c>
      <c r="F235">
        <v>-0.115089354865046</v>
      </c>
      <c r="G235">
        <v>0.142643468212401</v>
      </c>
      <c r="H235">
        <v>0.354410533168835</v>
      </c>
      <c r="I235">
        <v>0.9779040951426511</v>
      </c>
    </row>
    <row r="236" spans="1:9">
      <c r="A236" s="1" t="s">
        <v>248</v>
      </c>
      <c r="B236">
        <f>HYPERLINK("https://www.suredividend.com/sure-analysis-research-database/","Ares Management Corp")</f>
        <v>0</v>
      </c>
      <c r="C236">
        <v>0.02438377948582</v>
      </c>
      <c r="D236">
        <v>0.010988781032647</v>
      </c>
      <c r="E236">
        <v>0.022309626242013</v>
      </c>
      <c r="F236">
        <v>-0.04063702694283401</v>
      </c>
      <c r="G236">
        <v>0.423394492034146</v>
      </c>
      <c r="H236">
        <v>1.585708025729969</v>
      </c>
      <c r="I236">
        <v>2.831968432115167</v>
      </c>
    </row>
    <row r="237" spans="1:9">
      <c r="A237" s="1" t="s">
        <v>249</v>
      </c>
      <c r="B237">
        <f>HYPERLINK("https://www.suredividend.com/sure-analysis-research-database/","Argo Group International Holdings Ltd")</f>
        <v>0</v>
      </c>
      <c r="C237">
        <v>-0.009086561453849</v>
      </c>
      <c r="D237">
        <v>-0.30492190435296</v>
      </c>
      <c r="E237">
        <v>-0.247785923939975</v>
      </c>
      <c r="F237">
        <v>-0.281596990473879</v>
      </c>
      <c r="G237">
        <v>-0.201041114377982</v>
      </c>
      <c r="H237">
        <v>0.325019984012789</v>
      </c>
      <c r="I237">
        <v>-0.250059267758158</v>
      </c>
    </row>
    <row r="238" spans="1:9">
      <c r="A238" s="1" t="s">
        <v>250</v>
      </c>
      <c r="B238">
        <f>HYPERLINK("https://www.suredividend.com/sure-analysis-ARI/","Apollo Commercial Real Estate Finance Inc")</f>
        <v>0</v>
      </c>
      <c r="C238">
        <v>0.047187136913908</v>
      </c>
      <c r="D238">
        <v>0.021042091491803</v>
      </c>
      <c r="E238">
        <v>-0.040818428370352</v>
      </c>
      <c r="F238">
        <v>0.087769022331578</v>
      </c>
      <c r="G238">
        <v>0.027855850022808</v>
      </c>
      <c r="H238">
        <v>1.245150507047233</v>
      </c>
      <c r="I238">
        <v>0.286514163627656</v>
      </c>
    </row>
    <row r="239" spans="1:9">
      <c r="A239" s="1" t="s">
        <v>251</v>
      </c>
      <c r="B239">
        <f>HYPERLINK("https://www.suredividend.com/sure-analysis-research-database/","Ark Restaurants Corp.")</f>
        <v>0</v>
      </c>
      <c r="C239">
        <v>-0.033370411568409</v>
      </c>
      <c r="D239">
        <v>0.003464203233256</v>
      </c>
      <c r="E239">
        <v>0.08965517241379301</v>
      </c>
      <c r="F239">
        <v>0.03298662704309</v>
      </c>
      <c r="G239">
        <v>-0.128656084868295</v>
      </c>
      <c r="H239">
        <v>0.392628205128205</v>
      </c>
      <c r="I239">
        <v>-0.204106772419414</v>
      </c>
    </row>
    <row r="240" spans="1:9">
      <c r="A240" s="1" t="s">
        <v>252</v>
      </c>
      <c r="B240">
        <f>HYPERLINK("https://www.suredividend.com/sure-analysis-research-database/","American Realty Investors Inc.")</f>
        <v>0</v>
      </c>
      <c r="C240">
        <v>0.393373952779893</v>
      </c>
      <c r="D240">
        <v>0.421522921522921</v>
      </c>
      <c r="E240">
        <v>0.5451858108108111</v>
      </c>
      <c r="F240">
        <v>0.446245059288537</v>
      </c>
      <c r="G240">
        <v>1.098050458715596</v>
      </c>
      <c r="H240">
        <v>1.714391691394658</v>
      </c>
      <c r="I240">
        <v>1.247542997542997</v>
      </c>
    </row>
    <row r="241" spans="1:9">
      <c r="A241" s="1" t="s">
        <v>253</v>
      </c>
      <c r="B241">
        <f>HYPERLINK("https://www.suredividend.com/sure-analysis-research-database/","Arlo Technologies Inc")</f>
        <v>0</v>
      </c>
      <c r="C241">
        <v>-0.115303983228511</v>
      </c>
      <c r="D241">
        <v>-0.126293995859213</v>
      </c>
      <c r="E241">
        <v>0.300462249614791</v>
      </c>
      <c r="F241">
        <v>-0.195424213536701</v>
      </c>
      <c r="G241">
        <v>0.350399999999999</v>
      </c>
      <c r="H241">
        <v>2.981132075471698</v>
      </c>
      <c r="I241">
        <v>-0.618099547511312</v>
      </c>
    </row>
    <row r="242" spans="1:9">
      <c r="A242" s="1" t="s">
        <v>254</v>
      </c>
      <c r="B242">
        <f>HYPERLINK("https://www.suredividend.com/sure-analysis-research-database/","Aramark")</f>
        <v>0</v>
      </c>
      <c r="C242">
        <v>0.010095497953615</v>
      </c>
      <c r="D242">
        <v>0.015130990835851</v>
      </c>
      <c r="E242">
        <v>0.024777923260687</v>
      </c>
      <c r="F242">
        <v>0.007695176292215</v>
      </c>
      <c r="G242">
        <v>-0.05442303713598901</v>
      </c>
      <c r="H242">
        <v>0.818012169190046</v>
      </c>
      <c r="I242">
        <v>0.07837596928580101</v>
      </c>
    </row>
    <row r="243" spans="1:9">
      <c r="A243" s="1" t="s">
        <v>255</v>
      </c>
      <c r="B243">
        <f>HYPERLINK("https://www.suredividend.com/sure-analysis-research-database/","Armata Pharmaceuticals Inc")</f>
        <v>0</v>
      </c>
      <c r="C243">
        <v>0.175233644859813</v>
      </c>
      <c r="D243">
        <v>-0.126736111111111</v>
      </c>
      <c r="E243">
        <v>0.457971014492753</v>
      </c>
      <c r="F243">
        <v>-0.08211678832116701</v>
      </c>
      <c r="G243">
        <v>0.226829268292683</v>
      </c>
      <c r="H243">
        <v>0.649180327868852</v>
      </c>
      <c r="I243">
        <v>0.431009957325746</v>
      </c>
    </row>
    <row r="244" spans="1:9">
      <c r="A244" s="1" t="s">
        <v>256</v>
      </c>
      <c r="B244">
        <f>HYPERLINK("https://www.suredividend.com/sure-analysis-research-database/","Arena Pharmaceuticals Inc")</f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257</v>
      </c>
      <c r="B245">
        <f>HYPERLINK("https://www.suredividend.com/sure-analysis-research-database/","Arconic Corporation")</f>
        <v>0</v>
      </c>
      <c r="C245">
        <v>0.114238410596026</v>
      </c>
      <c r="D245">
        <v>-0.229315774405954</v>
      </c>
      <c r="E245">
        <v>-0.151591553734635</v>
      </c>
      <c r="F245">
        <v>-0.184489548621629</v>
      </c>
      <c r="G245">
        <v>-0.028158844765342</v>
      </c>
      <c r="H245">
        <v>2.152224824355972</v>
      </c>
      <c r="I245">
        <v>2.890173410404624</v>
      </c>
    </row>
    <row r="246" spans="1:9">
      <c r="A246" s="1" t="s">
        <v>258</v>
      </c>
      <c r="B246">
        <f>HYPERLINK("https://www.suredividend.com/sure-analysis-research-database/","Archrock Inc")</f>
        <v>0</v>
      </c>
      <c r="C246">
        <v>0.131455399061032</v>
      </c>
      <c r="D246">
        <v>0.140639420687696</v>
      </c>
      <c r="E246">
        <v>0.154560153302592</v>
      </c>
      <c r="F246">
        <v>0.3114397268287371</v>
      </c>
      <c r="G246">
        <v>0.09685053704715001</v>
      </c>
      <c r="H246">
        <v>2.037081377398317</v>
      </c>
      <c r="I246">
        <v>0.05454306780143001</v>
      </c>
    </row>
    <row r="247" spans="1:9">
      <c r="A247" s="1" t="s">
        <v>259</v>
      </c>
      <c r="B247">
        <f>HYPERLINK("https://www.suredividend.com/sure-analysis-AROW/","Arrow Financial Corp.")</f>
        <v>0</v>
      </c>
      <c r="C247">
        <v>-0.078299120234604</v>
      </c>
      <c r="D247">
        <v>-0.126946869592029</v>
      </c>
      <c r="E247">
        <v>-0.111006771396084</v>
      </c>
      <c r="F247">
        <v>-0.100926249063166</v>
      </c>
      <c r="G247">
        <v>-0.026431622541685</v>
      </c>
      <c r="H247">
        <v>0.425616648372084</v>
      </c>
      <c r="I247">
        <v>0.29450238059935</v>
      </c>
    </row>
    <row r="248" spans="1:9">
      <c r="A248" s="1" t="s">
        <v>260</v>
      </c>
      <c r="B248">
        <f>HYPERLINK("https://www.suredividend.com/sure-analysis-research-database/","Aerpio Pharmaceuticals Inc")</f>
        <v>0</v>
      </c>
      <c r="C248">
        <v>0.037735849056603</v>
      </c>
      <c r="D248">
        <v>0.301775147928994</v>
      </c>
      <c r="E248">
        <v>0.235955056179775</v>
      </c>
      <c r="F248">
        <v>1.244897959183673</v>
      </c>
      <c r="G248">
        <v>0.486486486486486</v>
      </c>
      <c r="H248">
        <v>2.242924528301887</v>
      </c>
      <c r="I248">
        <v>-0.435897435897435</v>
      </c>
    </row>
    <row r="249" spans="1:9">
      <c r="A249" s="1" t="s">
        <v>261</v>
      </c>
      <c r="B249">
        <f>HYPERLINK("https://www.suredividend.com/sure-analysis-ARR/","ARMOUR Residential REIT Inc")</f>
        <v>0</v>
      </c>
      <c r="C249">
        <v>-0.039563701299484</v>
      </c>
      <c r="D249">
        <v>-0.151711496653736</v>
      </c>
      <c r="E249">
        <v>-0.209886346716958</v>
      </c>
      <c r="F249">
        <v>-0.150933333333333</v>
      </c>
      <c r="G249">
        <v>-0.272348322104705</v>
      </c>
      <c r="H249">
        <v>0.243672270483094</v>
      </c>
      <c r="I249">
        <v>-0.420783397731159</v>
      </c>
    </row>
    <row r="250" spans="1:9">
      <c r="A250" s="1" t="s">
        <v>262</v>
      </c>
      <c r="B250">
        <f>HYPERLINK("https://www.suredividend.com/sure-analysis-ARTNA/","Artesian Resources Corp.")</f>
        <v>0</v>
      </c>
      <c r="C250">
        <v>-0.008980115458627001</v>
      </c>
      <c r="D250">
        <v>0.044041194013713</v>
      </c>
      <c r="E250">
        <v>0.19490791346134</v>
      </c>
      <c r="F250">
        <v>0.006182541267594001</v>
      </c>
      <c r="G250">
        <v>0.14711822123666</v>
      </c>
      <c r="H250">
        <v>0.3692317236367501</v>
      </c>
      <c r="I250">
        <v>0.4774792005355261</v>
      </c>
    </row>
    <row r="251" spans="1:9">
      <c r="A251" s="1" t="s">
        <v>263</v>
      </c>
      <c r="B251">
        <f>HYPERLINK("https://www.suredividend.com/sure-analysis-research-database/","Art`s-way Manufacturing Co. Inc.")</f>
        <v>0</v>
      </c>
      <c r="C251">
        <v>-0.296370967741935</v>
      </c>
      <c r="D251">
        <v>0.01013024602026</v>
      </c>
      <c r="E251">
        <v>0.026470588235294</v>
      </c>
      <c r="F251">
        <v>-0.01412429378531</v>
      </c>
      <c r="G251">
        <v>0.179054054054054</v>
      </c>
      <c r="H251">
        <v>0.7989690721649481</v>
      </c>
      <c r="I251">
        <v>0.07384615384615301</v>
      </c>
    </row>
    <row r="252" spans="1:9">
      <c r="A252" s="1" t="s">
        <v>264</v>
      </c>
      <c r="B252">
        <f>HYPERLINK("https://www.suredividend.com/sure-analysis-research-database/","Arvinas Inc")</f>
        <v>0</v>
      </c>
      <c r="C252">
        <v>0.08157002099822301</v>
      </c>
      <c r="D252">
        <v>-0.006822901216256</v>
      </c>
      <c r="E252">
        <v>-0.21316098707403</v>
      </c>
      <c r="F252">
        <v>-0.184806428049671</v>
      </c>
      <c r="G252">
        <v>0.035090431287679</v>
      </c>
      <c r="H252">
        <v>0.366530612244897</v>
      </c>
      <c r="I252">
        <v>3.171962616822429</v>
      </c>
    </row>
    <row r="253" spans="1:9">
      <c r="A253" s="1" t="s">
        <v>265</v>
      </c>
      <c r="B253">
        <f>HYPERLINK("https://www.suredividend.com/sure-analysis-research-database/","Arrow Electronics Inc.")</f>
        <v>0</v>
      </c>
      <c r="C253">
        <v>-0.134021437078205</v>
      </c>
      <c r="D253">
        <v>-0.191834617664493</v>
      </c>
      <c r="E253">
        <v>-0.07512931399983</v>
      </c>
      <c r="F253">
        <v>-0.187681537201162</v>
      </c>
      <c r="G253">
        <v>-0.07458001018157101</v>
      </c>
      <c r="H253">
        <v>1.00754647524388</v>
      </c>
      <c r="I253">
        <v>0.551935116676152</v>
      </c>
    </row>
    <row r="254" spans="1:9">
      <c r="A254" s="1" t="s">
        <v>266</v>
      </c>
      <c r="B254">
        <f>HYPERLINK("https://www.suredividend.com/sure-analysis-research-database/","Arrowhead Pharmaceuticals Inc.")</f>
        <v>0</v>
      </c>
      <c r="C254">
        <v>0.07204940530649501</v>
      </c>
      <c r="D254">
        <v>-0.189240615810413</v>
      </c>
      <c r="E254">
        <v>-0.291565900846432</v>
      </c>
      <c r="F254">
        <v>-0.293061840120663</v>
      </c>
      <c r="G254">
        <v>-0.307169253510717</v>
      </c>
      <c r="H254">
        <v>0.345679012345679</v>
      </c>
      <c r="I254">
        <v>28.66455696202531</v>
      </c>
    </row>
    <row r="255" spans="1:9">
      <c r="A255" s="1" t="s">
        <v>267</v>
      </c>
      <c r="B255">
        <f>HYPERLINK("https://www.suredividend.com/sure-analysis-research-database/","Associated Banc-Corp.")</f>
        <v>0</v>
      </c>
      <c r="C255">
        <v>-0.09587888982338101</v>
      </c>
      <c r="D255">
        <v>-0.148693541553654</v>
      </c>
      <c r="E255">
        <v>-0.002389624852098</v>
      </c>
      <c r="F255">
        <v>-0.04053836953999301</v>
      </c>
      <c r="G255">
        <v>0.00798889805716</v>
      </c>
      <c r="H255">
        <v>1.026734035934466</v>
      </c>
      <c r="I255">
        <v>0.07434464976364401</v>
      </c>
    </row>
    <row r="256" spans="1:9">
      <c r="A256" s="1" t="s">
        <v>268</v>
      </c>
      <c r="B256">
        <f>HYPERLINK("https://www.suredividend.com/sure-analysis-research-database/","ASGN Inc")</f>
        <v>0</v>
      </c>
      <c r="C256">
        <v>0.021988696573648</v>
      </c>
      <c r="D256">
        <v>-0.022963275643731</v>
      </c>
      <c r="E256">
        <v>-0.025021061499578</v>
      </c>
      <c r="F256">
        <v>-0.062155591572123</v>
      </c>
      <c r="G256">
        <v>0.057861060329067</v>
      </c>
      <c r="H256">
        <v>2.19961293889964</v>
      </c>
      <c r="I256">
        <v>1.512046885174734</v>
      </c>
    </row>
    <row r="257" spans="1:9">
      <c r="A257" s="1" t="s">
        <v>269</v>
      </c>
      <c r="B257">
        <f>HYPERLINK("https://www.suredividend.com/sure-analysis-research-database/","Ashland Global Holdings Inc")</f>
        <v>0</v>
      </c>
      <c r="C257">
        <v>0.148945375878853</v>
      </c>
      <c r="D257">
        <v>0.008129957841147001</v>
      </c>
      <c r="E257">
        <v>0.116248765211542</v>
      </c>
      <c r="F257">
        <v>-0.010223897008121</v>
      </c>
      <c r="G257">
        <v>0.185596928297169</v>
      </c>
      <c r="H257">
        <v>0.9634700664163801</v>
      </c>
      <c r="I257">
        <v>0.9186757488561461</v>
      </c>
    </row>
    <row r="258" spans="1:9">
      <c r="A258" s="1" t="s">
        <v>270</v>
      </c>
      <c r="B258">
        <f>HYPERLINK("https://www.suredividend.com/sure-analysis-research-database/","AdvanSix Inc")</f>
        <v>0</v>
      </c>
      <c r="C258">
        <v>-0.014410905550146</v>
      </c>
      <c r="D258">
        <v>0.110540590357321</v>
      </c>
      <c r="E258">
        <v>0.149905821781638</v>
      </c>
      <c r="F258">
        <v>0.074579330113063</v>
      </c>
      <c r="G258">
        <v>0.7487543451068741</v>
      </c>
      <c r="H258">
        <v>4.157707006369427</v>
      </c>
      <c r="I258">
        <v>1.01688910497308</v>
      </c>
    </row>
    <row r="259" spans="1:9">
      <c r="A259" s="1" t="s">
        <v>271</v>
      </c>
      <c r="B259">
        <f>HYPERLINK("https://www.suredividend.com/sure-analysis-research-database/","Assembly Biosciences Inc")</f>
        <v>0</v>
      </c>
      <c r="C259">
        <v>0.30188679245283</v>
      </c>
      <c r="D259">
        <v>0.06153846153846101</v>
      </c>
      <c r="E259">
        <v>-0.365030674846625</v>
      </c>
      <c r="F259">
        <v>-0.111587982832618</v>
      </c>
      <c r="G259">
        <v>-0.5163551401869161</v>
      </c>
      <c r="H259">
        <v>-0.8767857142857141</v>
      </c>
      <c r="I259">
        <v>-0.9133528673084971</v>
      </c>
    </row>
    <row r="260" spans="1:9">
      <c r="A260" s="1" t="s">
        <v>272</v>
      </c>
      <c r="B260">
        <f>HYPERLINK("https://www.suredividend.com/sure-analysis-research-database/","Aspen Aerogels Inc.")</f>
        <v>0</v>
      </c>
      <c r="C260">
        <v>-0.138009787928221</v>
      </c>
      <c r="D260">
        <v>-0.309100418410041</v>
      </c>
      <c r="E260">
        <v>-0.466262626262626</v>
      </c>
      <c r="F260">
        <v>-0.469371359710785</v>
      </c>
      <c r="G260">
        <v>0.438214480130647</v>
      </c>
      <c r="H260">
        <v>3.288961038961039</v>
      </c>
      <c r="I260">
        <v>5.63819095477387</v>
      </c>
    </row>
    <row r="261" spans="1:9">
      <c r="A261" s="1" t="s">
        <v>273</v>
      </c>
      <c r="B261">
        <f>HYPERLINK("https://www.suredividend.com/sure-analysis-research-database/","Altisource Portfolio Solutions S.A.")</f>
        <v>0</v>
      </c>
      <c r="C261">
        <v>0.07142857142857101</v>
      </c>
      <c r="D261">
        <v>-0.004255319148936</v>
      </c>
      <c r="E261">
        <v>-0.147230320699708</v>
      </c>
      <c r="F261">
        <v>0.04278074866310101</v>
      </c>
      <c r="G261">
        <v>0.537450722733245</v>
      </c>
      <c r="H261">
        <v>0.7808219178082191</v>
      </c>
      <c r="I261">
        <v>-0.7254165688805441</v>
      </c>
    </row>
    <row r="262" spans="1:9">
      <c r="A262" s="1" t="s">
        <v>274</v>
      </c>
      <c r="B262">
        <f>HYPERLINK("https://www.suredividend.com/sure-analysis-research-database/","Aspen Group Inc")</f>
        <v>0</v>
      </c>
      <c r="C262">
        <v>-0.15591304347826</v>
      </c>
      <c r="D262">
        <v>-0.61172</v>
      </c>
      <c r="E262">
        <v>-0.8266607142857141</v>
      </c>
      <c r="F262">
        <v>-0.588686440677966</v>
      </c>
      <c r="G262">
        <v>-0.816849056603773</v>
      </c>
      <c r="H262">
        <v>-0.867931972789115</v>
      </c>
      <c r="I262">
        <v>6.185048112509253</v>
      </c>
    </row>
    <row r="263" spans="1:9">
      <c r="A263" s="1" t="s">
        <v>275</v>
      </c>
      <c r="B263">
        <f>HYPERLINK("https://www.suredividend.com/sure-analysis-research-database/","Assertio Holdings Inc")</f>
        <v>0</v>
      </c>
      <c r="C263">
        <v>0.17063492063492</v>
      </c>
      <c r="D263">
        <v>0.266094420600858</v>
      </c>
      <c r="E263">
        <v>1.892156862745098</v>
      </c>
      <c r="F263">
        <v>0.353211009174311</v>
      </c>
      <c r="G263">
        <v>0.524390243902439</v>
      </c>
      <c r="H263">
        <v>-0.180555555555555</v>
      </c>
      <c r="I263">
        <v>-0.180555555555555</v>
      </c>
    </row>
    <row r="264" spans="1:9">
      <c r="A264" s="1" t="s">
        <v>276</v>
      </c>
      <c r="B264">
        <f>HYPERLINK("https://www.suredividend.com/sure-analysis-research-database/","Ameriserv Financial Inc")</f>
        <v>0</v>
      </c>
      <c r="C264">
        <v>-0.009975062344139</v>
      </c>
      <c r="D264">
        <v>-0.004438648845198</v>
      </c>
      <c r="E264">
        <v>0.051683488304326</v>
      </c>
      <c r="F264">
        <v>0.034231230135987</v>
      </c>
      <c r="G264">
        <v>0.016879690581696</v>
      </c>
      <c r="H264">
        <v>0.673481431522151</v>
      </c>
      <c r="I264">
        <v>0.141099709695036</v>
      </c>
    </row>
    <row r="265" spans="1:9">
      <c r="A265" s="1" t="s">
        <v>277</v>
      </c>
      <c r="B265">
        <f>HYPERLINK("https://www.suredividend.com/sure-analysis-research-database/","Astrotech Corp")</f>
        <v>0</v>
      </c>
      <c r="C265">
        <v>-0.09142857142857101</v>
      </c>
      <c r="D265">
        <v>-0.044040282579287</v>
      </c>
      <c r="E265">
        <v>-0.351020408163265</v>
      </c>
      <c r="F265">
        <v>-0.064705882352941</v>
      </c>
      <c r="G265">
        <v>-0.47</v>
      </c>
      <c r="H265">
        <v>-0.7678832116788321</v>
      </c>
      <c r="I265">
        <v>-0.9036290628077881</v>
      </c>
    </row>
    <row r="266" spans="1:9">
      <c r="A266" s="1" t="s">
        <v>278</v>
      </c>
      <c r="B266">
        <f>HYPERLINK("https://www.suredividend.com/sure-analysis-research-database/","Astec Industries Inc.")</f>
        <v>0</v>
      </c>
      <c r="C266">
        <v>-0.103386004514672</v>
      </c>
      <c r="D266">
        <v>-0.440120207826476</v>
      </c>
      <c r="E266">
        <v>-0.228800757996435</v>
      </c>
      <c r="F266">
        <v>-0.425005320003648</v>
      </c>
      <c r="G266">
        <v>-0.4821307737138341</v>
      </c>
      <c r="H266">
        <v>0.110635763478202</v>
      </c>
      <c r="I266">
        <v>-0.305197201896888</v>
      </c>
    </row>
    <row r="267" spans="1:9">
      <c r="A267" s="1" t="s">
        <v>279</v>
      </c>
      <c r="B267">
        <f>HYPERLINK("https://www.suredividend.com/sure-analysis-research-database/","Asure Software Inc")</f>
        <v>0</v>
      </c>
      <c r="C267">
        <v>-0.183976261127596</v>
      </c>
      <c r="D267">
        <v>-0.258760107816711</v>
      </c>
      <c r="E267">
        <v>-0.388888888888888</v>
      </c>
      <c r="F267">
        <v>-0.29757343550447</v>
      </c>
      <c r="G267">
        <v>-0.304677623261694</v>
      </c>
      <c r="H267">
        <v>-0.104234527687296</v>
      </c>
      <c r="I267">
        <v>-0.445564516129032</v>
      </c>
    </row>
    <row r="268" spans="1:9">
      <c r="A268" s="1" t="s">
        <v>280</v>
      </c>
      <c r="B268">
        <f>HYPERLINK("https://www.suredividend.com/sure-analysis-research-database/","Amtech Systems Inc.")</f>
        <v>0</v>
      </c>
      <c r="C268">
        <v>-0.08607350096711801</v>
      </c>
      <c r="D268">
        <v>0.002120890774125</v>
      </c>
      <c r="E268">
        <v>-0.191616766467065</v>
      </c>
      <c r="F268">
        <v>-0.04352226720647701</v>
      </c>
      <c r="G268">
        <v>-0.14090909090909</v>
      </c>
      <c r="H268">
        <v>1.01063829787234</v>
      </c>
      <c r="I268">
        <v>0.79657794676806</v>
      </c>
    </row>
    <row r="269" spans="1:9">
      <c r="A269" s="1" t="s">
        <v>281</v>
      </c>
      <c r="B269">
        <f>HYPERLINK("https://www.suredividend.com/sure-analysis-research-database/","Alphatec Holdings Inc")</f>
        <v>0</v>
      </c>
      <c r="C269">
        <v>0.14461247637051</v>
      </c>
      <c r="D269">
        <v>-0.008190008190008001</v>
      </c>
      <c r="E269">
        <v>-0.006562756357670001</v>
      </c>
      <c r="F269">
        <v>0.059492563429571</v>
      </c>
      <c r="G269">
        <v>-0.277877161598091</v>
      </c>
      <c r="H269">
        <v>2.38268156424581</v>
      </c>
      <c r="I269">
        <v>4.685446009389671</v>
      </c>
    </row>
    <row r="270" spans="1:9">
      <c r="A270" s="1" t="s">
        <v>282</v>
      </c>
      <c r="B270">
        <f>HYPERLINK("https://www.suredividend.com/sure-analysis-research-database/","A10 Networks Inc")</f>
        <v>0</v>
      </c>
      <c r="C270">
        <v>-0.020377358490565</v>
      </c>
      <c r="D270">
        <v>-0.098254170053423</v>
      </c>
      <c r="E270">
        <v>-0.050850432162861</v>
      </c>
      <c r="F270">
        <v>-0.214095422620489</v>
      </c>
      <c r="G270">
        <v>0.369993139479655</v>
      </c>
      <c r="H270">
        <v>0.9391368002748851</v>
      </c>
      <c r="I270">
        <v>0.498827958106719</v>
      </c>
    </row>
    <row r="271" spans="1:9">
      <c r="A271" s="1" t="s">
        <v>283</v>
      </c>
      <c r="B271">
        <f>HYPERLINK("https://www.suredividend.com/sure-analysis-research-database/","Anterix Inc")</f>
        <v>0</v>
      </c>
      <c r="C271">
        <v>-0.004918320744774001</v>
      </c>
      <c r="D271">
        <v>0.09047160731472501</v>
      </c>
      <c r="E271">
        <v>-0.05441495576698301</v>
      </c>
      <c r="F271">
        <v>-0.03590878148400201</v>
      </c>
      <c r="G271">
        <v>0.208146726380891</v>
      </c>
      <c r="H271">
        <v>0.211764705882352</v>
      </c>
      <c r="I271">
        <v>1.58675799086758</v>
      </c>
    </row>
    <row r="272" spans="1:9">
      <c r="A272" s="1" t="s">
        <v>284</v>
      </c>
      <c r="B272">
        <f>HYPERLINK("https://www.suredividend.com/sure-analysis-research-database/","Adtalem Global Education Inc")</f>
        <v>0</v>
      </c>
      <c r="C272">
        <v>0.07422157856625601</v>
      </c>
      <c r="D272">
        <v>-0.0010101010101</v>
      </c>
      <c r="E272">
        <v>-0.185113979675913</v>
      </c>
      <c r="F272">
        <v>0.003721244925575</v>
      </c>
      <c r="G272">
        <v>-0.258620689655172</v>
      </c>
      <c r="H272">
        <v>0.154025670945157</v>
      </c>
      <c r="I272">
        <v>-0.133722627737226</v>
      </c>
    </row>
    <row r="273" spans="1:9">
      <c r="A273" s="1" t="s">
        <v>285</v>
      </c>
      <c r="B273">
        <f>HYPERLINK("https://www.suredividend.com/sure-analysis-research-database/","Athene Holding Ltd")</f>
        <v>0</v>
      </c>
      <c r="C273">
        <v>0.01055056997332</v>
      </c>
      <c r="D273">
        <v>0.196582423894313</v>
      </c>
      <c r="E273">
        <v>0.18856083297675</v>
      </c>
      <c r="F273">
        <v>0</v>
      </c>
      <c r="G273">
        <v>0.9316179879462211</v>
      </c>
      <c r="H273">
        <v>0.7524710830704521</v>
      </c>
      <c r="I273">
        <v>0.73640341737862</v>
      </c>
    </row>
    <row r="274" spans="1:9">
      <c r="A274" s="1" t="s">
        <v>286</v>
      </c>
      <c r="B274">
        <f>HYPERLINK("https://www.suredividend.com/sure-analysis-research-database/","Athersys Inc")</f>
        <v>0</v>
      </c>
      <c r="C274">
        <v>-0.228905109489051</v>
      </c>
      <c r="D274">
        <v>-0.3973759269823161</v>
      </c>
      <c r="E274">
        <v>-0.5905426356589141</v>
      </c>
      <c r="F274">
        <v>-0.41480168402393</v>
      </c>
      <c r="G274">
        <v>-0.6874556213017751</v>
      </c>
      <c r="H274">
        <v>-0.7683333333333331</v>
      </c>
      <c r="I274">
        <v>-0.6501986754966881</v>
      </c>
    </row>
    <row r="275" spans="1:9">
      <c r="A275" s="1" t="s">
        <v>287</v>
      </c>
      <c r="B275">
        <f>HYPERLINK("https://www.suredividend.com/sure-analysis-research-database/","Allegheny Technologies Inc")</f>
        <v>0</v>
      </c>
      <c r="C275">
        <v>0.151480637813211</v>
      </c>
      <c r="D275">
        <v>0.486036256736893</v>
      </c>
      <c r="E275">
        <v>0.7643979057591621</v>
      </c>
      <c r="F275">
        <v>0.9039548022598861</v>
      </c>
      <c r="G275">
        <v>0.375510204081632</v>
      </c>
      <c r="H275">
        <v>2.996047430830039</v>
      </c>
      <c r="I275">
        <v>0.7695449241540251</v>
      </c>
    </row>
    <row r="276" spans="1:9">
      <c r="A276" s="1" t="s">
        <v>288</v>
      </c>
      <c r="B276">
        <f>HYPERLINK("https://www.suredividend.com/sure-analysis-research-database/","Atkore Inc")</f>
        <v>0</v>
      </c>
      <c r="C276">
        <v>-0.132002271006813</v>
      </c>
      <c r="D276">
        <v>-0.110884947174566</v>
      </c>
      <c r="E276">
        <v>0.043928530784112</v>
      </c>
      <c r="F276">
        <v>-0.175015738825433</v>
      </c>
      <c r="G276">
        <v>0.258299039780521</v>
      </c>
      <c r="H276">
        <v>3.43568665377176</v>
      </c>
      <c r="I276">
        <v>2.657496012759171</v>
      </c>
    </row>
    <row r="277" spans="1:9">
      <c r="A277" s="1" t="s">
        <v>289</v>
      </c>
      <c r="B277">
        <f>HYPERLINK("https://www.suredividend.com/sure-analysis-research-database/","Atlanticus Holdings Corp")</f>
        <v>0</v>
      </c>
      <c r="C277">
        <v>-0.173448340521282</v>
      </c>
      <c r="D277">
        <v>-0.387011542205534</v>
      </c>
      <c r="E277">
        <v>-0.292455858747993</v>
      </c>
      <c r="F277">
        <v>-0.381940549635445</v>
      </c>
      <c r="G277">
        <v>0.36091386230318</v>
      </c>
      <c r="H277">
        <v>3</v>
      </c>
      <c r="I277">
        <v>15.86175503021957</v>
      </c>
    </row>
    <row r="278" spans="1:9">
      <c r="A278" s="1" t="s">
        <v>290</v>
      </c>
      <c r="B278">
        <f>HYPERLINK("https://www.suredividend.com/sure-analysis-research-database/","Ames National Corp.")</f>
        <v>0</v>
      </c>
      <c r="C278">
        <v>-0.002053388090349</v>
      </c>
      <c r="D278">
        <v>-0.023433575398563</v>
      </c>
      <c r="E278">
        <v>0.055603822762815</v>
      </c>
      <c r="F278">
        <v>0.002715171121802</v>
      </c>
      <c r="G278">
        <v>0.001946167040506</v>
      </c>
      <c r="H278">
        <v>0.4616101771375291</v>
      </c>
      <c r="I278">
        <v>-0.036375821360732</v>
      </c>
    </row>
    <row r="279" spans="1:9">
      <c r="A279" s="1" t="s">
        <v>291</v>
      </c>
      <c r="B279">
        <f>HYPERLINK("https://www.suredividend.com/sure-analysis-research-database/","ATN International Inc")</f>
        <v>0</v>
      </c>
      <c r="C279">
        <v>0.107203193344306</v>
      </c>
      <c r="D279">
        <v>0.005635301419662</v>
      </c>
      <c r="E279">
        <v>-0.115502428414836</v>
      </c>
      <c r="F279">
        <v>0.026276498946828</v>
      </c>
      <c r="G279">
        <v>-0.170807888596222</v>
      </c>
      <c r="H279">
        <v>-0.302057247373954</v>
      </c>
      <c r="I279">
        <v>-0.375829323027816</v>
      </c>
    </row>
    <row r="280" spans="1:9">
      <c r="A280" s="1" t="s">
        <v>292</v>
      </c>
      <c r="B280">
        <f>HYPERLINK("https://www.suredividend.com/sure-analysis-research-database/","Actinium Pharmaceuticals Inc")</f>
        <v>0</v>
      </c>
      <c r="C280">
        <v>0.413721413721413</v>
      </c>
      <c r="D280">
        <v>0.170395869191049</v>
      </c>
      <c r="E280">
        <v>-0.154228855721393</v>
      </c>
      <c r="F280">
        <v>0.131447587354409</v>
      </c>
      <c r="G280">
        <v>-0.08847184986595101</v>
      </c>
      <c r="H280">
        <v>0.119341563786008</v>
      </c>
      <c r="I280">
        <v>-0.8458049886621311</v>
      </c>
    </row>
    <row r="281" spans="1:9">
      <c r="A281" s="1" t="s">
        <v>293</v>
      </c>
      <c r="B281">
        <f>HYPERLINK("https://www.suredividend.com/sure-analysis-research-database/","Athenex Inc")</f>
        <v>0</v>
      </c>
      <c r="C281">
        <v>-0.196041666666666</v>
      </c>
      <c r="D281">
        <v>-0.316991150442477</v>
      </c>
      <c r="E281">
        <v>-0.721371841155234</v>
      </c>
      <c r="F281">
        <v>-0.4325</v>
      </c>
      <c r="G281">
        <v>-0.805591939546599</v>
      </c>
      <c r="H281">
        <v>-0.9038854296388541</v>
      </c>
      <c r="I281">
        <v>-0.9385509554140121</v>
      </c>
    </row>
    <row r="282" spans="1:9">
      <c r="A282" s="1" t="s">
        <v>294</v>
      </c>
      <c r="B282">
        <f>HYPERLINK("https://www.suredividend.com/sure-analysis-ATO/","Atmos Energy Corp.")</f>
        <v>0</v>
      </c>
      <c r="C282">
        <v>0.04713598600787</v>
      </c>
      <c r="D282">
        <v>0.136373342393444</v>
      </c>
      <c r="E282">
        <v>0.295832751647928</v>
      </c>
      <c r="F282">
        <v>0.150256728002804</v>
      </c>
      <c r="G282">
        <v>0.198750992368399</v>
      </c>
      <c r="H282">
        <v>0.182854438964058</v>
      </c>
      <c r="I282">
        <v>0.6353388336294711</v>
      </c>
    </row>
    <row r="283" spans="1:9">
      <c r="A283" s="1" t="s">
        <v>295</v>
      </c>
      <c r="B283">
        <f>HYPERLINK("https://www.suredividend.com/sure-analysis-research-database/","Atossa Therapeutics Inc")</f>
        <v>0</v>
      </c>
      <c r="C283">
        <v>-0.125984251968503</v>
      </c>
      <c r="D283">
        <v>-0.23972602739726</v>
      </c>
      <c r="E283">
        <v>-0.6118881118881111</v>
      </c>
      <c r="F283">
        <v>-0.30625</v>
      </c>
      <c r="G283">
        <v>-0.319018404907975</v>
      </c>
      <c r="H283">
        <v>-0.473933649289099</v>
      </c>
      <c r="I283">
        <v>-0.8536855425498261</v>
      </c>
    </row>
    <row r="284" spans="1:9">
      <c r="A284" s="1" t="s">
        <v>296</v>
      </c>
      <c r="B284">
        <f>HYPERLINK("https://www.suredividend.com/sure-analysis-ATR/","Aptargroup Inc.")</f>
        <v>0</v>
      </c>
      <c r="C284">
        <v>0.00350457304043</v>
      </c>
      <c r="D284">
        <v>-0.028049143954697</v>
      </c>
      <c r="E284">
        <v>-0.07867517571092601</v>
      </c>
      <c r="F284">
        <v>-0.038365450616707</v>
      </c>
      <c r="G284">
        <v>-0.197880327024327</v>
      </c>
      <c r="H284">
        <v>0.1801212891267</v>
      </c>
      <c r="I284">
        <v>0.6518297461613251</v>
      </c>
    </row>
    <row r="285" spans="1:9">
      <c r="A285" s="1" t="s">
        <v>297</v>
      </c>
      <c r="B285">
        <f>HYPERLINK("https://www.suredividend.com/sure-analysis-research-database/","Atara Biotherapeutics Inc")</f>
        <v>0</v>
      </c>
      <c r="C285">
        <v>-0.133116883116883</v>
      </c>
      <c r="D285">
        <v>-0.5015556938394521</v>
      </c>
      <c r="E285">
        <v>-0.470238095238095</v>
      </c>
      <c r="F285">
        <v>-0.491751269035533</v>
      </c>
      <c r="G285">
        <v>-0.39683734939759</v>
      </c>
      <c r="H285">
        <v>-0.025547445255474</v>
      </c>
      <c r="I285">
        <v>-0.5369942196531791</v>
      </c>
    </row>
    <row r="286" spans="1:9">
      <c r="A286" s="1" t="s">
        <v>298</v>
      </c>
      <c r="B286">
        <f>HYPERLINK("https://www.suredividend.com/sure-analysis-research-database/","Atricure Inc")</f>
        <v>0</v>
      </c>
      <c r="C286">
        <v>-0.0911263342361</v>
      </c>
      <c r="D286">
        <v>-0.128209046454767</v>
      </c>
      <c r="E286">
        <v>-0.200644528513381</v>
      </c>
      <c r="F286">
        <v>-0.179490867251546</v>
      </c>
      <c r="G286">
        <v>-0.161029411764705</v>
      </c>
      <c r="H286">
        <v>0.54105888708806</v>
      </c>
      <c r="I286">
        <v>1.971354166666666</v>
      </c>
    </row>
    <row r="287" spans="1:9">
      <c r="A287" s="1" t="s">
        <v>299</v>
      </c>
      <c r="B287">
        <f>HYPERLINK("https://www.suredividend.com/sure-analysis-research-database/","Atrion Corp.")</f>
        <v>0</v>
      </c>
      <c r="C287">
        <v>-0.029812020121789</v>
      </c>
      <c r="D287">
        <v>0.06119492738167501</v>
      </c>
      <c r="E287">
        <v>0.09198817300878401</v>
      </c>
      <c r="F287">
        <v>0.042512305579804</v>
      </c>
      <c r="G287">
        <v>0.106117423402032</v>
      </c>
      <c r="H287">
        <v>0.180180035105235</v>
      </c>
      <c r="I287">
        <v>0.6005975377774471</v>
      </c>
    </row>
    <row r="288" spans="1:9">
      <c r="A288" s="1" t="s">
        <v>300</v>
      </c>
      <c r="B288">
        <f>HYPERLINK("https://www.suredividend.com/sure-analysis-research-database/","Astronics Corp.")</f>
        <v>0</v>
      </c>
      <c r="C288">
        <v>-0.07923076923076901</v>
      </c>
      <c r="D288">
        <v>-0.08695652173913</v>
      </c>
      <c r="E288">
        <v>-0.152866242038216</v>
      </c>
      <c r="F288">
        <v>-0.002499999999999</v>
      </c>
      <c r="G288">
        <v>-0.310483870967741</v>
      </c>
      <c r="H288">
        <v>0.5917553191489361</v>
      </c>
      <c r="I288">
        <v>-0.6075409836065571</v>
      </c>
    </row>
    <row r="289" spans="1:9">
      <c r="A289" s="1" t="s">
        <v>301</v>
      </c>
      <c r="B289">
        <f>HYPERLINK("https://www.suredividend.com/sure-analysis-research-database/","Antares Pharma Inc")</f>
        <v>0</v>
      </c>
      <c r="C289">
        <v>0.447916666666666</v>
      </c>
      <c r="D289">
        <v>0.5574229691876751</v>
      </c>
      <c r="E289">
        <v>0.61159420289855</v>
      </c>
      <c r="F289">
        <v>0.5574229691876751</v>
      </c>
      <c r="G289">
        <v>0.386533665835411</v>
      </c>
      <c r="H289">
        <v>1.138461538461538</v>
      </c>
      <c r="I289">
        <v>0.9440559440559441</v>
      </c>
    </row>
    <row r="290" spans="1:9">
      <c r="A290" s="1" t="s">
        <v>302</v>
      </c>
      <c r="B290">
        <f>HYPERLINK("https://www.suredividend.com/sure-analysis-research-database/","Air Transport Services Group Inc")</f>
        <v>0</v>
      </c>
      <c r="C290">
        <v>0.009646302250803001</v>
      </c>
      <c r="D290">
        <v>0.121428571428571</v>
      </c>
      <c r="E290">
        <v>0.301824212271973</v>
      </c>
      <c r="F290">
        <v>0.06875425459496201</v>
      </c>
      <c r="G290">
        <v>0.049816115011701</v>
      </c>
      <c r="H290">
        <v>0.7454141189549751</v>
      </c>
      <c r="I290">
        <v>0.9299323909035031</v>
      </c>
    </row>
    <row r="291" spans="1:9">
      <c r="A291" s="1" t="s">
        <v>303</v>
      </c>
      <c r="B291">
        <f>HYPERLINK("https://www.suredividend.com/sure-analysis-research-database/","Altice USA Inc")</f>
        <v>0</v>
      </c>
      <c r="C291">
        <v>0.04162976085031</v>
      </c>
      <c r="D291">
        <v>-0.250478011472275</v>
      </c>
      <c r="E291">
        <v>-0.323360184119677</v>
      </c>
      <c r="F291">
        <v>-0.273176761433868</v>
      </c>
      <c r="G291">
        <v>-0.65813953488372</v>
      </c>
      <c r="H291">
        <v>-0.5473441108545031</v>
      </c>
      <c r="I291">
        <v>-0.5999768694108161</v>
      </c>
    </row>
    <row r="292" spans="1:9">
      <c r="A292" s="1" t="s">
        <v>304</v>
      </c>
      <c r="B292">
        <f>HYPERLINK("https://www.suredividend.com/sure-analysis-research-database/","Activision Blizzard Inc")</f>
        <v>0</v>
      </c>
      <c r="C292">
        <v>0.003528177743873</v>
      </c>
      <c r="D292">
        <v>0.214240442067823</v>
      </c>
      <c r="E292">
        <v>0.039255496480514</v>
      </c>
      <c r="F292">
        <v>0.193433620263423</v>
      </c>
      <c r="G292">
        <v>-0.177040117860617</v>
      </c>
      <c r="H292">
        <v>0.172426803165091</v>
      </c>
      <c r="I292">
        <v>0.680520188385185</v>
      </c>
    </row>
    <row r="293" spans="1:9">
      <c r="A293" s="1" t="s">
        <v>305</v>
      </c>
      <c r="B293">
        <f>HYPERLINK("https://www.suredividend.com/sure-analysis-research-database/","Atlantic Union Bankshares Corp")</f>
        <v>0</v>
      </c>
      <c r="C293">
        <v>-0.104645354645354</v>
      </c>
      <c r="D293">
        <v>-0.142902226302501</v>
      </c>
      <c r="E293">
        <v>-0.026835981823413</v>
      </c>
      <c r="F293">
        <v>-0.03188696976570801</v>
      </c>
      <c r="G293">
        <v>-0.05292273064699701</v>
      </c>
      <c r="H293">
        <v>0.9370316138688221</v>
      </c>
      <c r="I293">
        <v>0.128934739069644</v>
      </c>
    </row>
    <row r="294" spans="1:9">
      <c r="A294" s="1" t="s">
        <v>306</v>
      </c>
      <c r="B294">
        <f>HYPERLINK("https://www.suredividend.com/sure-analysis-research-database/","Auburn National Bancorp Inc.")</f>
        <v>0</v>
      </c>
      <c r="C294">
        <v>-0.014084507042253</v>
      </c>
      <c r="D294">
        <v>-0.043872021379259</v>
      </c>
      <c r="E294">
        <v>-0.04062448791097401</v>
      </c>
      <c r="F294">
        <v>0.004971801489979001</v>
      </c>
      <c r="G294">
        <v>-0.104194428757028</v>
      </c>
      <c r="H294">
        <v>-0.168985077862484</v>
      </c>
      <c r="I294">
        <v>0.118801423171003</v>
      </c>
    </row>
    <row r="295" spans="1:9">
      <c r="A295" s="1" t="s">
        <v>307</v>
      </c>
      <c r="B295">
        <f>HYPERLINK("https://www.suredividend.com/sure-analysis-research-database/","Golden Minerals Co")</f>
        <v>0</v>
      </c>
      <c r="C295">
        <v>-0.003496503496503</v>
      </c>
      <c r="D295">
        <v>0.425</v>
      </c>
      <c r="E295">
        <v>0.06804733727810601</v>
      </c>
      <c r="F295">
        <v>0.5502433438305181</v>
      </c>
      <c r="G295">
        <v>-0.247603167986661</v>
      </c>
      <c r="H295">
        <v>0.879555709822977</v>
      </c>
      <c r="I295">
        <v>-0.095842377692436</v>
      </c>
    </row>
    <row r="296" spans="1:9">
      <c r="A296" s="1" t="s">
        <v>308</v>
      </c>
      <c r="B296">
        <f>HYPERLINK("https://www.suredividend.com/sure-analysis-research-database/","AutoWeb Inc")</f>
        <v>0</v>
      </c>
      <c r="C296">
        <v>0.264840182648401</v>
      </c>
      <c r="D296">
        <v>-0.142414860681114</v>
      </c>
      <c r="E296">
        <v>-0.082781456953642</v>
      </c>
      <c r="F296">
        <v>-0.185294117647058</v>
      </c>
      <c r="G296">
        <v>0.077821011673151</v>
      </c>
      <c r="H296">
        <v>2.957142857142857</v>
      </c>
      <c r="I296">
        <v>-0.76565143824027</v>
      </c>
    </row>
    <row r="297" spans="1:9">
      <c r="A297" s="1" t="s">
        <v>309</v>
      </c>
      <c r="B297">
        <f>HYPERLINK("https://www.suredividend.com/sure-analysis-research-database/","Avista Corp.")</f>
        <v>0</v>
      </c>
      <c r="C297">
        <v>-0.009337483325922</v>
      </c>
      <c r="D297">
        <v>0.031452830013981</v>
      </c>
      <c r="E297">
        <v>0.114217272368111</v>
      </c>
      <c r="F297">
        <v>0.059612727718051</v>
      </c>
      <c r="G297">
        <v>-0.018037176195775</v>
      </c>
      <c r="H297">
        <v>0.09738017721606201</v>
      </c>
      <c r="I297">
        <v>0.330963724069953</v>
      </c>
    </row>
    <row r="298" spans="1:9">
      <c r="A298" s="1" t="s">
        <v>310</v>
      </c>
      <c r="B298">
        <f>HYPERLINK("https://www.suredividend.com/sure-analysis-research-database/","AeroVironment Inc.")</f>
        <v>0</v>
      </c>
      <c r="C298">
        <v>0.340125199459923</v>
      </c>
      <c r="D298">
        <v>0.791010498687664</v>
      </c>
      <c r="E298">
        <v>0.211899211899212</v>
      </c>
      <c r="F298">
        <v>0.760116072867967</v>
      </c>
      <c r="G298">
        <v>0.007195571955719001</v>
      </c>
      <c r="H298">
        <v>1.039603960396039</v>
      </c>
      <c r="I298">
        <v>2.983217803721269</v>
      </c>
    </row>
    <row r="299" spans="1:9">
      <c r="A299" s="1" t="s">
        <v>311</v>
      </c>
      <c r="B299">
        <f>HYPERLINK("https://www.suredividend.com/sure-analysis-AVB/","Avalonbay Communities Inc.")</f>
        <v>0</v>
      </c>
      <c r="C299">
        <v>0.021100648865344</v>
      </c>
      <c r="D299">
        <v>-0.002180870648879</v>
      </c>
      <c r="E299">
        <v>0.08272928036107001</v>
      </c>
      <c r="F299">
        <v>-0.017626632790898</v>
      </c>
      <c r="G299">
        <v>0.335078718268127</v>
      </c>
      <c r="H299">
        <v>0.635353503201608</v>
      </c>
      <c r="I299">
        <v>0.5590722821338571</v>
      </c>
    </row>
    <row r="300" spans="1:9">
      <c r="A300" s="1" t="s">
        <v>312</v>
      </c>
      <c r="B300">
        <f>HYPERLINK("https://www.suredividend.com/sure-analysis-research-database/","American Vanguard Corp.")</f>
        <v>0</v>
      </c>
      <c r="C300">
        <v>0.287568483088781</v>
      </c>
      <c r="D300">
        <v>0.383918067096806</v>
      </c>
      <c r="E300">
        <v>0.4163857131993201</v>
      </c>
      <c r="F300">
        <v>0.365344085036195</v>
      </c>
      <c r="G300">
        <v>0.106539724033448</v>
      </c>
      <c r="H300">
        <v>0.637482599457835</v>
      </c>
      <c r="I300">
        <v>0.349743639295355</v>
      </c>
    </row>
    <row r="301" spans="1:9">
      <c r="A301" s="1" t="s">
        <v>313</v>
      </c>
      <c r="B301">
        <f>HYPERLINK("https://www.suredividend.com/sure-analysis-research-database/","AVEO Pharmaceuticals Inc")</f>
        <v>0</v>
      </c>
      <c r="C301">
        <v>0.100760456273764</v>
      </c>
      <c r="D301">
        <v>0.465822784810126</v>
      </c>
      <c r="E301">
        <v>-0.102325581395348</v>
      </c>
      <c r="F301">
        <v>0.234541577825159</v>
      </c>
      <c r="G301">
        <v>-0.067632850241545</v>
      </c>
      <c r="H301">
        <v>0.451127819548872</v>
      </c>
      <c r="I301">
        <v>0.015611296263813</v>
      </c>
    </row>
    <row r="302" spans="1:9">
      <c r="A302" s="1" t="s">
        <v>314</v>
      </c>
      <c r="B302">
        <f>HYPERLINK("https://www.suredividend.com/sure-analysis-AVGO/","Broadcom Inc")</f>
        <v>0</v>
      </c>
      <c r="C302">
        <v>-0.048408063052314</v>
      </c>
      <c r="D302">
        <v>-0.031254922013362</v>
      </c>
      <c r="E302">
        <v>0.155342591241059</v>
      </c>
      <c r="F302">
        <v>-0.131767665657095</v>
      </c>
      <c r="G302">
        <v>0.232840984674401</v>
      </c>
      <c r="H302">
        <v>1.368120236213648</v>
      </c>
      <c r="I302">
        <v>2.20309587016368</v>
      </c>
    </row>
    <row r="303" spans="1:9">
      <c r="A303" s="1" t="s">
        <v>315</v>
      </c>
      <c r="B303">
        <f>HYPERLINK("https://www.suredividend.com/sure-analysis-research-database/","Avinger Inc")</f>
        <v>0</v>
      </c>
      <c r="C303">
        <v>-0.08284023668639001</v>
      </c>
      <c r="D303">
        <v>-0.5030458480282141</v>
      </c>
      <c r="E303">
        <v>-0.8011545862732521</v>
      </c>
      <c r="F303">
        <v>-0.655555555555555</v>
      </c>
      <c r="G303">
        <v>-0.864035087719298</v>
      </c>
      <c r="H303">
        <v>-0.6618673647469451</v>
      </c>
      <c r="I303">
        <v>-0.9993687897051631</v>
      </c>
    </row>
    <row r="304" spans="1:9">
      <c r="A304" s="1" t="s">
        <v>316</v>
      </c>
      <c r="B304">
        <f>HYPERLINK("https://www.suredividend.com/sure-analysis-research-database/","Avid Technology, Inc.")</f>
        <v>0</v>
      </c>
      <c r="C304">
        <v>0.161858974358974</v>
      </c>
      <c r="D304">
        <v>0.107885085574572</v>
      </c>
      <c r="E304">
        <v>0.218077956989247</v>
      </c>
      <c r="F304">
        <v>0.112987411728584</v>
      </c>
      <c r="G304">
        <v>0.6226499552372421</v>
      </c>
      <c r="H304">
        <v>5.031613976705491</v>
      </c>
      <c r="I304">
        <v>6.863340563991323</v>
      </c>
    </row>
    <row r="305" spans="1:9">
      <c r="A305" s="1" t="s">
        <v>317</v>
      </c>
      <c r="B305">
        <f>HYPERLINK("https://www.suredividend.com/sure-analysis-research-database/","Avalara Inc")</f>
        <v>0</v>
      </c>
      <c r="C305">
        <v>0.08092144122858801</v>
      </c>
      <c r="D305">
        <v>-0.163849035913369</v>
      </c>
      <c r="E305">
        <v>-0.4706392826149841</v>
      </c>
      <c r="F305">
        <v>-0.291301990550693</v>
      </c>
      <c r="G305">
        <v>-0.383132205218094</v>
      </c>
      <c r="H305">
        <v>0.172475653511019</v>
      </c>
      <c r="I305">
        <v>1.036048064085447</v>
      </c>
    </row>
    <row r="306" spans="1:9">
      <c r="A306" s="1" t="s">
        <v>318</v>
      </c>
      <c r="B306">
        <f>HYPERLINK("https://www.suredividend.com/sure-analysis-research-database/","Avanos Medical Inc")</f>
        <v>0</v>
      </c>
      <c r="C306">
        <v>-0.008077042559801</v>
      </c>
      <c r="D306">
        <v>-0.022650749923477</v>
      </c>
      <c r="E306">
        <v>-0.027710109622411</v>
      </c>
      <c r="F306">
        <v>-0.07903086241707501</v>
      </c>
      <c r="G306">
        <v>-0.29012894619831</v>
      </c>
      <c r="H306">
        <v>0.08310719131614601</v>
      </c>
      <c r="I306">
        <v>-0.138888888888888</v>
      </c>
    </row>
    <row r="307" spans="1:9">
      <c r="A307" s="1" t="s">
        <v>319</v>
      </c>
      <c r="B307">
        <f>HYPERLINK("https://www.suredividend.com/sure-analysis-research-database/","Aviat Networks Inc")</f>
        <v>0</v>
      </c>
      <c r="C307">
        <v>0.212962962962963</v>
      </c>
      <c r="D307">
        <v>0.082644628099173</v>
      </c>
      <c r="E307">
        <v>0.11855500821018</v>
      </c>
      <c r="F307">
        <v>0.06172069825436401</v>
      </c>
      <c r="G307">
        <v>0.104051863857374</v>
      </c>
      <c r="H307">
        <v>6.185654008438819</v>
      </c>
      <c r="I307">
        <v>3.763636363636364</v>
      </c>
    </row>
    <row r="308" spans="1:9">
      <c r="A308" s="1" t="s">
        <v>320</v>
      </c>
      <c r="B308">
        <f>HYPERLINK("https://www.suredividend.com/sure-analysis-research-database/","AvroBio Inc")</f>
        <v>0</v>
      </c>
      <c r="C308">
        <v>-0.208333333333333</v>
      </c>
      <c r="D308">
        <v>-0.4466019417475721</v>
      </c>
      <c r="E308">
        <v>-0.803448275862069</v>
      </c>
      <c r="F308">
        <v>-0.703896103896103</v>
      </c>
      <c r="G308">
        <v>-0.889855072463768</v>
      </c>
      <c r="H308">
        <v>-0.9088729016786571</v>
      </c>
      <c r="I308">
        <v>-0.963461538461538</v>
      </c>
    </row>
    <row r="309" spans="1:9">
      <c r="A309" s="1" t="s">
        <v>321</v>
      </c>
      <c r="B309">
        <f>HYPERLINK("https://www.suredividend.com/sure-analysis-research-database/","Avnet Inc.")</f>
        <v>0</v>
      </c>
      <c r="C309">
        <v>-0.139114305587757</v>
      </c>
      <c r="D309">
        <v>-0.114250476510819</v>
      </c>
      <c r="E309">
        <v>0.003296584522265</v>
      </c>
      <c r="F309">
        <v>-0.093842128897479</v>
      </c>
      <c r="G309">
        <v>-0.140678338752791</v>
      </c>
      <c r="H309">
        <v>0.414697152698135</v>
      </c>
      <c r="I309">
        <v>-0.057066162820522</v>
      </c>
    </row>
    <row r="310" spans="1:9">
      <c r="A310" s="1" t="s">
        <v>322</v>
      </c>
      <c r="B310">
        <f>HYPERLINK("https://www.suredividend.com/sure-analysis-research-database/","Avantor Inc.")</f>
        <v>0</v>
      </c>
      <c r="C310">
        <v>-0.098567335243553</v>
      </c>
      <c r="D310">
        <v>-0.165738530893662</v>
      </c>
      <c r="E310">
        <v>-0.179661016949152</v>
      </c>
      <c r="F310">
        <v>-0.25344091124822</v>
      </c>
      <c r="G310">
        <v>-0.022981366459627</v>
      </c>
      <c r="H310">
        <v>1.311535635562087</v>
      </c>
      <c r="I310">
        <v>1.169655172413793</v>
      </c>
    </row>
    <row r="311" spans="1:9">
      <c r="A311" s="1" t="s">
        <v>323</v>
      </c>
      <c r="B311">
        <f>HYPERLINK("https://www.suredividend.com/sure-analysis-research-database/","Anavex Life Sciences Corporation")</f>
        <v>0</v>
      </c>
      <c r="C311">
        <v>-0.051282051282051</v>
      </c>
      <c r="D311">
        <v>-0.228630993745656</v>
      </c>
      <c r="E311">
        <v>-0.366438356164383</v>
      </c>
      <c r="F311">
        <v>-0.359861591695501</v>
      </c>
      <c r="G311">
        <v>-0.059322033898305</v>
      </c>
      <c r="H311">
        <v>2.535031847133758</v>
      </c>
      <c r="I311">
        <v>0.810766721044045</v>
      </c>
    </row>
    <row r="312" spans="1:9">
      <c r="A312" s="1" t="s">
        <v>324</v>
      </c>
      <c r="B312">
        <f>HYPERLINK("https://www.suredividend.com/sure-analysis-research-database/","Avery Dennison Corp.")</f>
        <v>0</v>
      </c>
      <c r="C312">
        <v>-0.021222810111698</v>
      </c>
      <c r="D312">
        <v>-0.200616882353025</v>
      </c>
      <c r="E312">
        <v>-0.200648353932878</v>
      </c>
      <c r="F312">
        <v>-0.228263298076985</v>
      </c>
      <c r="G312">
        <v>-0.153229415881385</v>
      </c>
      <c r="H312">
        <v>0.6353974303563711</v>
      </c>
      <c r="I312">
        <v>1.259841760855018</v>
      </c>
    </row>
    <row r="313" spans="1:9">
      <c r="A313" s="1" t="s">
        <v>325</v>
      </c>
      <c r="B313">
        <f>HYPERLINK("https://www.suredividend.com/sure-analysis-research-database/","Avaya Holdings Corp.")</f>
        <v>0</v>
      </c>
      <c r="C313">
        <v>-0.089147286821705</v>
      </c>
      <c r="D313">
        <v>-0.4186046511627901</v>
      </c>
      <c r="E313">
        <v>-0.410436527847466</v>
      </c>
      <c r="F313">
        <v>-0.406565656565656</v>
      </c>
      <c r="G313">
        <v>-0.594827586206896</v>
      </c>
      <c r="H313">
        <v>0.424242424242424</v>
      </c>
      <c r="I313">
        <v>-0.435096153846153</v>
      </c>
    </row>
    <row r="314" spans="1:9">
      <c r="A314" s="1" t="s">
        <v>326</v>
      </c>
      <c r="B314">
        <f>HYPERLINK("https://www.suredividend.com/sure-analysis-research-database/","Armstrong World Industries Inc.")</f>
        <v>0</v>
      </c>
      <c r="C314">
        <v>0.002500815483309</v>
      </c>
      <c r="D314">
        <v>-0.140442550890555</v>
      </c>
      <c r="E314">
        <v>-0.058693810044002</v>
      </c>
      <c r="F314">
        <v>-0.203880778987978</v>
      </c>
      <c r="G314">
        <v>-0.047066836582297</v>
      </c>
      <c r="H314">
        <v>0.200980583713036</v>
      </c>
      <c r="I314">
        <v>1.129502384719319</v>
      </c>
    </row>
    <row r="315" spans="1:9">
      <c r="A315" s="1" t="s">
        <v>327</v>
      </c>
      <c r="B315">
        <f>HYPERLINK("https://www.suredividend.com/sure-analysis-AWK/","American Water Works Co. Inc.")</f>
        <v>0</v>
      </c>
      <c r="C315">
        <v>0.06410502721741901</v>
      </c>
      <c r="D315">
        <v>0.019785658435633</v>
      </c>
      <c r="E315">
        <v>-0.023433252755997</v>
      </c>
      <c r="F315">
        <v>-0.116772498753509</v>
      </c>
      <c r="G315">
        <v>0.05320070712007</v>
      </c>
      <c r="H315">
        <v>0.304570393098401</v>
      </c>
      <c r="I315">
        <v>1.308425419353763</v>
      </c>
    </row>
    <row r="316" spans="1:9">
      <c r="A316" s="1" t="s">
        <v>328</v>
      </c>
      <c r="B316">
        <f>HYPERLINK("https://www.suredividend.com/sure-analysis-AWR/","American States Water Co.")</f>
        <v>0</v>
      </c>
      <c r="C316">
        <v>-0.003618958673826</v>
      </c>
      <c r="D316">
        <v>-0.08786816569059101</v>
      </c>
      <c r="E316">
        <v>-0.041968191323498</v>
      </c>
      <c r="F316">
        <v>-0.171374508625569</v>
      </c>
      <c r="G316">
        <v>0.075141494163247</v>
      </c>
      <c r="H316">
        <v>0.024132816887212</v>
      </c>
      <c r="I316">
        <v>1.074900630857309</v>
      </c>
    </row>
    <row r="317" spans="1:9">
      <c r="A317" s="1" t="s">
        <v>329</v>
      </c>
      <c r="B317">
        <f>HYPERLINK("https://www.suredividend.com/sure-analysis-research-database/","Aware Inc.")</f>
        <v>0</v>
      </c>
      <c r="C317">
        <v>-0.09666666666666601</v>
      </c>
      <c r="D317">
        <v>-0.108552631578947</v>
      </c>
      <c r="E317">
        <v>-0.319095477386934</v>
      </c>
      <c r="F317">
        <v>-0.139682539682539</v>
      </c>
      <c r="G317">
        <v>-0.227920227920227</v>
      </c>
      <c r="H317">
        <v>0.079681274900398</v>
      </c>
      <c r="I317">
        <v>-0.423404255319148</v>
      </c>
    </row>
    <row r="318" spans="1:9">
      <c r="A318" s="1" t="s">
        <v>330</v>
      </c>
      <c r="B318">
        <f>HYPERLINK("https://www.suredividend.com/sure-analysis-research-database/","Axos Financial Inc.")</f>
        <v>0</v>
      </c>
      <c r="C318">
        <v>-0.183340056474384</v>
      </c>
      <c r="D318">
        <v>-0.330301025471386</v>
      </c>
      <c r="E318">
        <v>-0.253365295961644</v>
      </c>
      <c r="F318">
        <v>-0.275800393489536</v>
      </c>
      <c r="G318">
        <v>-0.133347602739726</v>
      </c>
      <c r="H318">
        <v>1.452453058752271</v>
      </c>
      <c r="I318">
        <v>0.63860785107244</v>
      </c>
    </row>
    <row r="319" spans="1:9">
      <c r="A319" s="1" t="s">
        <v>331</v>
      </c>
      <c r="B319">
        <f>HYPERLINK("https://www.suredividend.com/sure-analysis-research-database/","Abraxas Petroleum Corp.")</f>
        <v>0</v>
      </c>
      <c r="C319">
        <v>0.200440528634361</v>
      </c>
      <c r="D319">
        <v>0.912280701754386</v>
      </c>
      <c r="E319">
        <v>0.178378378378378</v>
      </c>
      <c r="F319">
        <v>1.658536585365853</v>
      </c>
      <c r="G319">
        <v>0.06862745098039201</v>
      </c>
      <c r="H319">
        <v>0.06862745098039201</v>
      </c>
      <c r="I319">
        <v>0.06862745098039201</v>
      </c>
    </row>
    <row r="320" spans="1:9">
      <c r="A320" s="1" t="s">
        <v>332</v>
      </c>
      <c r="B320">
        <f>HYPERLINK("https://www.suredividend.com/sure-analysis-research-database/","Accelerate Diagnostics Inc")</f>
        <v>0</v>
      </c>
      <c r="C320">
        <v>-0.457894736842105</v>
      </c>
      <c r="D320">
        <v>-0.748780487804878</v>
      </c>
      <c r="E320">
        <v>-0.844645550527903</v>
      </c>
      <c r="F320">
        <v>-0.8026819923371641</v>
      </c>
      <c r="G320">
        <v>-0.8722084367245651</v>
      </c>
      <c r="H320">
        <v>-0.8858093126385801</v>
      </c>
      <c r="I320">
        <v>-0.955314533622559</v>
      </c>
    </row>
    <row r="321" spans="1:9">
      <c r="A321" s="1" t="s">
        <v>333</v>
      </c>
      <c r="B321">
        <f>HYPERLINK("https://www.suredividend.com/sure-analysis-research-database/","Axogen Inc.")</f>
        <v>0</v>
      </c>
      <c r="C321">
        <v>-0.115853658536585</v>
      </c>
      <c r="D321">
        <v>-0.207650273224043</v>
      </c>
      <c r="E321">
        <v>-0.467694566813509</v>
      </c>
      <c r="F321">
        <v>-0.226254002134471</v>
      </c>
      <c r="G321">
        <v>-0.6153846153846151</v>
      </c>
      <c r="H321">
        <v>-0.012933968686181</v>
      </c>
      <c r="I321">
        <v>-0.358407079646017</v>
      </c>
    </row>
    <row r="322" spans="1:9">
      <c r="A322" s="1" t="s">
        <v>334</v>
      </c>
      <c r="B322">
        <f>HYPERLINK("https://www.suredividend.com/sure-analysis-research-database/","American Axle &amp; Manufacturing Holdings Inc")</f>
        <v>0</v>
      </c>
      <c r="C322">
        <v>-0.20876585928489</v>
      </c>
      <c r="D322">
        <v>-0.309859154929577</v>
      </c>
      <c r="E322">
        <v>-0.35344015080113</v>
      </c>
      <c r="F322">
        <v>-0.264737406216505</v>
      </c>
      <c r="G322">
        <v>-0.280922431865828</v>
      </c>
      <c r="H322">
        <v>1.072507552870091</v>
      </c>
      <c r="I322">
        <v>-0.5887290167865701</v>
      </c>
    </row>
    <row r="323" spans="1:9">
      <c r="A323" s="1" t="s">
        <v>335</v>
      </c>
      <c r="B323">
        <f>HYPERLINK("https://www.suredividend.com/sure-analysis-research-database/","Axonics Inc")</f>
        <v>0</v>
      </c>
      <c r="C323">
        <v>0.180355160932297</v>
      </c>
      <c r="D323">
        <v>0.184738210174526</v>
      </c>
      <c r="E323">
        <v>0.010291323622545</v>
      </c>
      <c r="F323">
        <v>0.139464285714285</v>
      </c>
      <c r="G323">
        <v>0.0665218118001</v>
      </c>
      <c r="H323">
        <v>1.106635853416969</v>
      </c>
      <c r="I323">
        <v>3.259679572763684</v>
      </c>
    </row>
    <row r="324" spans="1:9">
      <c r="A324" s="1" t="s">
        <v>336</v>
      </c>
      <c r="B324">
        <f>HYPERLINK("https://www.suredividend.com/sure-analysis-AXP/","American Express Co.")</f>
        <v>0</v>
      </c>
      <c r="C324">
        <v>0.005892321325849</v>
      </c>
      <c r="D324">
        <v>0.078825868715062</v>
      </c>
      <c r="E324">
        <v>0.03594884302081201</v>
      </c>
      <c r="F324">
        <v>0.113265346881462</v>
      </c>
      <c r="G324">
        <v>0.22047756001501</v>
      </c>
      <c r="H324">
        <v>1.284725532778925</v>
      </c>
      <c r="I324">
        <v>1.547699040745465</v>
      </c>
    </row>
    <row r="325" spans="1:9">
      <c r="A325" s="1" t="s">
        <v>337</v>
      </c>
      <c r="B325">
        <f>HYPERLINK("https://www.suredividend.com/sure-analysis-research-database/","AMREP Corp.")</f>
        <v>0</v>
      </c>
      <c r="C325">
        <v>0.169507575757575</v>
      </c>
      <c r="D325">
        <v>-0.148275862068965</v>
      </c>
      <c r="E325">
        <v>-0.1875</v>
      </c>
      <c r="F325">
        <v>-0.1875</v>
      </c>
      <c r="G325">
        <v>0.175071360608943</v>
      </c>
      <c r="H325">
        <v>2.079800498753117</v>
      </c>
      <c r="I325">
        <v>0.805555555555555</v>
      </c>
    </row>
    <row r="326" spans="1:9">
      <c r="A326" s="1" t="s">
        <v>338</v>
      </c>
      <c r="B326">
        <f>HYPERLINK("https://www.suredividend.com/sure-analysis-AXS/","Axis Capital Holdings Ltd")</f>
        <v>0</v>
      </c>
      <c r="C326">
        <v>0.05052823538369201</v>
      </c>
      <c r="D326">
        <v>-0.000339287355184</v>
      </c>
      <c r="E326">
        <v>0.105645102971384</v>
      </c>
      <c r="F326">
        <v>0.046093192350223</v>
      </c>
      <c r="G326">
        <v>0.09093293375528101</v>
      </c>
      <c r="H326">
        <v>0.592094968450796</v>
      </c>
      <c r="I326">
        <v>0.016175823386234</v>
      </c>
    </row>
    <row r="327" spans="1:9">
      <c r="A327" s="1" t="s">
        <v>339</v>
      </c>
      <c r="B327">
        <f>HYPERLINK("https://www.suredividend.com/sure-analysis-research-database/","Axsome Therapeutics Inc")</f>
        <v>0</v>
      </c>
      <c r="C327">
        <v>0.169787369089178</v>
      </c>
      <c r="D327">
        <v>0.288811188811188</v>
      </c>
      <c r="E327">
        <v>-0.08079800498753101</v>
      </c>
      <c r="F327">
        <v>-0.02435150873478</v>
      </c>
      <c r="G327">
        <v>-0.310254491017964</v>
      </c>
      <c r="H327">
        <v>-0.425140361821584</v>
      </c>
      <c r="I327">
        <v>8.451282051282051</v>
      </c>
    </row>
    <row r="328" spans="1:9">
      <c r="A328" s="1" t="s">
        <v>340</v>
      </c>
      <c r="B328">
        <f>HYPERLINK("https://www.suredividend.com/sure-analysis-research-database/","Axalta Coating Systems Ltd")</f>
        <v>0</v>
      </c>
      <c r="C328">
        <v>0.024459845087647</v>
      </c>
      <c r="D328">
        <v>-0.232437385461209</v>
      </c>
      <c r="E328">
        <v>-0.197381028425423</v>
      </c>
      <c r="F328">
        <v>-0.241243961352657</v>
      </c>
      <c r="G328">
        <v>-0.20575221238938</v>
      </c>
      <c r="H328">
        <v>0.5111244738424531</v>
      </c>
      <c r="I328">
        <v>-0.189354838709677</v>
      </c>
    </row>
    <row r="329" spans="1:9">
      <c r="A329" s="1" t="s">
        <v>341</v>
      </c>
      <c r="B329">
        <f>HYPERLINK("https://www.suredividend.com/sure-analysis-research-database/","AXT Inc")</f>
        <v>0</v>
      </c>
      <c r="C329">
        <v>-0.101983002832861</v>
      </c>
      <c r="D329">
        <v>-0.257611241217798</v>
      </c>
      <c r="E329">
        <v>-0.223990208078335</v>
      </c>
      <c r="F329">
        <v>-0.280363223609534</v>
      </c>
      <c r="G329">
        <v>-0.42021033379058</v>
      </c>
      <c r="H329">
        <v>0.751381215469613</v>
      </c>
      <c r="I329">
        <v>0.102608695652173</v>
      </c>
    </row>
    <row r="330" spans="1:9">
      <c r="A330" s="1" t="s">
        <v>342</v>
      </c>
      <c r="B330">
        <f>HYPERLINK("https://www.suredividend.com/sure-analysis-research-database/","Acuity Brands, Inc.")</f>
        <v>0</v>
      </c>
      <c r="C330">
        <v>-0.09738840361573101</v>
      </c>
      <c r="D330">
        <v>-0.17202883718991</v>
      </c>
      <c r="E330">
        <v>-0.176692278435064</v>
      </c>
      <c r="F330">
        <v>-0.192208040365476</v>
      </c>
      <c r="G330">
        <v>-0.000134064815947</v>
      </c>
      <c r="H330">
        <v>1.118845930535498</v>
      </c>
      <c r="I330">
        <v>0.006935764584915001</v>
      </c>
    </row>
    <row r="331" spans="1:9">
      <c r="A331" s="1" t="s">
        <v>343</v>
      </c>
      <c r="B331">
        <f>HYPERLINK("https://www.suredividend.com/sure-analysis-research-database/","Alteryx Inc")</f>
        <v>0</v>
      </c>
      <c r="C331">
        <v>0.183955285221107</v>
      </c>
      <c r="D331">
        <v>0.234487487144326</v>
      </c>
      <c r="E331">
        <v>-0.04634533898305</v>
      </c>
      <c r="F331">
        <v>0.190413223140495</v>
      </c>
      <c r="G331">
        <v>-0.160703880666589</v>
      </c>
      <c r="H331">
        <v>-0.387063829787234</v>
      </c>
      <c r="I331">
        <v>3.236470588235294</v>
      </c>
    </row>
    <row r="332" spans="1:9">
      <c r="A332" s="1" t="s">
        <v>344</v>
      </c>
      <c r="B332">
        <f>HYPERLINK("https://www.suredividend.com/sure-analysis-research-database/","Autozone Inc.")</f>
        <v>0</v>
      </c>
      <c r="C332">
        <v>0.098369140525893</v>
      </c>
      <c r="D332">
        <v>0.06448059484233901</v>
      </c>
      <c r="E332">
        <v>0.246867853666123</v>
      </c>
      <c r="F332">
        <v>0.032536884835359</v>
      </c>
      <c r="G332">
        <v>0.447079901593753</v>
      </c>
      <c r="H332">
        <v>1.212116257204758</v>
      </c>
      <c r="I332">
        <v>2.14411875780728</v>
      </c>
    </row>
    <row r="333" spans="1:9">
      <c r="A333" s="1" t="s">
        <v>345</v>
      </c>
      <c r="B333">
        <f>HYPERLINK("https://www.suredividend.com/sure-analysis-research-database/","Aspen Technology Inc.")</f>
        <v>0</v>
      </c>
      <c r="C333">
        <v>0.161181616118161</v>
      </c>
      <c r="D333">
        <v>0.03867367880964601</v>
      </c>
      <c r="E333">
        <v>-0.009540700874564</v>
      </c>
      <c r="F333">
        <v>0.06406044678055101</v>
      </c>
      <c r="G333">
        <v>0.060715221378045</v>
      </c>
      <c r="H333">
        <v>0.6625603120829481</v>
      </c>
      <c r="I333">
        <v>1.768376068376068</v>
      </c>
    </row>
    <row r="334" spans="1:9">
      <c r="A334" s="1" t="s">
        <v>346</v>
      </c>
      <c r="B334">
        <f>HYPERLINK("https://www.suredividend.com/sure-analysis-research-database/","AZZ Inc")</f>
        <v>0</v>
      </c>
      <c r="C334">
        <v>-0.05613390487854601</v>
      </c>
      <c r="D334">
        <v>-0.09685912447679701</v>
      </c>
      <c r="E334">
        <v>-0.126442861730867</v>
      </c>
      <c r="F334">
        <v>-0.160728481869629</v>
      </c>
      <c r="G334">
        <v>-0.07795139304315901</v>
      </c>
      <c r="H334">
        <v>0.837304756569039</v>
      </c>
      <c r="I334">
        <v>-0.129332858834804</v>
      </c>
    </row>
    <row r="335" spans="1:9">
      <c r="A335" s="1" t="s">
        <v>347</v>
      </c>
      <c r="B335">
        <f>HYPERLINK("https://www.suredividend.com/sure-analysis-research-database/","Barnes Group Inc.")</f>
        <v>0</v>
      </c>
      <c r="C335">
        <v>-0.139573856835049</v>
      </c>
      <c r="D335">
        <v>-0.251617954505701</v>
      </c>
      <c r="E335">
        <v>-0.139106002064804</v>
      </c>
      <c r="F335">
        <v>-0.225918172184745</v>
      </c>
      <c r="G335">
        <v>-0.28247002805035</v>
      </c>
      <c r="H335">
        <v>-0.015221054650573</v>
      </c>
      <c r="I335">
        <v>-0.226196499583386</v>
      </c>
    </row>
    <row r="336" spans="1:9">
      <c r="A336" s="1" t="s">
        <v>348</v>
      </c>
      <c r="B336">
        <f>HYPERLINK("https://www.suredividend.com/sure-analysis-research-database/","Boeing Co.")</f>
        <v>0</v>
      </c>
      <c r="C336">
        <v>-0.037303561034975</v>
      </c>
      <c r="D336">
        <v>-0.194813241281642</v>
      </c>
      <c r="E336">
        <v>-0.161721341688168</v>
      </c>
      <c r="F336">
        <v>-0.096264653288297</v>
      </c>
      <c r="G336">
        <v>-0.266903054234829</v>
      </c>
      <c r="H336">
        <v>0.355333730631704</v>
      </c>
      <c r="I336">
        <v>0.107866926877981</v>
      </c>
    </row>
    <row r="337" spans="1:9">
      <c r="A337" s="1" t="s">
        <v>349</v>
      </c>
      <c r="B337">
        <f>HYPERLINK("https://www.suredividend.com/sure-analysis-BAC/","Bank Of America Corp.")</f>
        <v>0</v>
      </c>
      <c r="C337">
        <v>-0.122196261682242</v>
      </c>
      <c r="D337">
        <v>-0.211987356560514</v>
      </c>
      <c r="E337">
        <v>-0.181896771355717</v>
      </c>
      <c r="F337">
        <v>-0.151411115001072</v>
      </c>
      <c r="G337">
        <v>-0.021958426074166</v>
      </c>
      <c r="H337">
        <v>0.832960106162395</v>
      </c>
      <c r="I337">
        <v>0.8552353487269631</v>
      </c>
    </row>
    <row r="338" spans="1:9">
      <c r="A338" s="1" t="s">
        <v>350</v>
      </c>
      <c r="B338">
        <f>HYPERLINK("https://www.suredividend.com/sure-analysis-BAH/","Booz Allen Hamilton Holding Corp")</f>
        <v>0</v>
      </c>
      <c r="C338">
        <v>0.04699427480916001</v>
      </c>
      <c r="D338">
        <v>-0.00750420889221</v>
      </c>
      <c r="E338">
        <v>0.0948754887837</v>
      </c>
      <c r="F338">
        <v>0.041189741351292</v>
      </c>
      <c r="G338">
        <v>0.05623761375491301</v>
      </c>
      <c r="H338">
        <v>0.199904860585216</v>
      </c>
      <c r="I338">
        <v>1.781254257587615</v>
      </c>
    </row>
    <row r="339" spans="1:9">
      <c r="A339" s="1" t="s">
        <v>351</v>
      </c>
      <c r="B339">
        <f>HYPERLINK("https://www.suredividend.com/sure-analysis-research-database/","Banc of California Inc")</f>
        <v>0</v>
      </c>
      <c r="C339">
        <v>-0.114103819784525</v>
      </c>
      <c r="D339">
        <v>-0.169871235969493</v>
      </c>
      <c r="E339">
        <v>-0.04452038514966</v>
      </c>
      <c r="F339">
        <v>-0.07509663169519601</v>
      </c>
      <c r="G339">
        <v>0.004648373069425</v>
      </c>
      <c r="H339">
        <v>1.23261669093871</v>
      </c>
      <c r="I339">
        <v>-0.045448069525573</v>
      </c>
    </row>
    <row r="340" spans="1:9">
      <c r="A340" s="1" t="s">
        <v>352</v>
      </c>
      <c r="B340">
        <f>HYPERLINK("https://www.suredividend.com/sure-analysis-research-database/","Bandwidth Inc")</f>
        <v>0</v>
      </c>
      <c r="C340">
        <v>0.045179651369619</v>
      </c>
      <c r="D340">
        <v>-0.5676232523914641</v>
      </c>
      <c r="E340">
        <v>-0.673555555555555</v>
      </c>
      <c r="F340">
        <v>-0.5905797101449271</v>
      </c>
      <c r="G340">
        <v>-0.7824509440947791</v>
      </c>
      <c r="H340">
        <v>-0.6236228542147061</v>
      </c>
      <c r="I340">
        <v>0.386503067484662</v>
      </c>
    </row>
    <row r="341" spans="1:9">
      <c r="A341" s="1" t="s">
        <v>353</v>
      </c>
      <c r="B341">
        <f>HYPERLINK("https://www.suredividend.com/sure-analysis-BANF/","Bancfirst Corp.")</f>
        <v>0</v>
      </c>
      <c r="C341">
        <v>0.016740269076717</v>
      </c>
      <c r="D341">
        <v>0.07719649120989</v>
      </c>
      <c r="E341">
        <v>0.317958210771883</v>
      </c>
      <c r="F341">
        <v>0.183602072869238</v>
      </c>
      <c r="G341">
        <v>0.207555498762821</v>
      </c>
      <c r="H341">
        <v>1.89192826515602</v>
      </c>
      <c r="I341">
        <v>1.147084034741658</v>
      </c>
    </row>
    <row r="342" spans="1:9">
      <c r="A342" s="1" t="s">
        <v>354</v>
      </c>
      <c r="B342">
        <f>HYPERLINK("https://www.suredividend.com/sure-analysis-research-database/","Banner Corp.")</f>
        <v>0</v>
      </c>
      <c r="C342">
        <v>-0.096911260009805</v>
      </c>
      <c r="D342">
        <v>-0.160907968641099</v>
      </c>
      <c r="E342">
        <v>-0.02597917647121</v>
      </c>
      <c r="F342">
        <v>-0.082628205447455</v>
      </c>
      <c r="G342">
        <v>0.026662381165594</v>
      </c>
      <c r="H342">
        <v>0.8984602065425761</v>
      </c>
      <c r="I342">
        <v>0.227593530142241</v>
      </c>
    </row>
    <row r="343" spans="1:9">
      <c r="A343" s="1" t="s">
        <v>355</v>
      </c>
      <c r="B343">
        <f>HYPERLINK("https://www.suredividend.com/sure-analysis-research-database/","Basis Global Technologies Inc")</f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356</v>
      </c>
      <c r="B344">
        <f>HYPERLINK("https://www.suredividend.com/sure-analysis-research-database/","Liberty Media Corp.")</f>
        <v>0</v>
      </c>
      <c r="C344">
        <v>0.014630577907827</v>
      </c>
      <c r="D344">
        <v>0.020603384841795</v>
      </c>
      <c r="E344">
        <v>0.012408759124087</v>
      </c>
      <c r="F344">
        <v>-0.035130434782608</v>
      </c>
      <c r="G344">
        <v>-0.040138408304498</v>
      </c>
      <c r="H344">
        <v>0.5225027442371021</v>
      </c>
      <c r="I344">
        <v>0.14722911497105</v>
      </c>
    </row>
    <row r="345" spans="1:9">
      <c r="A345" s="1" t="s">
        <v>357</v>
      </c>
      <c r="B345">
        <f>HYPERLINK("https://www.suredividend.com/sure-analysis-research-database/","Liberty Media Corp.")</f>
        <v>0</v>
      </c>
      <c r="C345">
        <v>0.019201228878648</v>
      </c>
      <c r="D345">
        <v>-0.00450112528132</v>
      </c>
      <c r="E345">
        <v>-0.008221225710015</v>
      </c>
      <c r="F345">
        <v>-0.055516014234875</v>
      </c>
      <c r="G345">
        <v>-0.06053097345132701</v>
      </c>
      <c r="H345">
        <v>0.499435028248587</v>
      </c>
      <c r="I345">
        <v>0.109068115336397</v>
      </c>
    </row>
    <row r="346" spans="1:9">
      <c r="A346" s="1" t="s">
        <v>358</v>
      </c>
      <c r="B346">
        <f>HYPERLINK("https://www.suredividend.com/sure-analysis-research-database/","Baxter International Inc.")</f>
        <v>0</v>
      </c>
      <c r="C346">
        <v>-0.031914893617021</v>
      </c>
      <c r="D346">
        <v>-0.105546454481628</v>
      </c>
      <c r="E346">
        <v>-0.034159469823801</v>
      </c>
      <c r="F346">
        <v>-0.106588732779568</v>
      </c>
      <c r="G346">
        <v>-0.104409412839844</v>
      </c>
      <c r="H346">
        <v>-0.133437478035519</v>
      </c>
      <c r="I346">
        <v>0.520047566114313</v>
      </c>
    </row>
    <row r="347" spans="1:9">
      <c r="A347" s="1" t="s">
        <v>359</v>
      </c>
      <c r="B347">
        <f>HYPERLINK("https://www.suredividend.com/sure-analysis-research-database/","Bed, Bath &amp; Beyond Inc.")</f>
        <v>0</v>
      </c>
      <c r="C347">
        <v>-0.187382739212007</v>
      </c>
      <c r="D347">
        <v>0.120633893919792</v>
      </c>
      <c r="E347">
        <v>0.238384560400285</v>
      </c>
      <c r="F347">
        <v>0.188271604938271</v>
      </c>
      <c r="G347">
        <v>-0.321120689655172</v>
      </c>
      <c r="H347">
        <v>2.306297709923664</v>
      </c>
      <c r="I347">
        <v>-0.488375114801832</v>
      </c>
    </row>
    <row r="348" spans="1:9">
      <c r="A348" s="1" t="s">
        <v>360</v>
      </c>
      <c r="B348">
        <f>HYPERLINK("https://www.suredividend.com/sure-analysis-research-database/","Concrete Pumping Holdings Inc")</f>
        <v>0</v>
      </c>
      <c r="C348">
        <v>-0.08866279069767401</v>
      </c>
      <c r="D348">
        <v>-0.25886524822695</v>
      </c>
      <c r="E348">
        <v>-0.264947245017585</v>
      </c>
      <c r="F348">
        <v>-0.235365853658536</v>
      </c>
      <c r="G348">
        <v>-0.194605009633911</v>
      </c>
      <c r="H348">
        <v>2.073529411764705</v>
      </c>
      <c r="I348">
        <v>-0.35360824742268</v>
      </c>
    </row>
    <row r="349" spans="1:9">
      <c r="A349" s="1" t="s">
        <v>361</v>
      </c>
      <c r="B349">
        <f>HYPERLINK("https://www.suredividend.com/sure-analysis-research-database/","Beasley Broadcast Group Inc")</f>
        <v>0</v>
      </c>
      <c r="C349">
        <v>-0.011764705882352</v>
      </c>
      <c r="D349">
        <v>-0.168316831683168</v>
      </c>
      <c r="E349">
        <v>-0.341176470588235</v>
      </c>
      <c r="F349">
        <v>-0.11578947368421</v>
      </c>
      <c r="G349">
        <v>-0.4</v>
      </c>
      <c r="H349">
        <v>-0.259911894273127</v>
      </c>
      <c r="I349">
        <v>-0.8697674418604651</v>
      </c>
    </row>
    <row r="350" spans="1:9">
      <c r="A350" s="1" t="s">
        <v>362</v>
      </c>
      <c r="B350">
        <f>HYPERLINK("https://www.suredividend.com/sure-analysis-research-database/","Barrett Business Services Inc.")</f>
        <v>0</v>
      </c>
      <c r="C350">
        <v>-0.0240435706695</v>
      </c>
      <c r="D350">
        <v>0.118465721392883</v>
      </c>
      <c r="E350">
        <v>-0.07156071818512601</v>
      </c>
      <c r="F350">
        <v>0.06809680472306101</v>
      </c>
      <c r="G350">
        <v>0.061947670132775</v>
      </c>
      <c r="H350">
        <v>0.8591763142911361</v>
      </c>
      <c r="I350">
        <v>0.457443136508087</v>
      </c>
    </row>
    <row r="351" spans="1:9">
      <c r="A351" s="1" t="s">
        <v>363</v>
      </c>
      <c r="B351">
        <f>HYPERLINK("https://www.suredividend.com/sure-analysis-research-database/","Build A Bear Workshop Inc")</f>
        <v>0</v>
      </c>
      <c r="C351">
        <v>0.008431703204047</v>
      </c>
      <c r="D351">
        <v>-0.044219499200852</v>
      </c>
      <c r="E351">
        <v>0.227497588110926</v>
      </c>
      <c r="F351">
        <v>-0.08094262295081901</v>
      </c>
      <c r="G351">
        <v>1.349028439742314</v>
      </c>
      <c r="H351">
        <v>9.702780097840357</v>
      </c>
      <c r="I351">
        <v>1.295262343112294</v>
      </c>
    </row>
    <row r="352" spans="1:9">
      <c r="A352" s="1" t="s">
        <v>364</v>
      </c>
      <c r="B352">
        <f>HYPERLINK("https://www.suredividend.com/sure-analysis-BBY/","Best Buy Co. Inc.")</f>
        <v>0</v>
      </c>
      <c r="C352">
        <v>-0.042098074702875</v>
      </c>
      <c r="D352">
        <v>-0.053587673241663</v>
      </c>
      <c r="E352">
        <v>-0.16119545736926</v>
      </c>
      <c r="F352">
        <v>-0.06811943642278601</v>
      </c>
      <c r="G352">
        <v>-0.194783598091987</v>
      </c>
      <c r="H352">
        <v>0.520843530094355</v>
      </c>
      <c r="I352">
        <v>1.218408249528375</v>
      </c>
    </row>
    <row r="353" spans="1:9">
      <c r="A353" s="1" t="s">
        <v>365</v>
      </c>
      <c r="B353">
        <f>HYPERLINK("https://www.suredividend.com/sure-analysis-BC/","Brunswick Corp.")</f>
        <v>0</v>
      </c>
      <c r="C353">
        <v>-0.162407345945348</v>
      </c>
      <c r="D353">
        <v>-0.233203086228445</v>
      </c>
      <c r="E353">
        <v>-0.240209582130323</v>
      </c>
      <c r="F353">
        <v>-0.245383443088794</v>
      </c>
      <c r="G353">
        <v>-0.269432741687397</v>
      </c>
      <c r="H353">
        <v>1.182536250684655</v>
      </c>
      <c r="I353">
        <v>0.455317840186071</v>
      </c>
    </row>
    <row r="354" spans="1:9">
      <c r="A354" s="1" t="s">
        <v>366</v>
      </c>
      <c r="B354">
        <f>HYPERLINK("https://www.suredividend.com/sure-analysis-research-database/","BCB Bancorp Inc (NJ)")</f>
        <v>0</v>
      </c>
      <c r="C354">
        <v>-0.023268698060941</v>
      </c>
      <c r="D354">
        <v>0.105481633830371</v>
      </c>
      <c r="E354">
        <v>0.205486570756523</v>
      </c>
      <c r="F354">
        <v>0.153478755839363</v>
      </c>
      <c r="G354">
        <v>0.355997384917124</v>
      </c>
      <c r="H354">
        <v>1.091067594975744</v>
      </c>
      <c r="I354">
        <v>0.392696047839859</v>
      </c>
    </row>
    <row r="355" spans="1:9">
      <c r="A355" s="1" t="s">
        <v>367</v>
      </c>
      <c r="B355">
        <f>HYPERLINK("https://www.suredividend.com/sure-analysis-research-database/","Boise Cascade Co")</f>
        <v>0</v>
      </c>
      <c r="C355">
        <v>-0.09680284191829401</v>
      </c>
      <c r="D355">
        <v>0.013428388806876</v>
      </c>
      <c r="E355">
        <v>0.21598770176787</v>
      </c>
      <c r="F355">
        <v>0.001329198050509</v>
      </c>
      <c r="G355">
        <v>0.09091577774678901</v>
      </c>
      <c r="H355">
        <v>1.965545682900311</v>
      </c>
      <c r="I355">
        <v>1.751421316461762</v>
      </c>
    </row>
    <row r="356" spans="1:9">
      <c r="A356" s="1" t="s">
        <v>368</v>
      </c>
      <c r="B356">
        <f>HYPERLINK("https://www.suredividend.com/sure-analysis-research-database/","Brainstorm Cell Therapeutics, Inc.")</f>
        <v>0</v>
      </c>
      <c r="C356">
        <v>-0.03076923076923</v>
      </c>
      <c r="D356">
        <v>-0.112676056338028</v>
      </c>
      <c r="E356">
        <v>0.022727272727272</v>
      </c>
      <c r="F356">
        <v>-0.2125</v>
      </c>
      <c r="G356">
        <v>0.006389776357827</v>
      </c>
      <c r="H356">
        <v>-0.468802698145025</v>
      </c>
      <c r="I356">
        <v>-0.136986301369863</v>
      </c>
    </row>
    <row r="357" spans="1:9">
      <c r="A357" s="1" t="s">
        <v>369</v>
      </c>
      <c r="B357">
        <f>HYPERLINK("https://www.suredividend.com/sure-analysis-research-database/","Brink`s Co.")</f>
        <v>0</v>
      </c>
      <c r="C357">
        <v>-0.013930497303774</v>
      </c>
      <c r="D357">
        <v>-0.093037065204063</v>
      </c>
      <c r="E357">
        <v>0.066808843023689</v>
      </c>
      <c r="F357">
        <v>0.006828940023094</v>
      </c>
      <c r="G357">
        <v>-0.168160893832158</v>
      </c>
      <c r="H357">
        <v>0.338740083500938</v>
      </c>
      <c r="I357">
        <v>0.229897169162705</v>
      </c>
    </row>
    <row r="358" spans="1:9">
      <c r="A358" s="1" t="s">
        <v>370</v>
      </c>
      <c r="B358">
        <f>HYPERLINK("https://www.suredividend.com/sure-analysis-research-database/","Blucora Inc")</f>
        <v>0</v>
      </c>
      <c r="C358">
        <v>0.035087719298245</v>
      </c>
      <c r="D358">
        <v>0.171728971962616</v>
      </c>
      <c r="E358">
        <v>0.206979542719614</v>
      </c>
      <c r="F358">
        <v>0.158198614318706</v>
      </c>
      <c r="G358">
        <v>0.223170731707317</v>
      </c>
      <c r="H358">
        <v>0.5920634920634921</v>
      </c>
      <c r="I358">
        <v>0.179999999999999</v>
      </c>
    </row>
    <row r="359" spans="1:9">
      <c r="A359" s="1" t="s">
        <v>371</v>
      </c>
      <c r="B359">
        <f>HYPERLINK("https://www.suredividend.com/sure-analysis-research-database/","Brightcove Inc")</f>
        <v>0</v>
      </c>
      <c r="C359">
        <v>0.009485094850948001</v>
      </c>
      <c r="D359">
        <v>-0.243654822335025</v>
      </c>
      <c r="E359">
        <v>-0.39282803585982</v>
      </c>
      <c r="F359">
        <v>-0.271037181996086</v>
      </c>
      <c r="G359">
        <v>-0.65219421101774</v>
      </c>
      <c r="H359">
        <v>-0.126611957796013</v>
      </c>
      <c r="I359">
        <v>-0.09146341463414601</v>
      </c>
    </row>
    <row r="360" spans="1:9">
      <c r="A360" s="1" t="s">
        <v>372</v>
      </c>
      <c r="B360">
        <f>HYPERLINK("https://www.suredividend.com/sure-analysis-research-database/","Balchem Corp.")</f>
        <v>0</v>
      </c>
      <c r="C360">
        <v>-0.020267293288295</v>
      </c>
      <c r="D360">
        <v>-0.14210390946502</v>
      </c>
      <c r="E360">
        <v>-0.112790394569548</v>
      </c>
      <c r="F360">
        <v>-0.208659549228944</v>
      </c>
      <c r="G360">
        <v>0.090378322540151</v>
      </c>
      <c r="H360">
        <v>0.425284212910241</v>
      </c>
      <c r="I360">
        <v>0.810715003067168</v>
      </c>
    </row>
    <row r="361" spans="1:9">
      <c r="A361" s="1" t="s">
        <v>373</v>
      </c>
      <c r="B361">
        <f>HYPERLINK("https://www.suredividend.com/sure-analysis-research-database/","Biocryst Pharmaceuticals Inc.")</f>
        <v>0</v>
      </c>
      <c r="C361">
        <v>-0.264059469941822</v>
      </c>
      <c r="D361">
        <v>-0.26453488372093</v>
      </c>
      <c r="E361">
        <v>-0.247521480502313</v>
      </c>
      <c r="F361">
        <v>-0.17797833935018</v>
      </c>
      <c r="G361">
        <v>0.012900355871886</v>
      </c>
      <c r="H361">
        <v>3.395752895752896</v>
      </c>
      <c r="I361">
        <v>0.6866666666666661</v>
      </c>
    </row>
    <row r="362" spans="1:9">
      <c r="A362" s="1" t="s">
        <v>374</v>
      </c>
      <c r="B362">
        <f>HYPERLINK("https://www.suredividend.com/sure-analysis-research-database/","Belden Inc")</f>
        <v>0</v>
      </c>
      <c r="C362">
        <v>-0.149002601908065</v>
      </c>
      <c r="D362">
        <v>-0.22923199708409</v>
      </c>
      <c r="E362">
        <v>-0.188885784338849</v>
      </c>
      <c r="F362">
        <v>-0.252919947006959</v>
      </c>
      <c r="G362">
        <v>0.126143703832928</v>
      </c>
      <c r="H362">
        <v>0.5693173821252641</v>
      </c>
      <c r="I362">
        <v>-0.227033959457883</v>
      </c>
    </row>
    <row r="363" spans="1:9">
      <c r="A363" s="1" t="s">
        <v>375</v>
      </c>
      <c r="B363">
        <f>HYPERLINK("https://www.suredividend.com/sure-analysis-research-database/","Bridge Bancorp, Inc.")</f>
        <v>0</v>
      </c>
      <c r="C363">
        <v>0.010339123242349</v>
      </c>
      <c r="D363">
        <v>0.250255885363357</v>
      </c>
      <c r="E363">
        <v>0.367279321229488</v>
      </c>
      <c r="F363">
        <v>0.010339123242349</v>
      </c>
      <c r="G363">
        <v>-0.163356164383561</v>
      </c>
      <c r="H363">
        <v>-0.149781790086935</v>
      </c>
      <c r="I363">
        <v>-0.020119045709059</v>
      </c>
    </row>
    <row r="364" spans="1:9">
      <c r="A364" s="1" t="s">
        <v>376</v>
      </c>
      <c r="B364">
        <f>HYPERLINK("https://www.suredividend.com/sure-analysis-research-database/","Flanigan`s Enterprises, Inc.")</f>
        <v>0</v>
      </c>
      <c r="C364">
        <v>0.129083996862067</v>
      </c>
      <c r="D364">
        <v>0.135387357118447</v>
      </c>
      <c r="E364">
        <v>0.347004194468757</v>
      </c>
      <c r="F364">
        <v>0.185750975617891</v>
      </c>
      <c r="G364">
        <v>0.5063750810391651</v>
      </c>
      <c r="H364">
        <v>1.762624143236816</v>
      </c>
      <c r="I364">
        <v>0.6194866842205961</v>
      </c>
    </row>
    <row r="365" spans="1:9">
      <c r="A365" s="1" t="s">
        <v>377</v>
      </c>
      <c r="B365">
        <f>HYPERLINK("https://www.suredividend.com/sure-analysis-BDN/","Brandywine Realty Trust")</f>
        <v>0</v>
      </c>
      <c r="C365">
        <v>-0.039694633454534</v>
      </c>
      <c r="D365">
        <v>-0.098077835953607</v>
      </c>
      <c r="E365">
        <v>-0.07009021512838301</v>
      </c>
      <c r="F365">
        <v>-0.025044037680937</v>
      </c>
      <c r="G365">
        <v>0.007239783202120001</v>
      </c>
      <c r="H365">
        <v>0.361584700622499</v>
      </c>
      <c r="I365">
        <v>-0.036919352398244</v>
      </c>
    </row>
    <row r="366" spans="1:9">
      <c r="A366" s="1" t="s">
        <v>378</v>
      </c>
      <c r="B366">
        <f>HYPERLINK("https://www.suredividend.com/sure-analysis-research-database/","Biodelivery Sciences International")</f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379</v>
      </c>
      <c r="B367">
        <f>HYPERLINK("https://www.suredividend.com/sure-analysis-BDX/","Becton, Dickinson And Co.")</f>
        <v>0</v>
      </c>
      <c r="C367">
        <v>0.06744031991777301</v>
      </c>
      <c r="D367">
        <v>0.06349205727856701</v>
      </c>
      <c r="E367">
        <v>0.162231580460409</v>
      </c>
      <c r="F367">
        <v>0.110602393877951</v>
      </c>
      <c r="G367">
        <v>0.08134657261137901</v>
      </c>
      <c r="H367">
        <v>0.089535359368608</v>
      </c>
      <c r="I367">
        <v>0.6237121257850951</v>
      </c>
    </row>
    <row r="368" spans="1:9">
      <c r="A368" s="1" t="s">
        <v>380</v>
      </c>
      <c r="B368">
        <f>HYPERLINK("https://www.suredividend.com/sure-analysis-research-database/","Bloom Energy Corp")</f>
        <v>0</v>
      </c>
      <c r="C368">
        <v>0.004474272930648</v>
      </c>
      <c r="D368">
        <v>0.238279095421952</v>
      </c>
      <c r="E368">
        <v>0.062470421202082</v>
      </c>
      <c r="F368">
        <v>0.023711810305517</v>
      </c>
      <c r="G368">
        <v>-0.09219571370804601</v>
      </c>
      <c r="H368">
        <v>2.464506172839506</v>
      </c>
      <c r="I368">
        <v>-0.101999999999999</v>
      </c>
    </row>
    <row r="369" spans="1:9">
      <c r="A369" s="1" t="s">
        <v>381</v>
      </c>
      <c r="B369">
        <f>HYPERLINK("https://www.suredividend.com/sure-analysis-research-database/","HeartBeam Inc")</f>
        <v>0</v>
      </c>
      <c r="C369">
        <v>-0.047337278106508</v>
      </c>
      <c r="D369">
        <v>-0.4984423676012461</v>
      </c>
      <c r="E369">
        <v>-0.6567164179104471</v>
      </c>
      <c r="F369">
        <v>-0.477272727272727</v>
      </c>
      <c r="G369">
        <v>-0.6567164179104471</v>
      </c>
      <c r="H369">
        <v>-0.6567164179104471</v>
      </c>
      <c r="I369">
        <v>-0.6567164179104471</v>
      </c>
    </row>
    <row r="370" spans="1:9">
      <c r="A370" s="1" t="s">
        <v>382</v>
      </c>
      <c r="B370">
        <f>HYPERLINK("https://www.suredividend.com/sure-analysis-research-database/","Beacon Roofing Supply Inc")</f>
        <v>0</v>
      </c>
      <c r="C370">
        <v>-0.05974943784131</v>
      </c>
      <c r="D370">
        <v>0.05363570914326801</v>
      </c>
      <c r="E370">
        <v>0.112927756653992</v>
      </c>
      <c r="F370">
        <v>0.020749782040104</v>
      </c>
      <c r="G370">
        <v>0.030996829869672</v>
      </c>
      <c r="H370">
        <v>2.535024154589372</v>
      </c>
      <c r="I370">
        <v>0.204526748971193</v>
      </c>
    </row>
    <row r="371" spans="1:9">
      <c r="A371" s="1" t="s">
        <v>383</v>
      </c>
      <c r="B371">
        <f>HYPERLINK("https://www.suredividend.com/sure-analysis-research-database/","Bel Fuse Inc.")</f>
        <v>0</v>
      </c>
      <c r="C371">
        <v>0.156813202789349</v>
      </c>
      <c r="D371">
        <v>0.468969029506318</v>
      </c>
      <c r="E371">
        <v>0.714042711234911</v>
      </c>
      <c r="F371">
        <v>0.54834532181008</v>
      </c>
      <c r="G371">
        <v>0.466877292462605</v>
      </c>
      <c r="H371">
        <v>2.277275955120011</v>
      </c>
      <c r="I371">
        <v>0.206949217258495</v>
      </c>
    </row>
    <row r="372" spans="1:9">
      <c r="A372" s="1" t="s">
        <v>384</v>
      </c>
      <c r="B372">
        <f>HYPERLINK("https://www.suredividend.com/sure-analysis-research-database/","Bel Fuse Inc.")</f>
        <v>0</v>
      </c>
      <c r="C372">
        <v>-0.099134385648819</v>
      </c>
      <c r="D372">
        <v>0.184659759830468</v>
      </c>
      <c r="E372">
        <v>0.31490828310547</v>
      </c>
      <c r="F372">
        <v>0.256938534924935</v>
      </c>
      <c r="G372">
        <v>-0.126063922181691</v>
      </c>
      <c r="H372">
        <v>1.232792932724978</v>
      </c>
      <c r="I372">
        <v>-0.212363447793394</v>
      </c>
    </row>
    <row r="373" spans="1:9">
      <c r="A373" s="1" t="s">
        <v>385</v>
      </c>
      <c r="B373">
        <f>HYPERLINK("https://www.suredividend.com/sure-analysis-BEN/","Franklin Resources, Inc.")</f>
        <v>0</v>
      </c>
      <c r="C373">
        <v>-0.07325188194743901</v>
      </c>
      <c r="D373">
        <v>-0.267694052484312</v>
      </c>
      <c r="E373">
        <v>-0.133055766518389</v>
      </c>
      <c r="F373">
        <v>-0.228771614452162</v>
      </c>
      <c r="G373">
        <v>-0.117548600398259</v>
      </c>
      <c r="H373">
        <v>0.802455907854111</v>
      </c>
      <c r="I373">
        <v>-0.247321323442835</v>
      </c>
    </row>
    <row r="374" spans="1:9">
      <c r="A374" s="1" t="s">
        <v>386</v>
      </c>
      <c r="B374">
        <f>HYPERLINK("https://www.suredividend.com/sure-analysis-research-database/","Berry Global Group Inc")</f>
        <v>0</v>
      </c>
      <c r="C374">
        <v>-0.037168440614968</v>
      </c>
      <c r="D374">
        <v>-0.2144727773949</v>
      </c>
      <c r="E374">
        <v>-0.102802267002518</v>
      </c>
      <c r="F374">
        <v>-0.227568446733532</v>
      </c>
      <c r="G374">
        <v>-0.092515923566878</v>
      </c>
      <c r="H374">
        <v>0.6003931479921371</v>
      </c>
      <c r="I374">
        <v>0.163298632373953</v>
      </c>
    </row>
    <row r="375" spans="1:9">
      <c r="A375" s="1" t="s">
        <v>387</v>
      </c>
      <c r="B375">
        <f>HYPERLINK("https://www.suredividend.com/sure-analysis-research-database/","Bright Horizons Family Solutions, Inc.")</f>
        <v>0</v>
      </c>
      <c r="C375">
        <v>-0.015320541424959</v>
      </c>
      <c r="D375">
        <v>0.02294676659198</v>
      </c>
      <c r="E375">
        <v>-0.191795873519716</v>
      </c>
      <c r="F375">
        <v>0.051795360660946</v>
      </c>
      <c r="G375">
        <v>-0.207612663833862</v>
      </c>
      <c r="H375">
        <v>0.189363995688106</v>
      </c>
      <c r="I375">
        <v>0.8509716202991751</v>
      </c>
    </row>
    <row r="376" spans="1:9">
      <c r="A376" s="1" t="s">
        <v>388</v>
      </c>
      <c r="B376">
        <f>HYPERLINK("https://www.suredividend.com/sure-analysis-research-database/","Bankfinancial Corp")</f>
        <v>0</v>
      </c>
      <c r="C376">
        <v>-0.037892791127541</v>
      </c>
      <c r="D376">
        <v>-0.028908851761676</v>
      </c>
      <c r="E376">
        <v>-0.07324976853500401</v>
      </c>
      <c r="F376">
        <v>-0.01525829368195</v>
      </c>
      <c r="G376">
        <v>0.051440807215651</v>
      </c>
      <c r="H376">
        <v>0.6446277074742871</v>
      </c>
      <c r="I376">
        <v>-0.148215425401345</v>
      </c>
    </row>
    <row r="377" spans="1:9">
      <c r="A377" s="1" t="s">
        <v>389</v>
      </c>
      <c r="B377">
        <f>HYPERLINK("https://www.suredividend.com/sure-analysis-BFS/","Saul Centers, Inc.")</f>
        <v>0</v>
      </c>
      <c r="C377">
        <v>0.120202268497383</v>
      </c>
      <c r="D377">
        <v>0.033984395854147</v>
      </c>
      <c r="E377">
        <v>0.207348730758784</v>
      </c>
      <c r="F377">
        <v>0.044986646215271</v>
      </c>
      <c r="G377">
        <v>0.402894261663191</v>
      </c>
      <c r="H377">
        <v>1.059526115307637</v>
      </c>
      <c r="I377">
        <v>0.07833701859599401</v>
      </c>
    </row>
    <row r="378" spans="1:9">
      <c r="A378" s="1" t="s">
        <v>390</v>
      </c>
      <c r="B378">
        <f>HYPERLINK("https://www.suredividend.com/sure-analysis-research-database/","Business First Bancshares Inc.")</f>
        <v>0</v>
      </c>
      <c r="C378">
        <v>-0.117013086989992</v>
      </c>
      <c r="D378">
        <v>-0.202669354558409</v>
      </c>
      <c r="E378">
        <v>-0.08684160244570401</v>
      </c>
      <c r="F378">
        <v>-0.18605146255269</v>
      </c>
      <c r="G378">
        <v>-0.003838738253634</v>
      </c>
      <c r="H378">
        <v>1.049367054682544</v>
      </c>
      <c r="I378">
        <v>-0.022852639873916</v>
      </c>
    </row>
    <row r="379" spans="1:9">
      <c r="A379" s="1" t="s">
        <v>391</v>
      </c>
      <c r="B379">
        <f>HYPERLINK("https://www.suredividend.com/sure-analysis-research-database/","Bunge Ltd.")</f>
        <v>0</v>
      </c>
      <c r="C379">
        <v>0.191235825485296</v>
      </c>
      <c r="D379">
        <v>0.262373212758157</v>
      </c>
      <c r="E379">
        <v>0.4633956303544801</v>
      </c>
      <c r="F379">
        <v>0.334712981795746</v>
      </c>
      <c r="G379">
        <v>0.516916630771038</v>
      </c>
      <c r="H379">
        <v>2.465221985542007</v>
      </c>
      <c r="I379">
        <v>0.897057540711901</v>
      </c>
    </row>
    <row r="380" spans="1:9">
      <c r="A380" s="1" t="s">
        <v>392</v>
      </c>
      <c r="B380">
        <f>HYPERLINK("https://www.suredividend.com/sure-analysis-research-database/","BGC Partners Inc")</f>
        <v>0</v>
      </c>
      <c r="C380">
        <v>-0.127802690582959</v>
      </c>
      <c r="D380">
        <v>-0.10986018626576</v>
      </c>
      <c r="E380">
        <v>-0.29344667247893</v>
      </c>
      <c r="F380">
        <v>-0.161547580558249</v>
      </c>
      <c r="G380">
        <v>-0.337522777976464</v>
      </c>
      <c r="H380">
        <v>0.5945890551342491</v>
      </c>
      <c r="I380">
        <v>-0.265732945751066</v>
      </c>
    </row>
    <row r="381" spans="1:9">
      <c r="A381" s="1" t="s">
        <v>393</v>
      </c>
      <c r="B381">
        <f>HYPERLINK("https://www.suredividend.com/sure-analysis-research-database/","Big 5 Sporting Goods Corp")</f>
        <v>0</v>
      </c>
      <c r="C381">
        <v>-0.023200475907197</v>
      </c>
      <c r="D381">
        <v>-0.165489271302385</v>
      </c>
      <c r="E381">
        <v>-0.275288759031305</v>
      </c>
      <c r="F381">
        <v>-0.1229054158721</v>
      </c>
      <c r="G381">
        <v>0.107491417278754</v>
      </c>
      <c r="H381">
        <v>20.21172975067821</v>
      </c>
      <c r="I381">
        <v>0.560688147514494</v>
      </c>
    </row>
    <row r="382" spans="1:9">
      <c r="A382" s="1" t="s">
        <v>394</v>
      </c>
      <c r="B382">
        <f>HYPERLINK("https://www.suredividend.com/sure-analysis-BGS/","B&amp;G Foods, Inc")</f>
        <v>0</v>
      </c>
      <c r="C382">
        <v>0.05440033606385201</v>
      </c>
      <c r="D382">
        <v>-0.163262337410446</v>
      </c>
      <c r="E382">
        <v>-0.009911641517011001</v>
      </c>
      <c r="F382">
        <v>-0.08593411177360501</v>
      </c>
      <c r="G382">
        <v>-0.022450706519237</v>
      </c>
      <c r="H382">
        <v>0.5893574643963201</v>
      </c>
      <c r="I382">
        <v>-0.005589731030210001</v>
      </c>
    </row>
    <row r="383" spans="1:9">
      <c r="A383" s="1" t="s">
        <v>395</v>
      </c>
      <c r="B383">
        <f>HYPERLINK("https://www.suredividend.com/sure-analysis-research-database/","BGSF Inc")</f>
        <v>0</v>
      </c>
      <c r="C383">
        <v>-0.125183016105417</v>
      </c>
      <c r="D383">
        <v>-0.152362037168392</v>
      </c>
      <c r="E383">
        <v>0.004260754834317</v>
      </c>
      <c r="F383">
        <v>-0.158859427461304</v>
      </c>
      <c r="G383">
        <v>-0.07179419463582401</v>
      </c>
      <c r="H383">
        <v>0.433696056436035</v>
      </c>
      <c r="I383">
        <v>0.009435476377520001</v>
      </c>
    </row>
    <row r="384" spans="1:9">
      <c r="A384" s="1" t="s">
        <v>396</v>
      </c>
      <c r="B384">
        <f>HYPERLINK("https://www.suredividend.com/sure-analysis-research-database/","Biglari Holdings Inc.")</f>
        <v>0</v>
      </c>
      <c r="C384">
        <v>-0.120493418961022</v>
      </c>
      <c r="D384">
        <v>0.03789299917460701</v>
      </c>
      <c r="E384">
        <v>-0.173221757322175</v>
      </c>
      <c r="F384">
        <v>-0.029809917935049</v>
      </c>
      <c r="G384">
        <v>0.032161778971718</v>
      </c>
      <c r="H384">
        <v>1.404728789986091</v>
      </c>
      <c r="I384">
        <v>-0.582253631723596</v>
      </c>
    </row>
    <row r="385" spans="1:9">
      <c r="A385" s="1" t="s">
        <v>397</v>
      </c>
      <c r="B385">
        <f>HYPERLINK("https://www.suredividend.com/sure-analysis-research-database/","Bar Harbor Bankshares Inc")</f>
        <v>0</v>
      </c>
      <c r="C385">
        <v>-0.043850633778691</v>
      </c>
      <c r="D385">
        <v>-0.104303259617266</v>
      </c>
      <c r="E385">
        <v>-0.003950650768895001</v>
      </c>
      <c r="F385">
        <v>-0.027519355535578</v>
      </c>
      <c r="G385">
        <v>-0.07133207780713201</v>
      </c>
      <c r="H385">
        <v>1.180247318631701</v>
      </c>
      <c r="I385">
        <v>0.168902421148297</v>
      </c>
    </row>
    <row r="386" spans="1:9">
      <c r="A386" s="1" t="s">
        <v>398</v>
      </c>
      <c r="B386">
        <f>HYPERLINK("https://www.suredividend.com/sure-analysis-research-database/","Benchmark Electronics Inc.")</f>
        <v>0</v>
      </c>
      <c r="C386">
        <v>-0.100537446188056</v>
      </c>
      <c r="D386">
        <v>-0.128200730103922</v>
      </c>
      <c r="E386">
        <v>-0.090856065172165</v>
      </c>
      <c r="F386">
        <v>-0.131739417842049</v>
      </c>
      <c r="G386">
        <v>-0.214146703819354</v>
      </c>
      <c r="H386">
        <v>0.210959755529082</v>
      </c>
      <c r="I386">
        <v>-0.144564250981482</v>
      </c>
    </row>
    <row r="387" spans="1:9">
      <c r="A387" s="1" t="s">
        <v>399</v>
      </c>
      <c r="B387">
        <f>HYPERLINK("https://www.suredividend.com/sure-analysis-research-database/","Brighthouse Financial Inc")</f>
        <v>0</v>
      </c>
      <c r="C387">
        <v>0.058019801980198</v>
      </c>
      <c r="D387">
        <v>-0.08164317634926001</v>
      </c>
      <c r="E387">
        <v>0.08267477203647401</v>
      </c>
      <c r="F387">
        <v>0.031467181467181</v>
      </c>
      <c r="G387">
        <v>0.127215189873417</v>
      </c>
      <c r="H387">
        <v>1.539448669201521</v>
      </c>
      <c r="I387">
        <v>-0.134316267012313</v>
      </c>
    </row>
    <row r="388" spans="1:9">
      <c r="A388" s="1" t="s">
        <v>400</v>
      </c>
      <c r="B388">
        <f>HYPERLINK("https://www.suredividend.com/sure-analysis-research-database/","Berkshire Hills Bancorp Inc.")</f>
        <v>0</v>
      </c>
      <c r="C388">
        <v>-0.08089444261756</v>
      </c>
      <c r="D388">
        <v>-0.10327281360587</v>
      </c>
      <c r="E388">
        <v>0.042435906042771</v>
      </c>
      <c r="F388">
        <v>-0.013061486799035</v>
      </c>
      <c r="G388">
        <v>0.272594818558484</v>
      </c>
      <c r="H388">
        <v>1.158834615503444</v>
      </c>
      <c r="I388">
        <v>-0.042027405899328</v>
      </c>
    </row>
    <row r="389" spans="1:9">
      <c r="A389" s="1" t="s">
        <v>401</v>
      </c>
      <c r="B389">
        <f>HYPERLINK("https://www.suredividend.com/sure-analysis-research-database/","Braemar Hotels &amp; Resorts Inc")</f>
        <v>0</v>
      </c>
      <c r="C389">
        <v>0.00325470590209</v>
      </c>
      <c r="D389">
        <v>0.06382978723404201</v>
      </c>
      <c r="E389">
        <v>0.222328965926047</v>
      </c>
      <c r="F389">
        <v>0.17439120188531</v>
      </c>
      <c r="G389">
        <v>0.047102083698126</v>
      </c>
      <c r="H389">
        <v>1.697947214076246</v>
      </c>
      <c r="I389">
        <v>-0.409697544025902</v>
      </c>
    </row>
    <row r="390" spans="1:9">
      <c r="A390" s="1" t="s">
        <v>402</v>
      </c>
      <c r="B390">
        <f>HYPERLINK("https://www.suredividend.com/sure-analysis-research-database/","Biohaven Pharmaceutical Holding Company Ltd")</f>
        <v>0</v>
      </c>
      <c r="C390">
        <v>-0.09189189189189101</v>
      </c>
      <c r="D390">
        <v>-0.09241221249079101</v>
      </c>
      <c r="E390">
        <v>-0.170121996856522</v>
      </c>
      <c r="F390">
        <v>-0.195413975763732</v>
      </c>
      <c r="G390">
        <v>0.490322580645161</v>
      </c>
      <c r="H390">
        <v>2.296076099881094</v>
      </c>
      <c r="I390">
        <v>5.335999999999999</v>
      </c>
    </row>
    <row r="391" spans="1:9">
      <c r="A391" s="1" t="s">
        <v>403</v>
      </c>
      <c r="B391">
        <f>HYPERLINK("https://www.suredividend.com/sure-analysis-research-database/","Big Lots Inc")</f>
        <v>0</v>
      </c>
      <c r="C391">
        <v>0.000270709258256</v>
      </c>
      <c r="D391">
        <v>-0.141901008585634</v>
      </c>
      <c r="E391">
        <v>-0.192725572574954</v>
      </c>
      <c r="F391">
        <v>-0.173139451877611</v>
      </c>
      <c r="G391">
        <v>-0.446529010417836</v>
      </c>
      <c r="H391">
        <v>1.082734441494608</v>
      </c>
      <c r="I391">
        <v>-0.07430604268964801</v>
      </c>
    </row>
    <row r="392" spans="1:9">
      <c r="A392" s="1" t="s">
        <v>404</v>
      </c>
      <c r="B392">
        <f>HYPERLINK("https://www.suredividend.com/sure-analysis-research-database/","Biogen Inc")</f>
        <v>0</v>
      </c>
      <c r="C392">
        <v>0.042934249263984</v>
      </c>
      <c r="D392">
        <v>-0.111784371082323</v>
      </c>
      <c r="E392">
        <v>-0.244105409153952</v>
      </c>
      <c r="F392">
        <v>-0.114079693231076</v>
      </c>
      <c r="G392">
        <v>-0.213680588953423</v>
      </c>
      <c r="H392">
        <v>-0.371785777620145</v>
      </c>
      <c r="I392">
        <v>-0.21822127409151</v>
      </c>
    </row>
    <row r="393" spans="1:9">
      <c r="A393" s="1" t="s">
        <v>405</v>
      </c>
      <c r="B393">
        <f>HYPERLINK("https://www.suredividend.com/sure-analysis-research-database/","Bio-Rad Laboratories Inc.")</f>
        <v>0</v>
      </c>
      <c r="C393">
        <v>-0.025976795010749</v>
      </c>
      <c r="D393">
        <v>-0.127405568024449</v>
      </c>
      <c r="E393">
        <v>-0.240186838165992</v>
      </c>
      <c r="F393">
        <v>-0.274468282224016</v>
      </c>
      <c r="G393">
        <v>-0.124464958793841</v>
      </c>
      <c r="H393">
        <v>0.322405557967868</v>
      </c>
      <c r="I393">
        <v>1.704039855966063</v>
      </c>
    </row>
    <row r="394" spans="1:9">
      <c r="A394" s="1" t="s">
        <v>406</v>
      </c>
      <c r="B394">
        <f>HYPERLINK("https://www.suredividend.com/sure-analysis-research-database/","Biocept Inc")</f>
        <v>0</v>
      </c>
      <c r="C394">
        <v>-0.08499999999999901</v>
      </c>
      <c r="D394">
        <v>-0.445454545454545</v>
      </c>
      <c r="E394">
        <v>-0.5259067357512951</v>
      </c>
      <c r="F394">
        <v>-0.494475138121547</v>
      </c>
      <c r="G394">
        <v>-0.5802752293577981</v>
      </c>
      <c r="H394">
        <v>-0.564181948082876</v>
      </c>
      <c r="I394">
        <v>-0.9965921787709491</v>
      </c>
    </row>
    <row r="395" spans="1:9">
      <c r="A395" s="1" t="s">
        <v>407</v>
      </c>
      <c r="B395">
        <f>HYPERLINK("https://www.suredividend.com/sure-analysis-research-database/","Biolase Inc")</f>
        <v>0</v>
      </c>
      <c r="C395">
        <v>-0.09260355029585801</v>
      </c>
      <c r="D395">
        <v>-0.237633606761123</v>
      </c>
      <c r="E395">
        <v>-0.480609652836579</v>
      </c>
      <c r="F395">
        <v>-0.213589743589743</v>
      </c>
      <c r="G395">
        <v>-0.568028169014084</v>
      </c>
      <c r="H395">
        <v>-0.346751863684771</v>
      </c>
      <c r="I395">
        <v>-0.9542238805970141</v>
      </c>
    </row>
    <row r="396" spans="1:9">
      <c r="A396" s="1" t="s">
        <v>408</v>
      </c>
      <c r="B396">
        <f>HYPERLINK("https://www.suredividend.com/sure-analysis-research-database/","BioPlus Acquisition Corp")</f>
        <v>0</v>
      </c>
      <c r="C396">
        <v>0.003033367037411</v>
      </c>
      <c r="D396">
        <v>0.012244897959183</v>
      </c>
      <c r="E396">
        <v>0.012244897959183</v>
      </c>
      <c r="F396">
        <v>0.012244897959183</v>
      </c>
      <c r="G396">
        <v>0.012244897959183</v>
      </c>
      <c r="H396">
        <v>0.012244897959183</v>
      </c>
      <c r="I396">
        <v>0.012244897959183</v>
      </c>
    </row>
    <row r="397" spans="1:9">
      <c r="A397" s="1" t="s">
        <v>409</v>
      </c>
      <c r="B397">
        <f>HYPERLINK("https://www.suredividend.com/sure-analysis-research-database/","BJ`s Wholesale Club Holdings Inc")</f>
        <v>0</v>
      </c>
      <c r="C397">
        <v>0.053973717146433</v>
      </c>
      <c r="D397">
        <v>0.107512740424132</v>
      </c>
      <c r="E397">
        <v>0.167793378401802</v>
      </c>
      <c r="F397">
        <v>0.005972823652381</v>
      </c>
      <c r="G397">
        <v>0.490486725663716</v>
      </c>
      <c r="H397">
        <v>1.552860932171277</v>
      </c>
      <c r="I397">
        <v>2.062272727272727</v>
      </c>
    </row>
    <row r="398" spans="1:9">
      <c r="A398" s="1" t="s">
        <v>410</v>
      </c>
      <c r="B398">
        <f>HYPERLINK("https://www.suredividend.com/sure-analysis-research-database/","BJ`s Restaurant Inc.")</f>
        <v>0</v>
      </c>
      <c r="C398">
        <v>-0.012190749372534</v>
      </c>
      <c r="D398">
        <v>-0.146265881623799</v>
      </c>
      <c r="E398">
        <v>-0.264941302027748</v>
      </c>
      <c r="F398">
        <v>-0.202604920405209</v>
      </c>
      <c r="G398">
        <v>-0.530584426648492</v>
      </c>
      <c r="H398">
        <v>0.7186525265127881</v>
      </c>
      <c r="I398">
        <v>-0.316607794888077</v>
      </c>
    </row>
    <row r="399" spans="1:9">
      <c r="A399" s="1" t="s">
        <v>411</v>
      </c>
      <c r="B399">
        <f>HYPERLINK("https://www.suredividend.com/sure-analysis-BK/","Bank Of New York Mellon Corp")</f>
        <v>0</v>
      </c>
      <c r="C399">
        <v>-0.089000192641109</v>
      </c>
      <c r="D399">
        <v>-0.252089610071248</v>
      </c>
      <c r="E399">
        <v>-0.163038476514105</v>
      </c>
      <c r="F399">
        <v>-0.181007833160437</v>
      </c>
      <c r="G399">
        <v>0.052329410926957</v>
      </c>
      <c r="H399">
        <v>0.386966213045518</v>
      </c>
      <c r="I399">
        <v>0.151252525744333</v>
      </c>
    </row>
    <row r="400" spans="1:9">
      <c r="A400" s="1" t="s">
        <v>412</v>
      </c>
      <c r="B400">
        <f>HYPERLINK("https://www.suredividend.com/sure-analysis-research-database/","Brookdale Senior Living Inc")</f>
        <v>0</v>
      </c>
      <c r="C400">
        <v>0.101620029455081</v>
      </c>
      <c r="D400">
        <v>0.382624768946395</v>
      </c>
      <c r="E400">
        <v>0.133333333333333</v>
      </c>
      <c r="F400">
        <v>0.449612403100775</v>
      </c>
      <c r="G400">
        <v>0.101620029455081</v>
      </c>
      <c r="H400">
        <v>1.226190476190476</v>
      </c>
      <c r="I400">
        <v>-0.421500386697602</v>
      </c>
    </row>
    <row r="401" spans="1:9">
      <c r="A401" s="1" t="s">
        <v>413</v>
      </c>
      <c r="B401">
        <f>HYPERLINK("https://www.suredividend.com/sure-analysis-research-database/","Buckle, Inc.")</f>
        <v>0</v>
      </c>
      <c r="C401">
        <v>-0.133007344094712</v>
      </c>
      <c r="D401">
        <v>-0.09454105768748501</v>
      </c>
      <c r="E401">
        <v>-0.2175537600755</v>
      </c>
      <c r="F401">
        <v>-0.223374283413425</v>
      </c>
      <c r="G401">
        <v>-0.215472333933597</v>
      </c>
      <c r="H401">
        <v>1.427220720249743</v>
      </c>
      <c r="I401">
        <v>1.570694087403599</v>
      </c>
    </row>
    <row r="402" spans="1:9">
      <c r="A402" s="1" t="s">
        <v>414</v>
      </c>
      <c r="B402">
        <f>HYPERLINK("https://www.suredividend.com/sure-analysis-BKH/","Black Hills Corporation")</f>
        <v>0</v>
      </c>
      <c r="C402">
        <v>0.09877060631461301</v>
      </c>
      <c r="D402">
        <v>0.158667466120209</v>
      </c>
      <c r="E402">
        <v>0.240170485992301</v>
      </c>
      <c r="F402">
        <v>0.124517629834246</v>
      </c>
      <c r="G402">
        <v>0.15296545941239</v>
      </c>
      <c r="H402">
        <v>0.286181520850368</v>
      </c>
      <c r="I402">
        <v>0.371508886470801</v>
      </c>
    </row>
    <row r="403" spans="1:9">
      <c r="A403" s="1" t="s">
        <v>415</v>
      </c>
      <c r="B403">
        <f>HYPERLINK("https://www.suredividend.com/sure-analysis-research-database/","Black Knight Inc")</f>
        <v>0</v>
      </c>
      <c r="C403">
        <v>0.142591967600404</v>
      </c>
      <c r="D403">
        <v>-0.09478609625668401</v>
      </c>
      <c r="E403">
        <v>-0.047411367473269</v>
      </c>
      <c r="F403">
        <v>-0.183134274339486</v>
      </c>
      <c r="G403">
        <v>-0.08351380617217101</v>
      </c>
      <c r="H403">
        <v>0.03106441297396</v>
      </c>
      <c r="I403">
        <v>0.7678851174934721</v>
      </c>
    </row>
    <row r="404" spans="1:9">
      <c r="A404" s="1" t="s">
        <v>416</v>
      </c>
      <c r="B404">
        <f>HYPERLINK("https://www.suredividend.com/sure-analysis-research-database/","Booking Holdings Inc")</f>
        <v>0</v>
      </c>
      <c r="C404">
        <v>0.011282940738453</v>
      </c>
      <c r="D404">
        <v>-0.09125441155470301</v>
      </c>
      <c r="E404">
        <v>-0.122540715585776</v>
      </c>
      <c r="F404">
        <v>-0.07166465907812</v>
      </c>
      <c r="G404">
        <v>-0.100775162501514</v>
      </c>
      <c r="H404">
        <v>0.582556487139405</v>
      </c>
      <c r="I404">
        <v>0.280957228385583</v>
      </c>
    </row>
    <row r="405" spans="1:9">
      <c r="A405" s="1" t="s">
        <v>417</v>
      </c>
      <c r="B405">
        <f>HYPERLINK("https://www.suredividend.com/sure-analysis-research-database/","Bank Of South Carolina Corp.")</f>
        <v>0</v>
      </c>
      <c r="C405">
        <v>-0.024273247098712</v>
      </c>
      <c r="D405">
        <v>-0.123262443305937</v>
      </c>
      <c r="E405">
        <v>-0.107053776314476</v>
      </c>
      <c r="F405">
        <v>-0.118986095730281</v>
      </c>
      <c r="G405">
        <v>-0.145898643458013</v>
      </c>
      <c r="H405">
        <v>0.239766729924782</v>
      </c>
      <c r="I405">
        <v>0.128198663809403</v>
      </c>
    </row>
    <row r="406" spans="1:9">
      <c r="A406" s="1" t="s">
        <v>418</v>
      </c>
      <c r="B406">
        <f>HYPERLINK("https://www.suredividend.com/sure-analysis-research-database/","BK Technologies Corp")</f>
        <v>0</v>
      </c>
      <c r="C406">
        <v>-0.063067226890756</v>
      </c>
      <c r="D406">
        <v>-0.104457831325301</v>
      </c>
      <c r="E406">
        <v>-0.272961429363242</v>
      </c>
      <c r="F406">
        <v>-0.06487461209427101</v>
      </c>
      <c r="G406">
        <v>-0.4970112557237271</v>
      </c>
      <c r="H406">
        <v>0.029929333518082</v>
      </c>
      <c r="I406">
        <v>-0.424363673911921</v>
      </c>
    </row>
    <row r="407" spans="1:9">
      <c r="A407" s="1" t="s">
        <v>419</v>
      </c>
      <c r="B407">
        <f>HYPERLINK("https://www.suredividend.com/sure-analysis-research-database/","BankUnited Inc")</f>
        <v>0</v>
      </c>
      <c r="C407">
        <v>-0.02419397728823</v>
      </c>
      <c r="D407">
        <v>-0.08458876994327401</v>
      </c>
      <c r="E407">
        <v>0.015991024610095</v>
      </c>
      <c r="F407">
        <v>0.008307787146704</v>
      </c>
      <c r="G407">
        <v>-0.024687877008981</v>
      </c>
      <c r="H407">
        <v>1.575903702708971</v>
      </c>
      <c r="I407">
        <v>0.393981435602682</v>
      </c>
    </row>
    <row r="408" spans="1:9">
      <c r="A408" s="1" t="s">
        <v>420</v>
      </c>
      <c r="B408">
        <f>HYPERLINK("https://www.suredividend.com/sure-analysis-research-database/","BlackLine Inc")</f>
        <v>0</v>
      </c>
      <c r="C408">
        <v>-0.001291618828932</v>
      </c>
      <c r="D408">
        <v>-0.217738309352517</v>
      </c>
      <c r="E408">
        <v>-0.435832995541143</v>
      </c>
      <c r="F408">
        <v>-0.327892601892988</v>
      </c>
      <c r="G408">
        <v>-0.415652027878075</v>
      </c>
      <c r="H408">
        <v>0.202107445154603</v>
      </c>
      <c r="I408">
        <v>1.289144736842105</v>
      </c>
    </row>
    <row r="409" spans="1:9">
      <c r="A409" s="1" t="s">
        <v>421</v>
      </c>
      <c r="B409">
        <f>HYPERLINK("https://www.suredividend.com/sure-analysis-research-database/","Blue Bird Corp")</f>
        <v>0</v>
      </c>
      <c r="C409">
        <v>-0.12426614481409</v>
      </c>
      <c r="D409">
        <v>0.129337539432176</v>
      </c>
      <c r="E409">
        <v>-0.094587759231158</v>
      </c>
      <c r="F409">
        <v>0.144501278772378</v>
      </c>
      <c r="G409">
        <v>-0.318614389036924</v>
      </c>
      <c r="H409">
        <v>0.854922279792745</v>
      </c>
      <c r="I409">
        <v>0.014164305949008</v>
      </c>
    </row>
    <row r="410" spans="1:9">
      <c r="A410" s="1" t="s">
        <v>422</v>
      </c>
      <c r="B410">
        <f>HYPERLINK("https://www.suredividend.com/sure-analysis-research-database/","Bellicum Pharmaceuticals Inc")</f>
        <v>0</v>
      </c>
      <c r="C410">
        <v>0.160919540229885</v>
      </c>
      <c r="D410">
        <v>0.383561643835616</v>
      </c>
      <c r="E410">
        <v>-0.223076923076923</v>
      </c>
      <c r="F410">
        <v>0.355704697986577</v>
      </c>
      <c r="G410">
        <v>-0.36875</v>
      </c>
      <c r="H410">
        <v>-0.6901840490797541</v>
      </c>
      <c r="I410">
        <v>-0.9849141150112021</v>
      </c>
    </row>
    <row r="411" spans="1:9">
      <c r="A411" s="1" t="s">
        <v>423</v>
      </c>
      <c r="B411">
        <f>HYPERLINK("https://www.suredividend.com/sure-analysis-research-database/","TopBuild Corp")</f>
        <v>0</v>
      </c>
      <c r="C411">
        <v>-0.222419442927362</v>
      </c>
      <c r="D411">
        <v>-0.27211145194274</v>
      </c>
      <c r="E411">
        <v>-0.226152731225654</v>
      </c>
      <c r="F411">
        <v>-0.3807763401109051</v>
      </c>
      <c r="G411">
        <v>-0.2637679910368</v>
      </c>
      <c r="H411">
        <v>1.455446967519402</v>
      </c>
      <c r="I411">
        <v>2.715745976511527</v>
      </c>
    </row>
    <row r="412" spans="1:9">
      <c r="A412" s="1" t="s">
        <v>424</v>
      </c>
      <c r="B412">
        <f>HYPERLINK("https://www.suredividend.com/sure-analysis-research-database/","Builders Firstsource Inc")</f>
        <v>0</v>
      </c>
      <c r="C412">
        <v>-0.18745848279527</v>
      </c>
      <c r="D412">
        <v>-0.222674123029995</v>
      </c>
      <c r="E412">
        <v>0.07166637462765001</v>
      </c>
      <c r="F412">
        <v>-0.286430988216077</v>
      </c>
      <c r="G412">
        <v>0.227865890383456</v>
      </c>
      <c r="H412">
        <v>3.722779922779922</v>
      </c>
      <c r="I412">
        <v>3.138024357239513</v>
      </c>
    </row>
    <row r="413" spans="1:9">
      <c r="A413" s="1" t="s">
        <v>425</v>
      </c>
      <c r="B413">
        <f>HYPERLINK("https://www.suredividend.com/sure-analysis-research-database/","Biolife Solutions Inc")</f>
        <v>0</v>
      </c>
      <c r="C413">
        <v>-0.212093023255813</v>
      </c>
      <c r="D413">
        <v>-0.45071335927367</v>
      </c>
      <c r="E413">
        <v>-0.5861226484241381</v>
      </c>
      <c r="F413">
        <v>-0.5454789374832301</v>
      </c>
      <c r="G413">
        <v>-0.504243488440152</v>
      </c>
      <c r="H413">
        <v>0.6414728682170541</v>
      </c>
      <c r="I413">
        <v>7.303921568627452</v>
      </c>
    </row>
    <row r="414" spans="1:9">
      <c r="A414" s="1" t="s">
        <v>426</v>
      </c>
      <c r="B414">
        <f>HYPERLINK("https://www.suredividend.com/sure-analysis-BLK/","Blackrock Inc.")</f>
        <v>0</v>
      </c>
      <c r="C414">
        <v>-0.058732612055641</v>
      </c>
      <c r="D414">
        <v>-0.183652407244955</v>
      </c>
      <c r="E414">
        <v>-0.232912583557597</v>
      </c>
      <c r="F414">
        <v>-0.243356402696636</v>
      </c>
      <c r="G414">
        <v>-0.134570692132172</v>
      </c>
      <c r="H414">
        <v>0.5665466475419141</v>
      </c>
      <c r="I414">
        <v>1.039094119170424</v>
      </c>
    </row>
    <row r="415" spans="1:9">
      <c r="A415" s="1" t="s">
        <v>427</v>
      </c>
      <c r="B415">
        <f>HYPERLINK("https://www.suredividend.com/sure-analysis-research-database/","Blackbaud Inc")</f>
        <v>0</v>
      </c>
      <c r="C415">
        <v>-0.09162011173184301</v>
      </c>
      <c r="D415">
        <v>-0.209802832546514</v>
      </c>
      <c r="E415">
        <v>-0.24140229272194</v>
      </c>
      <c r="F415">
        <v>-0.279437832362623</v>
      </c>
      <c r="G415">
        <v>-0.206829268292683</v>
      </c>
      <c r="H415">
        <v>0.164041726324401</v>
      </c>
      <c r="I415">
        <v>-0.248413228772395</v>
      </c>
    </row>
    <row r="416" spans="1:9">
      <c r="A416" s="1" t="s">
        <v>428</v>
      </c>
      <c r="B416">
        <f>HYPERLINK("https://www.suredividend.com/sure-analysis-research-database/","Ball Corp.")</f>
        <v>0</v>
      </c>
      <c r="C416">
        <v>-0.035951327433628</v>
      </c>
      <c r="D416">
        <v>-0.035851073009804</v>
      </c>
      <c r="E416">
        <v>-0.041326895978192</v>
      </c>
      <c r="F416">
        <v>-0.09273658338026601</v>
      </c>
      <c r="G416">
        <v>-0.034505221315997</v>
      </c>
      <c r="H416">
        <v>0.305504540429446</v>
      </c>
      <c r="I416">
        <v>1.532142078884288</v>
      </c>
    </row>
    <row r="417" spans="1:9">
      <c r="A417" s="1" t="s">
        <v>429</v>
      </c>
      <c r="B417">
        <f>HYPERLINK("https://www.suredividend.com/sure-analysis-research-database/","Bloomin Brands Inc")</f>
        <v>0</v>
      </c>
      <c r="C417">
        <v>-0.037269869779972</v>
      </c>
      <c r="D417">
        <v>0.021443646706273</v>
      </c>
      <c r="E417">
        <v>-0.080873684436156</v>
      </c>
      <c r="F417">
        <v>0.027769921431207</v>
      </c>
      <c r="G417">
        <v>-0.234280244858891</v>
      </c>
      <c r="H417">
        <v>1.588559148093594</v>
      </c>
      <c r="I417">
        <v>0.171162313045568</v>
      </c>
    </row>
    <row r="418" spans="1:9">
      <c r="A418" s="1" t="s">
        <v>430</v>
      </c>
      <c r="B418">
        <f>HYPERLINK("https://www.suredividend.com/sure-analysis-research-database/","Bluebird bio Inc")</f>
        <v>0</v>
      </c>
      <c r="C418">
        <v>-0.034042553191489</v>
      </c>
      <c r="D418">
        <v>-0.4799541809851081</v>
      </c>
      <c r="E418">
        <v>-0.6679684643175801</v>
      </c>
      <c r="F418">
        <v>-0.545545545545545</v>
      </c>
      <c r="G418">
        <v>-0.75461581701042</v>
      </c>
      <c r="H418">
        <v>-0.8679702904071981</v>
      </c>
      <c r="I418">
        <v>-0.9194955527499181</v>
      </c>
    </row>
    <row r="419" spans="1:9">
      <c r="A419" s="1" t="s">
        <v>431</v>
      </c>
      <c r="B419">
        <f>HYPERLINK("https://www.suredividend.com/sure-analysis-research-database/","BMC Stock Holdings Inc")</f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432</v>
      </c>
      <c r="B420">
        <f>HYPERLINK("https://www.suredividend.com/sure-analysis-BMI/","Badger Meter Inc.")</f>
        <v>0</v>
      </c>
      <c r="C420">
        <v>-0.031388745482705</v>
      </c>
      <c r="D420">
        <v>-0.011014729881882</v>
      </c>
      <c r="E420">
        <v>-0.09142241158051401</v>
      </c>
      <c r="F420">
        <v>-0.117838728393819</v>
      </c>
      <c r="G420">
        <v>-0.013755487897189</v>
      </c>
      <c r="H420">
        <v>0.6790734220987611</v>
      </c>
      <c r="I420">
        <v>1.792072312321607</v>
      </c>
    </row>
    <row r="421" spans="1:9">
      <c r="A421" s="1" t="s">
        <v>433</v>
      </c>
      <c r="B421">
        <f>HYPERLINK("https://www.suredividend.com/sure-analysis-research-database/","Bank of Marin Bancorp")</f>
        <v>0</v>
      </c>
      <c r="C421">
        <v>-0.09111552653988</v>
      </c>
      <c r="D421">
        <v>-0.18550908226053</v>
      </c>
      <c r="E421">
        <v>-0.141363895987578</v>
      </c>
      <c r="F421">
        <v>-0.134316171958008</v>
      </c>
      <c r="G421">
        <v>-0.15834960821989</v>
      </c>
      <c r="H421">
        <v>0.171979371406192</v>
      </c>
      <c r="I421">
        <v>0.12021494692798</v>
      </c>
    </row>
    <row r="422" spans="1:9">
      <c r="A422" s="1" t="s">
        <v>434</v>
      </c>
      <c r="B422">
        <f>HYPERLINK("https://www.suredividend.com/sure-analysis-research-database/","Biomarin Pharmaceutical Inc.")</f>
        <v>0</v>
      </c>
      <c r="C422">
        <v>0.027626362735381</v>
      </c>
      <c r="D422">
        <v>-0.080580802482819</v>
      </c>
      <c r="E422">
        <v>0.09302938463565601</v>
      </c>
      <c r="F422">
        <v>-0.06112054329371801</v>
      </c>
      <c r="G422">
        <v>0.04471032745591901</v>
      </c>
      <c r="H422">
        <v>-0.026636939685519</v>
      </c>
      <c r="I422">
        <v>-0.07741074407741001</v>
      </c>
    </row>
    <row r="423" spans="1:9">
      <c r="A423" s="1" t="s">
        <v>435</v>
      </c>
      <c r="B423">
        <f>HYPERLINK("https://www.suredividend.com/sure-analysis-research-database/","Bryn Mawr Bank Corp.")</f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436</v>
      </c>
      <c r="B424">
        <f>HYPERLINK("https://www.suredividend.com/sure-analysis-BMY/","Bristol-Myers Squibb Co.")</f>
        <v>0</v>
      </c>
      <c r="C424">
        <v>0.120901464503823</v>
      </c>
      <c r="D424">
        <v>0.202555605203058</v>
      </c>
      <c r="E424">
        <v>0.349661844497224</v>
      </c>
      <c r="F424">
        <v>0.263291370306866</v>
      </c>
      <c r="G424">
        <v>0.222038633511386</v>
      </c>
      <c r="H424">
        <v>0.385116299017855</v>
      </c>
      <c r="I424">
        <v>0.682279096417967</v>
      </c>
    </row>
    <row r="425" spans="1:9">
      <c r="A425" s="1" t="s">
        <v>437</v>
      </c>
      <c r="B425">
        <f>HYPERLINK("https://www.suredividend.com/sure-analysis-research-database/","Barnes &amp; Noble Education Inc")</f>
        <v>0</v>
      </c>
      <c r="C425">
        <v>-0.129807692307692</v>
      </c>
      <c r="D425">
        <v>-0.411382113821138</v>
      </c>
      <c r="E425">
        <v>-0.6571969696969691</v>
      </c>
      <c r="F425">
        <v>-0.468428781204111</v>
      </c>
      <c r="G425">
        <v>-0.490140845070422</v>
      </c>
      <c r="H425">
        <v>0.800995024875622</v>
      </c>
      <c r="I425">
        <v>-0.6237006237006231</v>
      </c>
    </row>
    <row r="426" spans="1:9">
      <c r="A426" s="1" t="s">
        <v>438</v>
      </c>
      <c r="B426">
        <f>HYPERLINK("https://www.suredividend.com/sure-analysis-research-database/","Benefitfocus Inc")</f>
        <v>0</v>
      </c>
      <c r="C426">
        <v>0.21812749003984</v>
      </c>
      <c r="D426">
        <v>0.151600753295668</v>
      </c>
      <c r="E426">
        <v>0.107789855072463</v>
      </c>
      <c r="F426">
        <v>0.147279549718574</v>
      </c>
      <c r="G426">
        <v>-0.130774697938877</v>
      </c>
      <c r="H426">
        <v>0.264736297828335</v>
      </c>
      <c r="I426">
        <v>-0.5576853526220611</v>
      </c>
    </row>
    <row r="427" spans="1:9">
      <c r="A427" s="1" t="s">
        <v>439</v>
      </c>
      <c r="B427">
        <f>HYPERLINK("https://www.suredividend.com/sure-analysis-research-database/","Bank of Commerce Holdings")</f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440</v>
      </c>
      <c r="B428">
        <f>HYPERLINK("https://www.suredividend.com/sure-analysis-research-database/","Bank of Hawaii Corp.")</f>
        <v>0</v>
      </c>
      <c r="C428">
        <v>-0.08554160855416</v>
      </c>
      <c r="D428">
        <v>-0.136478725307385</v>
      </c>
      <c r="E428">
        <v>-0.038336963403514</v>
      </c>
      <c r="F428">
        <v>-0.05276603634113401</v>
      </c>
      <c r="G428">
        <v>-0.1137024662682</v>
      </c>
      <c r="H428">
        <v>0.5499966509985931</v>
      </c>
      <c r="I428">
        <v>0.177063713734753</v>
      </c>
    </row>
    <row r="429" spans="1:9">
      <c r="A429" s="1" t="s">
        <v>441</v>
      </c>
      <c r="B429">
        <f>HYPERLINK("https://www.suredividend.com/sure-analysis-research-database/","BOK Financial Corp.")</f>
        <v>0</v>
      </c>
      <c r="C429">
        <v>-0.142801857585139</v>
      </c>
      <c r="D429">
        <v>-0.2343442409033</v>
      </c>
      <c r="E429">
        <v>-0.054725625044009</v>
      </c>
      <c r="F429">
        <v>-0.155811797482489</v>
      </c>
      <c r="G429">
        <v>-0.009232255640443001</v>
      </c>
      <c r="H429">
        <v>1.162288804664296</v>
      </c>
      <c r="I429">
        <v>0.338119956563961</v>
      </c>
    </row>
    <row r="430" spans="1:9">
      <c r="A430" s="1" t="s">
        <v>442</v>
      </c>
      <c r="B430">
        <f>HYPERLINK("https://www.suredividend.com/sure-analysis-research-database/","Boston Omaha Corp")</f>
        <v>0</v>
      </c>
      <c r="C430">
        <v>0.010196078431372</v>
      </c>
      <c r="D430">
        <v>-0.150955833882663</v>
      </c>
      <c r="E430">
        <v>-0.181182453909726</v>
      </c>
      <c r="F430">
        <v>-0.103376261747302</v>
      </c>
      <c r="G430">
        <v>-0.451681566624095</v>
      </c>
      <c r="H430">
        <v>0.259657701711491</v>
      </c>
      <c r="I430">
        <v>0.9515151515151511</v>
      </c>
    </row>
    <row r="431" spans="1:9">
      <c r="A431" s="1" t="s">
        <v>443</v>
      </c>
      <c r="B431">
        <f>HYPERLINK("https://www.suredividend.com/sure-analysis-research-database/","DMC Global Inc")</f>
        <v>0</v>
      </c>
      <c r="C431">
        <v>-0.147836538461538</v>
      </c>
      <c r="D431">
        <v>-0.391155002146844</v>
      </c>
      <c r="E431">
        <v>-0.317448856799037</v>
      </c>
      <c r="F431">
        <v>-0.284019187073971</v>
      </c>
      <c r="G431">
        <v>-0.493842584329823</v>
      </c>
      <c r="H431">
        <v>0.06416510318949301</v>
      </c>
      <c r="I431">
        <v>1.308299623151366</v>
      </c>
    </row>
    <row r="432" spans="1:9">
      <c r="A432" s="1" t="s">
        <v>444</v>
      </c>
      <c r="B432">
        <f>HYPERLINK("https://www.suredividend.com/sure-analysis-research-database/","Boot Barn Holdings Inc")</f>
        <v>0</v>
      </c>
      <c r="C432">
        <v>-0.001373626373626</v>
      </c>
      <c r="D432">
        <v>-0.130782672675434</v>
      </c>
      <c r="E432">
        <v>-0.020418739635157</v>
      </c>
      <c r="F432">
        <v>-0.231938236489231</v>
      </c>
      <c r="G432">
        <v>0.388627681457537</v>
      </c>
      <c r="H432">
        <v>5.863471314451707</v>
      </c>
      <c r="I432">
        <v>8.220487804878049</v>
      </c>
    </row>
    <row r="433" spans="1:9">
      <c r="A433" s="1" t="s">
        <v>445</v>
      </c>
      <c r="B433">
        <f>HYPERLINK("https://www.suredividend.com/sure-analysis-research-database/","Bank of James Financial Group Inc")</f>
        <v>0</v>
      </c>
      <c r="C433">
        <v>0.006081081081080001</v>
      </c>
      <c r="D433">
        <v>-0.04785655821567401</v>
      </c>
      <c r="E433">
        <v>0.023381764697796</v>
      </c>
      <c r="F433">
        <v>-0.03245719484063801</v>
      </c>
      <c r="G433">
        <v>0.115472783662706</v>
      </c>
      <c r="H433">
        <v>0.8872946663962681</v>
      </c>
      <c r="I433">
        <v>0.212570339666278</v>
      </c>
    </row>
    <row r="434" spans="1:9">
      <c r="A434" s="1" t="s">
        <v>446</v>
      </c>
      <c r="B434">
        <f>HYPERLINK("https://www.suredividend.com/sure-analysis-research-database/","Box Inc")</f>
        <v>0</v>
      </c>
      <c r="C434">
        <v>0.179938744257274</v>
      </c>
      <c r="D434">
        <v>0.192263056092843</v>
      </c>
      <c r="E434">
        <v>0.167424242424242</v>
      </c>
      <c r="F434">
        <v>0.176785032455135</v>
      </c>
      <c r="G434">
        <v>0.430162412993039</v>
      </c>
      <c r="H434">
        <v>1.001298701298701</v>
      </c>
      <c r="I434">
        <v>0.8150765606595991</v>
      </c>
    </row>
    <row r="435" spans="1:9">
      <c r="A435" s="1" t="s">
        <v>447</v>
      </c>
      <c r="B435">
        <f>HYPERLINK("https://www.suredividend.com/sure-analysis-research-database/","Boston Private Financial Holdings Inc")</f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448</v>
      </c>
      <c r="B436">
        <f>HYPERLINK("https://www.suredividend.com/sure-analysis-research-database/","Blueprint Medicines Corp")</f>
        <v>0</v>
      </c>
      <c r="C436">
        <v>0.12615894039735</v>
      </c>
      <c r="D436">
        <v>-0.127948717948717</v>
      </c>
      <c r="E436">
        <v>-0.320818771842236</v>
      </c>
      <c r="F436">
        <v>-0.364951918588367</v>
      </c>
      <c r="G436">
        <v>-0.285504201680672</v>
      </c>
      <c r="H436">
        <v>0.002210107558567</v>
      </c>
      <c r="I436">
        <v>0.4919938583022591</v>
      </c>
    </row>
    <row r="437" spans="1:9">
      <c r="A437" s="1" t="s">
        <v>449</v>
      </c>
      <c r="B437">
        <f>HYPERLINK("https://www.suredividend.com/sure-analysis-research-database/","Popular Inc.")</f>
        <v>0</v>
      </c>
      <c r="C437">
        <v>-0.03751786565030901</v>
      </c>
      <c r="D437">
        <v>-0.173661891609718</v>
      </c>
      <c r="E437">
        <v>0.033395781249001</v>
      </c>
      <c r="F437">
        <v>-0.008273996676656001</v>
      </c>
      <c r="G437">
        <v>0.137313626089673</v>
      </c>
      <c r="H437">
        <v>1.664279661994863</v>
      </c>
      <c r="I437">
        <v>1.399111725988842</v>
      </c>
    </row>
    <row r="438" spans="1:9">
      <c r="A438" s="1" t="s">
        <v>450</v>
      </c>
      <c r="B438">
        <f>HYPERLINK("https://www.suredividend.com/sure-analysis-research-database/","Bank of Princeton")</f>
        <v>0</v>
      </c>
      <c r="C438">
        <v>0.003448275862069</v>
      </c>
      <c r="D438">
        <v>-0.034998706699297</v>
      </c>
      <c r="E438">
        <v>-0.006697114301513001</v>
      </c>
      <c r="F438">
        <v>0.000206228088265</v>
      </c>
      <c r="G438">
        <v>0.123634552341677</v>
      </c>
      <c r="H438">
        <v>0.6194557293115921</v>
      </c>
      <c r="I438">
        <v>-0.074645280690931</v>
      </c>
    </row>
    <row r="439" spans="1:9">
      <c r="A439" s="1" t="s">
        <v>451</v>
      </c>
      <c r="B439">
        <f>HYPERLINK("https://www.suredividend.com/sure-analysis-research-database/","Bio-Path Holdings Inc")</f>
        <v>0</v>
      </c>
      <c r="C439">
        <v>-0.03514376996805101</v>
      </c>
      <c r="D439">
        <v>-0.234376980605906</v>
      </c>
      <c r="E439">
        <v>-0.415860735009671</v>
      </c>
      <c r="F439">
        <v>-0.19893899204244</v>
      </c>
      <c r="G439">
        <v>-0.458781362007168</v>
      </c>
      <c r="H439">
        <v>-0.428030303030303</v>
      </c>
      <c r="I439">
        <v>-0.9762690554769761</v>
      </c>
    </row>
    <row r="440" spans="1:9">
      <c r="A440" s="1" t="s">
        <v>452</v>
      </c>
      <c r="B440">
        <f>HYPERLINK("https://www.suredividend.com/sure-analysis-BR/","Broadridge Financial Solutions, Inc.")</f>
        <v>0</v>
      </c>
      <c r="C440">
        <v>0.017497348886532</v>
      </c>
      <c r="D440">
        <v>-0.036595804497726</v>
      </c>
      <c r="E440">
        <v>-0.139965177328962</v>
      </c>
      <c r="F440">
        <v>-0.156533568337702</v>
      </c>
      <c r="G440">
        <v>-0.007075685254892001</v>
      </c>
      <c r="H440">
        <v>0.480632760253613</v>
      </c>
      <c r="I440">
        <v>1.488015324826023</v>
      </c>
    </row>
    <row r="441" spans="1:9">
      <c r="A441" s="1" t="s">
        <v>453</v>
      </c>
      <c r="B441">
        <f>HYPERLINK("https://www.suredividend.com/sure-analysis-BRC/","Brady Corp.")</f>
        <v>0</v>
      </c>
      <c r="C441">
        <v>-0.006941681036388</v>
      </c>
      <c r="D441">
        <v>-0.161195389935838</v>
      </c>
      <c r="E441">
        <v>-0.107286584457008</v>
      </c>
      <c r="F441">
        <v>-0.158960571127932</v>
      </c>
      <c r="G441">
        <v>-0.172593161552474</v>
      </c>
      <c r="H441">
        <v>0.111721584524993</v>
      </c>
      <c r="I441">
        <v>0.324354922402</v>
      </c>
    </row>
    <row r="442" spans="1:9">
      <c r="A442" s="1" t="s">
        <v>454</v>
      </c>
      <c r="B442">
        <f>HYPERLINK("https://www.suredividend.com/sure-analysis-research-database/","Bluerock Residential Growth REIT Inc")</f>
        <v>0</v>
      </c>
      <c r="C442">
        <v>0.007249460469923001</v>
      </c>
      <c r="D442">
        <v>0.005351000610567</v>
      </c>
      <c r="E442">
        <v>0.9072765730894861</v>
      </c>
      <c r="F442">
        <v>0.010686359355997</v>
      </c>
      <c r="G442">
        <v>1.972339638296202</v>
      </c>
      <c r="H442">
        <v>3.971215331820653</v>
      </c>
      <c r="I442">
        <v>1.98059409502822</v>
      </c>
    </row>
    <row r="443" spans="1:9">
      <c r="A443" s="1" t="s">
        <v>455</v>
      </c>
      <c r="B443">
        <f>HYPERLINK("https://www.suredividend.com/sure-analysis-research-database/","Bridgford Foods Corporation")</f>
        <v>0</v>
      </c>
      <c r="C443">
        <v>-0.017632311977715</v>
      </c>
      <c r="D443">
        <v>-0.163628458498023</v>
      </c>
      <c r="E443">
        <v>-0.177925407925407</v>
      </c>
      <c r="F443">
        <v>-0.126333608587943</v>
      </c>
      <c r="G443">
        <v>-0.293246492985971</v>
      </c>
      <c r="H443">
        <v>-0.4460680628272251</v>
      </c>
      <c r="I443">
        <v>-0.07192105263157901</v>
      </c>
    </row>
    <row r="444" spans="1:9">
      <c r="A444" s="1" t="s">
        <v>456</v>
      </c>
      <c r="B444">
        <f>HYPERLINK("https://www.suredividend.com/sure-analysis-research-database/","Brookline Bancorp, Inc.")</f>
        <v>0</v>
      </c>
      <c r="C444">
        <v>-0.120833333333333</v>
      </c>
      <c r="D444">
        <v>-0.157064507108166</v>
      </c>
      <c r="E444">
        <v>-0.02978309707424</v>
      </c>
      <c r="F444">
        <v>-0.081050476895605</v>
      </c>
      <c r="G444">
        <v>-0.022954289872329</v>
      </c>
      <c r="H444">
        <v>0.5591352446902841</v>
      </c>
      <c r="I444">
        <v>0.182016069656519</v>
      </c>
    </row>
    <row r="445" spans="1:9">
      <c r="A445" s="1" t="s">
        <v>457</v>
      </c>
      <c r="B445">
        <f>HYPERLINK("https://www.suredividend.com/sure-analysis-research-database/","Bruker Corp")</f>
        <v>0</v>
      </c>
      <c r="C445">
        <v>-0.062603710966963</v>
      </c>
      <c r="D445">
        <v>-0.120705586363719</v>
      </c>
      <c r="E445">
        <v>-0.194440159245205</v>
      </c>
      <c r="F445">
        <v>-0.25892445060351</v>
      </c>
      <c r="G445">
        <v>-0.07942377320699401</v>
      </c>
      <c r="H445">
        <v>0.721777969886895</v>
      </c>
      <c r="I445">
        <v>1.889923403542876</v>
      </c>
    </row>
    <row r="446" spans="1:9">
      <c r="A446" s="1" t="s">
        <v>458</v>
      </c>
      <c r="B446">
        <f>HYPERLINK("https://www.suredividend.com/sure-analysis-research-database/","Barnwell Industries Inc.")</f>
        <v>0</v>
      </c>
      <c r="C446">
        <v>0.022900763358778</v>
      </c>
      <c r="D446">
        <v>-0.05300353356890401</v>
      </c>
      <c r="E446">
        <v>-0.112582781456953</v>
      </c>
      <c r="F446">
        <v>-0.07903780068728501</v>
      </c>
      <c r="G446">
        <v>0.229357798165137</v>
      </c>
      <c r="H446">
        <v>3.984191928584713</v>
      </c>
      <c r="I446">
        <v>0.480662983425414</v>
      </c>
    </row>
    <row r="447" spans="1:9">
      <c r="A447" s="1" t="s">
        <v>459</v>
      </c>
      <c r="B447">
        <f>HYPERLINK("https://www.suredividend.com/sure-analysis-BRO/","Brown &amp; Brown, Inc.")</f>
        <v>0</v>
      </c>
      <c r="C447">
        <v>0.065490430622009</v>
      </c>
      <c r="D447">
        <v>0.06439070876232801</v>
      </c>
      <c r="E447">
        <v>0.111409178249694</v>
      </c>
      <c r="F447">
        <v>0.015472923097092</v>
      </c>
      <c r="G447">
        <v>0.447641335990525</v>
      </c>
      <c r="H447">
        <v>0.931447962574469</v>
      </c>
      <c r="I447">
        <v>2.615148517362961</v>
      </c>
    </row>
    <row r="448" spans="1:9">
      <c r="A448" s="1" t="s">
        <v>460</v>
      </c>
      <c r="B448">
        <f>HYPERLINK("https://www.suredividend.com/sure-analysis-research-database/","BRT Apartments Corp")</f>
        <v>0</v>
      </c>
      <c r="C448">
        <v>0.004205572927765001</v>
      </c>
      <c r="D448">
        <v>0.089649509445359</v>
      </c>
      <c r="E448">
        <v>0.185020195125456</v>
      </c>
      <c r="F448">
        <v>-0.028443995624</v>
      </c>
      <c r="G448">
        <v>0.365464222353636</v>
      </c>
      <c r="H448">
        <v>1.964322853144698</v>
      </c>
      <c r="I448">
        <v>2.850836376978369</v>
      </c>
    </row>
    <row r="449" spans="1:9">
      <c r="A449" s="1" t="s">
        <v>461</v>
      </c>
      <c r="B449">
        <f>HYPERLINK("https://www.suredividend.com/sure-analysis-BRX/","Brixmor Property Group Inc")</f>
        <v>0</v>
      </c>
      <c r="C449">
        <v>0.05264009907200901</v>
      </c>
      <c r="D449">
        <v>-0.010070562444337</v>
      </c>
      <c r="E449">
        <v>0.13891126913511</v>
      </c>
      <c r="F449">
        <v>0.042990789120174</v>
      </c>
      <c r="G449">
        <v>0.271285851140784</v>
      </c>
      <c r="H449">
        <v>2.098346595511507</v>
      </c>
      <c r="I449">
        <v>0.5710601182674241</v>
      </c>
    </row>
    <row r="450" spans="1:9">
      <c r="A450" s="1" t="s">
        <v>462</v>
      </c>
      <c r="B450">
        <f>HYPERLINK("https://www.suredividend.com/sure-analysis-research-database/","Berry Corp")</f>
        <v>0</v>
      </c>
      <c r="C450">
        <v>0.269957983193277</v>
      </c>
      <c r="D450">
        <v>0.280394814877573</v>
      </c>
      <c r="E450">
        <v>0.481436098517338</v>
      </c>
      <c r="F450">
        <v>0.4446170390727681</v>
      </c>
      <c r="G450">
        <v>1.056472189147814</v>
      </c>
      <c r="H450">
        <v>4.717393360446421</v>
      </c>
      <c r="I450">
        <v>0.046454259821869</v>
      </c>
    </row>
    <row r="451" spans="1:9">
      <c r="A451" s="1" t="s">
        <v>463</v>
      </c>
      <c r="B451">
        <f>HYPERLINK("https://www.suredividend.com/sure-analysis-research-database/","Bassett Furniture Industries Inc.")</f>
        <v>0</v>
      </c>
      <c r="C451">
        <v>-0.041565114287596</v>
      </c>
      <c r="D451">
        <v>0.230929753814049</v>
      </c>
      <c r="E451">
        <v>0.07650192364604901</v>
      </c>
      <c r="F451">
        <v>0.13256747728054</v>
      </c>
      <c r="G451">
        <v>-0.250283398028236</v>
      </c>
      <c r="H451">
        <v>2.855240786946057</v>
      </c>
      <c r="I451">
        <v>-0.203804955014524</v>
      </c>
    </row>
    <row r="452" spans="1:9">
      <c r="A452" s="1" t="s">
        <v>464</v>
      </c>
      <c r="B452">
        <f>HYPERLINK("https://www.suredividend.com/sure-analysis-research-database/","Biosig Technologies Inc")</f>
        <v>0</v>
      </c>
      <c r="C452">
        <v>-0.06422018348623801</v>
      </c>
      <c r="D452">
        <v>-0.507246376811594</v>
      </c>
      <c r="E452">
        <v>-0.6015625</v>
      </c>
      <c r="F452">
        <v>-0.542600896860986</v>
      </c>
      <c r="G452">
        <v>-0.737113402061855</v>
      </c>
      <c r="H452">
        <v>-0.8003913894324851</v>
      </c>
      <c r="I452">
        <v>-0.8470764617691151</v>
      </c>
    </row>
    <row r="453" spans="1:9">
      <c r="A453" s="1" t="s">
        <v>465</v>
      </c>
      <c r="B453">
        <f>HYPERLINK("https://www.suredividend.com/sure-analysis-research-database/","BSquare Corp")</f>
        <v>0</v>
      </c>
      <c r="C453">
        <v>0</v>
      </c>
      <c r="D453">
        <v>0.012195121951219</v>
      </c>
      <c r="E453">
        <v>-0.308333333333333</v>
      </c>
      <c r="F453">
        <v>-0.029239766081871</v>
      </c>
      <c r="G453">
        <v>-0.366412213740458</v>
      </c>
      <c r="H453">
        <v>0.596153846153846</v>
      </c>
      <c r="I453">
        <v>-0.674509803921568</v>
      </c>
    </row>
    <row r="454" spans="1:9">
      <c r="A454" s="1" t="s">
        <v>466</v>
      </c>
      <c r="B454">
        <f>HYPERLINK("https://www.suredividend.com/sure-analysis-research-database/","Sierra Bancorp")</f>
        <v>0</v>
      </c>
      <c r="C454">
        <v>-0.100531107738998</v>
      </c>
      <c r="D454">
        <v>-0.146127140984456</v>
      </c>
      <c r="E454">
        <v>-0.009354931707745</v>
      </c>
      <c r="F454">
        <v>-0.119081853680647</v>
      </c>
      <c r="G454">
        <v>-0.082810136669413</v>
      </c>
      <c r="H454">
        <v>0.6690013444928581</v>
      </c>
      <c r="I454">
        <v>0.05445262745935101</v>
      </c>
    </row>
    <row r="455" spans="1:9">
      <c r="A455" s="1" t="s">
        <v>467</v>
      </c>
      <c r="B455">
        <f>HYPERLINK("https://www.suredividend.com/sure-analysis-research-database/","Biospecifics Technologies Corp.")</f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468</v>
      </c>
      <c r="B456">
        <f>HYPERLINK("https://www.suredividend.com/sure-analysis-research-database/","Boston Scientific Corp.")</f>
        <v>0</v>
      </c>
      <c r="C456">
        <v>0.009352189781021</v>
      </c>
      <c r="D456">
        <v>-0.013597860008916</v>
      </c>
      <c r="E456">
        <v>0.019585253456221</v>
      </c>
      <c r="F456">
        <v>0.04166666666666601</v>
      </c>
      <c r="G456">
        <v>0.081642630163774</v>
      </c>
      <c r="H456">
        <v>0.248236953455571</v>
      </c>
      <c r="I456">
        <v>0.8105564648117831</v>
      </c>
    </row>
    <row r="457" spans="1:9">
      <c r="A457" s="1" t="s">
        <v>469</v>
      </c>
      <c r="B457">
        <f>HYPERLINK("https://www.suredividend.com/sure-analysis-research-database/","Ballantyne Strong Inc")</f>
        <v>0</v>
      </c>
      <c r="C457">
        <v>0.058020477815699</v>
      </c>
      <c r="D457">
        <v>0</v>
      </c>
      <c r="E457">
        <v>-0.066265060240963</v>
      </c>
      <c r="F457">
        <v>0.072664359861591</v>
      </c>
      <c r="G457">
        <v>-0.317180616740088</v>
      </c>
      <c r="H457">
        <v>0.9620253164556961</v>
      </c>
      <c r="I457">
        <v>-0.5</v>
      </c>
    </row>
    <row r="458" spans="1:9">
      <c r="A458" s="1" t="s">
        <v>470</v>
      </c>
      <c r="B458">
        <f>HYPERLINK("https://www.suredividend.com/sure-analysis-research-database/","Peabody Energy Corp.")</f>
        <v>0</v>
      </c>
      <c r="C458">
        <v>0.6077075098814231</v>
      </c>
      <c r="D458">
        <v>1.421130952380952</v>
      </c>
      <c r="E458">
        <v>1.038847117794486</v>
      </c>
      <c r="F458">
        <v>2.231380337636544</v>
      </c>
      <c r="G458">
        <v>7.408268733850129</v>
      </c>
      <c r="H458">
        <v>9.396166134185304</v>
      </c>
      <c r="I458">
        <v>0.51053755454461</v>
      </c>
    </row>
    <row r="459" spans="1:9">
      <c r="A459" s="1" t="s">
        <v>471</v>
      </c>
      <c r="B459">
        <f>HYPERLINK("https://www.suredividend.com/sure-analysis-research-database/","Burlington Stores Inc")</f>
        <v>0</v>
      </c>
      <c r="C459">
        <v>0.07123177879076201</v>
      </c>
      <c r="D459">
        <v>-0.07017696421583501</v>
      </c>
      <c r="E459">
        <v>-0.204811661027033</v>
      </c>
      <c r="F459">
        <v>-0.266405955198792</v>
      </c>
      <c r="G459">
        <v>-0.341452899331752</v>
      </c>
      <c r="H459">
        <v>0.218449091219873</v>
      </c>
      <c r="I459">
        <v>1.34484649122807</v>
      </c>
    </row>
    <row r="460" spans="1:9">
      <c r="A460" s="1" t="s">
        <v>472</v>
      </c>
      <c r="B460">
        <f>HYPERLINK("https://www.suredividend.com/sure-analysis-research-database/","First Busey Corp.")</f>
        <v>0</v>
      </c>
      <c r="C460">
        <v>-0.127759681505609</v>
      </c>
      <c r="D460">
        <v>-0.177617547798847</v>
      </c>
      <c r="E460">
        <v>-0.043047001878169</v>
      </c>
      <c r="F460">
        <v>-0.104232408945781</v>
      </c>
      <c r="G460">
        <v>-0.019360509118726</v>
      </c>
      <c r="H460">
        <v>0.6675546452813741</v>
      </c>
      <c r="I460">
        <v>0.017302586312425</v>
      </c>
    </row>
    <row r="461" spans="1:9">
      <c r="A461" s="1" t="s">
        <v>473</v>
      </c>
      <c r="B461">
        <f>HYPERLINK("https://www.suredividend.com/sure-analysis-research-database/","BrightView Holdings Inc")</f>
        <v>0</v>
      </c>
      <c r="C461">
        <v>-0.054269175108538</v>
      </c>
      <c r="D461">
        <v>-0.07632508833922201</v>
      </c>
      <c r="E461">
        <v>-0.155684754521963</v>
      </c>
      <c r="F461">
        <v>-0.071732954545454</v>
      </c>
      <c r="G461">
        <v>-0.293895191788222</v>
      </c>
      <c r="H461">
        <v>0.332313965341488</v>
      </c>
      <c r="I461">
        <v>0.83567415730337</v>
      </c>
    </row>
    <row r="462" spans="1:9">
      <c r="A462" s="1" t="s">
        <v>474</v>
      </c>
      <c r="B462">
        <f>HYPERLINK("https://www.suredividend.com/sure-analysis-research-database/","Babcock &amp; Wilcox Enterprises Inc")</f>
        <v>0</v>
      </c>
      <c r="C462">
        <v>-0.112514351320321</v>
      </c>
      <c r="D462">
        <v>-0.032540675844806</v>
      </c>
      <c r="E462">
        <v>0.226984126984127</v>
      </c>
      <c r="F462">
        <v>-0.143015521064301</v>
      </c>
      <c r="G462">
        <v>0.03897849462365501</v>
      </c>
      <c r="H462">
        <v>7.12743139522658</v>
      </c>
      <c r="I462">
        <v>-0.9124575311438281</v>
      </c>
    </row>
    <row r="463" spans="1:9">
      <c r="A463" s="1" t="s">
        <v>475</v>
      </c>
      <c r="B463">
        <f>HYPERLINK("https://www.suredividend.com/sure-analysis-BWA/","BorgWarner Inc")</f>
        <v>0</v>
      </c>
      <c r="C463">
        <v>-0.030136268343815</v>
      </c>
      <c r="D463">
        <v>-0.253217862237763</v>
      </c>
      <c r="E463">
        <v>-0.206859454895355</v>
      </c>
      <c r="F463">
        <v>-0.175507148872086</v>
      </c>
      <c r="G463">
        <v>-0.232560502474842</v>
      </c>
      <c r="H463">
        <v>0.467852794314202</v>
      </c>
      <c r="I463">
        <v>0.04786604528955701</v>
      </c>
    </row>
    <row r="464" spans="1:9">
      <c r="A464" s="1" t="s">
        <v>476</v>
      </c>
      <c r="B464">
        <f>HYPERLINK("https://www.suredividend.com/sure-analysis-research-database/","Bridgewater Bancshares Inc")</f>
        <v>0</v>
      </c>
      <c r="C464">
        <v>-0.074031890660592</v>
      </c>
      <c r="D464">
        <v>-0.104132231404958</v>
      </c>
      <c r="E464">
        <v>-0.08805384183959501</v>
      </c>
      <c r="F464">
        <v>-0.08083663086489501</v>
      </c>
      <c r="G464">
        <v>-0.018115942028985</v>
      </c>
      <c r="H464">
        <v>0.91069330199765</v>
      </c>
      <c r="I464">
        <v>0.288431061806656</v>
      </c>
    </row>
    <row r="465" spans="1:9">
      <c r="A465" s="1" t="s">
        <v>477</v>
      </c>
      <c r="B465">
        <f>HYPERLINK("https://www.suredividend.com/sure-analysis-research-database/","Broadwind Inc")</f>
        <v>0</v>
      </c>
      <c r="C465">
        <v>-0.024038461538461</v>
      </c>
      <c r="D465">
        <v>0.09729729729729701</v>
      </c>
      <c r="E465">
        <v>-0.349358974358974</v>
      </c>
      <c r="F465">
        <v>0.079787234042553</v>
      </c>
      <c r="G465">
        <v>-0.6118546845124281</v>
      </c>
      <c r="H465">
        <v>0.371621621621621</v>
      </c>
      <c r="I465">
        <v>-0.749691738594328</v>
      </c>
    </row>
    <row r="466" spans="1:9">
      <c r="A466" s="1" t="s">
        <v>478</v>
      </c>
      <c r="B466">
        <f>HYPERLINK("https://www.suredividend.com/sure-analysis-research-database/","Bankwell Financial Group Inc")</f>
        <v>0</v>
      </c>
      <c r="C466">
        <v>-0.035756154747948</v>
      </c>
      <c r="D466">
        <v>-0.03048234240181</v>
      </c>
      <c r="E466">
        <v>0.120976919460022</v>
      </c>
      <c r="F466">
        <v>0.007601418604793001</v>
      </c>
      <c r="G466">
        <v>0.21903773829594</v>
      </c>
      <c r="H466">
        <v>1.611504909470475</v>
      </c>
      <c r="I466">
        <v>0.106525811648454</v>
      </c>
    </row>
    <row r="467" spans="1:9">
      <c r="A467" s="1" t="s">
        <v>479</v>
      </c>
      <c r="B467">
        <f>HYPERLINK("https://www.suredividend.com/sure-analysis-research-database/","BWX Technologies Inc")</f>
        <v>0</v>
      </c>
      <c r="C467">
        <v>0.063631167841493</v>
      </c>
      <c r="D467">
        <v>0.160658600473992</v>
      </c>
      <c r="E467">
        <v>-0.00251025093576</v>
      </c>
      <c r="F467">
        <v>0.17083789463088</v>
      </c>
      <c r="G467">
        <v>-0.16662437343826</v>
      </c>
      <c r="H467">
        <v>0.128697378502792</v>
      </c>
      <c r="I467">
        <v>0.243762252717875</v>
      </c>
    </row>
    <row r="468" spans="1:9">
      <c r="A468" s="1" t="s">
        <v>480</v>
      </c>
      <c r="B468">
        <f>HYPERLINK("https://www.suredividend.com/sure-analysis-research-database/","Bluelinx Hldgs Inc")</f>
        <v>0</v>
      </c>
      <c r="C468">
        <v>-0.300704690596784</v>
      </c>
      <c r="D468">
        <v>-0.2247314453125</v>
      </c>
      <c r="E468">
        <v>0.235843549328663</v>
      </c>
      <c r="F468">
        <v>-0.336779448621554</v>
      </c>
      <c r="G468">
        <v>0.289805036555645</v>
      </c>
      <c r="H468">
        <v>12.57051282051282</v>
      </c>
      <c r="I468">
        <v>5.873376623376623</v>
      </c>
    </row>
    <row r="469" spans="1:9">
      <c r="A469" s="1" t="s">
        <v>481</v>
      </c>
      <c r="B469">
        <f>HYPERLINK("https://www.suredividend.com/sure-analysis-BXMT/","Blackstone Mortgage Trust Inc")</f>
        <v>0</v>
      </c>
      <c r="C469">
        <v>0.032460773602104</v>
      </c>
      <c r="D469">
        <v>0.020163724459974</v>
      </c>
      <c r="E469">
        <v>0.031700399888883</v>
      </c>
      <c r="F469">
        <v>0.06314282861232201</v>
      </c>
      <c r="G469">
        <v>0.046941939628752</v>
      </c>
      <c r="H469">
        <v>0.8456560053162291</v>
      </c>
      <c r="I469">
        <v>0.5442260739236591</v>
      </c>
    </row>
    <row r="470" spans="1:9">
      <c r="A470" s="1" t="s">
        <v>482</v>
      </c>
      <c r="B470">
        <f>HYPERLINK("https://www.suredividend.com/sure-analysis-BXP/","Boston Properties, Inc.")</f>
        <v>0</v>
      </c>
      <c r="C470">
        <v>0.014043101104793</v>
      </c>
      <c r="D470">
        <v>0.003504493177474</v>
      </c>
      <c r="E470">
        <v>0.082350365648341</v>
      </c>
      <c r="F470">
        <v>0.089757382692984</v>
      </c>
      <c r="G470">
        <v>0.221366412864784</v>
      </c>
      <c r="H470">
        <v>0.429607411606222</v>
      </c>
      <c r="I470">
        <v>0.08288282024093001</v>
      </c>
    </row>
    <row r="471" spans="1:9">
      <c r="A471" s="1" t="s">
        <v>483</v>
      </c>
      <c r="B471">
        <f>HYPERLINK("https://www.suredividend.com/sure-analysis-research-database/","Byline Bancorp Inc")</f>
        <v>0</v>
      </c>
      <c r="C471">
        <v>-0.106273062730627</v>
      </c>
      <c r="D471">
        <v>-0.159062816827076</v>
      </c>
      <c r="E471">
        <v>0.001753689365362</v>
      </c>
      <c r="F471">
        <v>-0.111404619081686</v>
      </c>
      <c r="G471">
        <v>0.115630340354772</v>
      </c>
      <c r="H471">
        <v>1.766355994152046</v>
      </c>
      <c r="I471">
        <v>0.242274254353345</v>
      </c>
    </row>
    <row r="472" spans="1:9">
      <c r="A472" s="1" t="s">
        <v>484</v>
      </c>
      <c r="B472">
        <f>HYPERLINK("https://www.suredividend.com/sure-analysis-research-database/","Boyd Gaming Corp.")</f>
        <v>0</v>
      </c>
      <c r="C472">
        <v>-0.08838162130523801</v>
      </c>
      <c r="D472">
        <v>0.028932321687515</v>
      </c>
      <c r="E472">
        <v>-0.058841302213158</v>
      </c>
      <c r="F472">
        <v>-0.047645253207127</v>
      </c>
      <c r="G472">
        <v>-0.04837115663383</v>
      </c>
      <c r="H472">
        <v>3.306620305403668</v>
      </c>
      <c r="I472">
        <v>1.98876932745494</v>
      </c>
    </row>
    <row r="473" spans="1:9">
      <c r="A473" s="1" t="s">
        <v>485</v>
      </c>
      <c r="B473">
        <f>HYPERLINK("https://www.suredividend.com/sure-analysis-research-database/","Broadway Financial Corp.")</f>
        <v>0</v>
      </c>
      <c r="C473">
        <v>0.03267973856209101</v>
      </c>
      <c r="D473">
        <v>-0.327659574468085</v>
      </c>
      <c r="E473">
        <v>-0.5047021943573661</v>
      </c>
      <c r="F473">
        <v>-0.316017316017316</v>
      </c>
      <c r="G473">
        <v>-0.229268292682926</v>
      </c>
      <c r="H473">
        <v>0.196969696969697</v>
      </c>
      <c r="I473">
        <v>-0.112359550561797</v>
      </c>
    </row>
    <row r="474" spans="1:9">
      <c r="A474" s="1" t="s">
        <v>486</v>
      </c>
      <c r="B474">
        <f>HYPERLINK("https://www.suredividend.com/sure-analysis-research-database/","Beyond Meat Inc")</f>
        <v>0</v>
      </c>
      <c r="C474">
        <v>-0.021610555050045</v>
      </c>
      <c r="D474">
        <v>-0.35401021327726</v>
      </c>
      <c r="E474">
        <v>-0.592862552063612</v>
      </c>
      <c r="F474">
        <v>-0.339932473910374</v>
      </c>
      <c r="G474">
        <v>-0.6867671691792291</v>
      </c>
      <c r="H474">
        <v>-0.4251537022186581</v>
      </c>
      <c r="I474">
        <v>-0.345855513307984</v>
      </c>
    </row>
    <row r="475" spans="1:9">
      <c r="A475" s="1" t="s">
        <v>487</v>
      </c>
      <c r="B475">
        <f>HYPERLINK("https://www.suredividend.com/sure-analysis-research-database/","Beazer Homes USA Inc.")</f>
        <v>0</v>
      </c>
      <c r="C475">
        <v>-0.103365384615384</v>
      </c>
      <c r="D475">
        <v>-0.318098720292504</v>
      </c>
      <c r="E475">
        <v>-0.158013544018058</v>
      </c>
      <c r="F475">
        <v>-0.357450473729543</v>
      </c>
      <c r="G475">
        <v>-0.302151543498596</v>
      </c>
      <c r="H475">
        <v>1.869230769230769</v>
      </c>
      <c r="I475">
        <v>0.256950294860994</v>
      </c>
    </row>
    <row r="476" spans="1:9">
      <c r="A476" s="1" t="s">
        <v>488</v>
      </c>
      <c r="B476">
        <f>HYPERLINK("https://www.suredividend.com/sure-analysis-C/","Citigroup Inc")</f>
        <v>0</v>
      </c>
      <c r="C476">
        <v>-0.103345070422535</v>
      </c>
      <c r="D476">
        <v>-0.233061624620333</v>
      </c>
      <c r="E476">
        <v>-0.284781418079175</v>
      </c>
      <c r="F476">
        <v>-0.150006425437388</v>
      </c>
      <c r="G476">
        <v>-0.276031864264148</v>
      </c>
      <c r="H476">
        <v>0.349228425723557</v>
      </c>
      <c r="I476">
        <v>0.008363097830821</v>
      </c>
    </row>
    <row r="477" spans="1:9">
      <c r="A477" s="1" t="s">
        <v>489</v>
      </c>
      <c r="B477">
        <f>HYPERLINK("https://www.suredividend.com/sure-analysis-research-database/","Cable One Inc")</f>
        <v>0</v>
      </c>
      <c r="C477">
        <v>-0.021904409649447</v>
      </c>
      <c r="D477">
        <v>-0.08287089924315601</v>
      </c>
      <c r="E477">
        <v>-0.185969720695836</v>
      </c>
      <c r="F477">
        <v>-0.188774087671933</v>
      </c>
      <c r="G477">
        <v>-0.206733521402668</v>
      </c>
      <c r="H477">
        <v>-0.166253004379273</v>
      </c>
      <c r="I477">
        <v>1.327304018755332</v>
      </c>
    </row>
    <row r="478" spans="1:9">
      <c r="A478" s="1" t="s">
        <v>490</v>
      </c>
      <c r="B478">
        <f>HYPERLINK("https://www.suredividend.com/sure-analysis-research-database/","Camden National Corp.")</f>
        <v>0</v>
      </c>
      <c r="C478">
        <v>-0.049242447220014</v>
      </c>
      <c r="D478">
        <v>-0.06682834761934001</v>
      </c>
      <c r="E478">
        <v>-0.006795277736118</v>
      </c>
      <c r="F478">
        <v>-0.007413787280035</v>
      </c>
      <c r="G478">
        <v>0.010887138385332</v>
      </c>
      <c r="H478">
        <v>0.8692034617234671</v>
      </c>
      <c r="I478">
        <v>0.329739849492227</v>
      </c>
    </row>
    <row r="479" spans="1:9">
      <c r="A479" s="1" t="s">
        <v>491</v>
      </c>
      <c r="B479">
        <f>HYPERLINK("https://www.suredividend.com/sure-analysis-research-database/","Credit Acceptance Corp.")</f>
        <v>0</v>
      </c>
      <c r="C479">
        <v>0.175009024184815</v>
      </c>
      <c r="D479">
        <v>0.015476603119583</v>
      </c>
      <c r="E479">
        <v>-0.04702036302127301</v>
      </c>
      <c r="F479">
        <v>-0.147961261051651</v>
      </c>
      <c r="G479">
        <v>0.5626050084006711</v>
      </c>
      <c r="H479">
        <v>1.054164913756836</v>
      </c>
      <c r="I479">
        <v>2.042843788948898</v>
      </c>
    </row>
    <row r="480" spans="1:9">
      <c r="A480" s="1" t="s">
        <v>492</v>
      </c>
      <c r="B480">
        <f>HYPERLINK("https://www.suredividend.com/sure-analysis-research-database/","Caci International Inc.")</f>
        <v>0</v>
      </c>
      <c r="C480">
        <v>0.001531289345628</v>
      </c>
      <c r="D480">
        <v>0.05782985299931701</v>
      </c>
      <c r="E480">
        <v>0.044058176658389</v>
      </c>
      <c r="F480">
        <v>0.093272909624456</v>
      </c>
      <c r="G480">
        <v>0.130044154348243</v>
      </c>
      <c r="H480">
        <v>0.244850484287104</v>
      </c>
      <c r="I480">
        <v>1.61967067200712</v>
      </c>
    </row>
    <row r="481" spans="1:9">
      <c r="A481" s="1" t="s">
        <v>493</v>
      </c>
      <c r="B481">
        <f>HYPERLINK("https://www.suredividend.com/sure-analysis-research-database/","Cadence Bank")</f>
        <v>0</v>
      </c>
      <c r="C481">
        <v>-0.137761780104711</v>
      </c>
      <c r="D481">
        <v>-0.222424854075556</v>
      </c>
      <c r="E481">
        <v>-0.12108072048032</v>
      </c>
      <c r="F481">
        <v>-0.108882095124722</v>
      </c>
      <c r="G481">
        <v>-0.143134015791048</v>
      </c>
      <c r="H481">
        <v>0.4164077534214171</v>
      </c>
      <c r="I481">
        <v>0.44742046053788</v>
      </c>
    </row>
    <row r="482" spans="1:9">
      <c r="A482" s="1" t="s">
        <v>494</v>
      </c>
      <c r="B482">
        <f>HYPERLINK("https://www.suredividend.com/sure-analysis-CAG/","Conagra Brands Inc")</f>
        <v>0</v>
      </c>
      <c r="C482">
        <v>0.12365930599369</v>
      </c>
      <c r="D482">
        <v>0.023569100971844</v>
      </c>
      <c r="E482">
        <v>0.09122881187178501</v>
      </c>
      <c r="F482">
        <v>0.052342362836538</v>
      </c>
      <c r="G482">
        <v>-0.017322382813901</v>
      </c>
      <c r="H482">
        <v>0.13302733325063</v>
      </c>
      <c r="I482">
        <v>0.017757903910167</v>
      </c>
    </row>
    <row r="483" spans="1:9">
      <c r="A483" s="1" t="s">
        <v>495</v>
      </c>
      <c r="B483">
        <f>HYPERLINK("https://www.suredividend.com/sure-analysis-CAH/","Cardinal Health, Inc.")</f>
        <v>0</v>
      </c>
      <c r="C483">
        <v>0.180970173750424</v>
      </c>
      <c r="D483">
        <v>0.196096348828505</v>
      </c>
      <c r="E483">
        <v>0.320638756216713</v>
      </c>
      <c r="F483">
        <v>0.233264448644995</v>
      </c>
      <c r="G483">
        <v>0.06471671534216801</v>
      </c>
      <c r="H483">
        <v>0.352826410196907</v>
      </c>
      <c r="I483">
        <v>-0.074591238601421</v>
      </c>
    </row>
    <row r="484" spans="1:9">
      <c r="A484" s="1" t="s">
        <v>496</v>
      </c>
      <c r="B484">
        <f>HYPERLINK("https://www.suredividend.com/sure-analysis-research-database/","Cai International Inc")</f>
        <v>0</v>
      </c>
      <c r="C484">
        <v>0.00143061516452</v>
      </c>
      <c r="D484">
        <v>0.007897597604083</v>
      </c>
      <c r="E484">
        <v>0.386378828014755</v>
      </c>
      <c r="F484">
        <v>0.8276941353864431</v>
      </c>
      <c r="G484">
        <v>0.828380381478506</v>
      </c>
      <c r="H484">
        <v>1.457530795932786</v>
      </c>
      <c r="I484">
        <v>5.184291898577613</v>
      </c>
    </row>
    <row r="485" spans="1:9">
      <c r="A485" s="1" t="s">
        <v>497</v>
      </c>
      <c r="B485">
        <f>HYPERLINK("https://www.suredividend.com/sure-analysis-research-database/","Cheesecake Factory Inc.")</f>
        <v>0</v>
      </c>
      <c r="C485">
        <v>-0.03262299394896</v>
      </c>
      <c r="D485">
        <v>-0.019728072513996</v>
      </c>
      <c r="E485">
        <v>-0.145678438661709</v>
      </c>
      <c r="F485">
        <v>-0.060791826309067</v>
      </c>
      <c r="G485">
        <v>-0.364280774550484</v>
      </c>
      <c r="H485">
        <v>1.077401129943503</v>
      </c>
      <c r="I485">
        <v>-0.350997772529749</v>
      </c>
    </row>
    <row r="486" spans="1:9">
      <c r="A486" s="1" t="s">
        <v>498</v>
      </c>
      <c r="B486">
        <f>HYPERLINK("https://www.suredividend.com/sure-analysis-research-database/","Caleres Inc")</f>
        <v>0</v>
      </c>
      <c r="C486">
        <v>0.013915937151392</v>
      </c>
      <c r="D486">
        <v>-0.070176731443631</v>
      </c>
      <c r="E486">
        <v>-0.024960112004581</v>
      </c>
      <c r="F486">
        <v>-0.05090595340811</v>
      </c>
      <c r="G486">
        <v>-0.089307321629481</v>
      </c>
      <c r="H486">
        <v>3.288884889928619</v>
      </c>
      <c r="I486">
        <v>-0.107707411228327</v>
      </c>
    </row>
    <row r="487" spans="1:9">
      <c r="A487" s="1" t="s">
        <v>499</v>
      </c>
      <c r="B487">
        <f>HYPERLINK("https://www.suredividend.com/sure-analysis-research-database/","Calithera Biosciences Inc")</f>
        <v>0</v>
      </c>
      <c r="C487">
        <v>-0.354166666666666</v>
      </c>
      <c r="D487">
        <v>-0.427516158818097</v>
      </c>
      <c r="E487">
        <v>-0.8480392156862741</v>
      </c>
      <c r="F487">
        <v>-0.533974744437763</v>
      </c>
      <c r="G487">
        <v>-0.8558139534883721</v>
      </c>
      <c r="H487">
        <v>-0.950479233226837</v>
      </c>
      <c r="I487">
        <v>-0.9716894977168951</v>
      </c>
    </row>
    <row r="488" spans="1:9">
      <c r="A488" s="1" t="s">
        <v>500</v>
      </c>
      <c r="B488">
        <f>HYPERLINK("https://www.suredividend.com/sure-analysis-research-database/","Cal-Maine Foods, Inc.")</f>
        <v>0</v>
      </c>
      <c r="C488">
        <v>0.127566894835096</v>
      </c>
      <c r="D488">
        <v>0.321663019693654</v>
      </c>
      <c r="E488">
        <v>0.550927246790299</v>
      </c>
      <c r="F488">
        <v>0.4695863746958631</v>
      </c>
      <c r="G488">
        <v>0.385861459743478</v>
      </c>
      <c r="H488">
        <v>0.321569838255994</v>
      </c>
      <c r="I488">
        <v>0.4387575233043781</v>
      </c>
    </row>
    <row r="489" spans="1:9">
      <c r="A489" s="1" t="s">
        <v>501</v>
      </c>
      <c r="B489">
        <f>HYPERLINK("https://www.suredividend.com/sure-analysis-research-database/","Calix Inc")</f>
        <v>0</v>
      </c>
      <c r="C489">
        <v>-0.139488320355951</v>
      </c>
      <c r="D489">
        <v>-0.292870201096892</v>
      </c>
      <c r="E489">
        <v>-0.325780024402998</v>
      </c>
      <c r="F489">
        <v>-0.5163186194823051</v>
      </c>
      <c r="G489">
        <v>-0.137377341659232</v>
      </c>
      <c r="H489">
        <v>4.424964936886395</v>
      </c>
      <c r="I489">
        <v>5.043749999999999</v>
      </c>
    </row>
    <row r="490" spans="1:9">
      <c r="A490" s="1" t="s">
        <v>502</v>
      </c>
      <c r="B490">
        <f>HYPERLINK("https://www.suredividend.com/sure-analysis-research-database/","Calamp Corp.")</f>
        <v>0</v>
      </c>
      <c r="C490">
        <v>-0.136170212765957</v>
      </c>
      <c r="D490">
        <v>-0.014563106796116</v>
      </c>
      <c r="E490">
        <v>-0.392215568862275</v>
      </c>
      <c r="F490">
        <v>-0.137393767705382</v>
      </c>
      <c r="G490">
        <v>-0.483460559796437</v>
      </c>
      <c r="H490">
        <v>0.225352112676056</v>
      </c>
      <c r="I490">
        <v>-0.612595419847328</v>
      </c>
    </row>
    <row r="491" spans="1:9">
      <c r="A491" s="1" t="s">
        <v>503</v>
      </c>
      <c r="B491">
        <f>HYPERLINK("https://www.suredividend.com/sure-analysis-research-database/","Capricor Therapeutics Inc")</f>
        <v>0</v>
      </c>
      <c r="C491">
        <v>-0.241935483870967</v>
      </c>
      <c r="D491">
        <v>0.064724919093851</v>
      </c>
      <c r="E491">
        <v>-0.169191919191919</v>
      </c>
      <c r="F491">
        <v>0.122866894197952</v>
      </c>
      <c r="G491">
        <v>-0.179551122194513</v>
      </c>
      <c r="H491">
        <v>1.238095238095238</v>
      </c>
      <c r="I491">
        <v>-0.895601954686805</v>
      </c>
    </row>
    <row r="492" spans="1:9">
      <c r="A492" s="1" t="s">
        <v>504</v>
      </c>
      <c r="B492">
        <f>HYPERLINK("https://www.suredividend.com/sure-analysis-research-database/","Avis Budget Group Inc")</f>
        <v>0</v>
      </c>
      <c r="C492">
        <v>-0.05708906177839301</v>
      </c>
      <c r="D492">
        <v>0.358967794787773</v>
      </c>
      <c r="E492">
        <v>0.7580976352917791</v>
      </c>
      <c r="F492">
        <v>0.279934416743019</v>
      </c>
      <c r="G492">
        <v>2.353379658875552</v>
      </c>
      <c r="H492">
        <v>19.5911559348332</v>
      </c>
      <c r="I492">
        <v>8.561239193083573</v>
      </c>
    </row>
    <row r="493" spans="1:9">
      <c r="A493" s="1" t="s">
        <v>505</v>
      </c>
      <c r="B493">
        <f>HYPERLINK("https://www.suredividend.com/sure-analysis-research-database/","Cara Therapeutics Inc")</f>
        <v>0</v>
      </c>
      <c r="C493">
        <v>0.180887372013651</v>
      </c>
      <c r="D493">
        <v>0.158158995815899</v>
      </c>
      <c r="E493">
        <v>0.05167173252279601</v>
      </c>
      <c r="F493">
        <v>0.136288998357963</v>
      </c>
      <c r="G493">
        <v>-0.514556296036478</v>
      </c>
      <c r="H493">
        <v>-0.018439716312056</v>
      </c>
      <c r="I493">
        <v>-0.210496292070735</v>
      </c>
    </row>
    <row r="494" spans="1:9">
      <c r="A494" s="1" t="s">
        <v>506</v>
      </c>
      <c r="B494">
        <f>HYPERLINK("https://www.suredividend.com/sure-analysis-research-database/","Carter Bankshares Inc")</f>
        <v>0</v>
      </c>
      <c r="C494">
        <v>0.038929440389294</v>
      </c>
      <c r="D494">
        <v>0.048496009821976</v>
      </c>
      <c r="E494">
        <v>0.165870307167235</v>
      </c>
      <c r="F494">
        <v>0.109811565951916</v>
      </c>
      <c r="G494">
        <v>0.213930348258706</v>
      </c>
      <c r="H494">
        <v>0.99766081871345</v>
      </c>
      <c r="I494">
        <v>0.99766081871345</v>
      </c>
    </row>
    <row r="495" spans="1:9">
      <c r="A495" s="1" t="s">
        <v>507</v>
      </c>
      <c r="B495">
        <f>HYPERLINK("https://www.suredividend.com/sure-analysis-research-database/","CarGurus Inc")</f>
        <v>0</v>
      </c>
      <c r="C495">
        <v>-0.007638888888888</v>
      </c>
      <c r="D495">
        <v>0.342204132748904</v>
      </c>
      <c r="E495">
        <v>0.236872475476053</v>
      </c>
      <c r="F495">
        <v>0.274375743162901</v>
      </c>
      <c r="G495">
        <v>0.695806962025316</v>
      </c>
      <c r="H495">
        <v>1.245678365636458</v>
      </c>
      <c r="I495">
        <v>0.554387237128353</v>
      </c>
    </row>
    <row r="496" spans="1:9">
      <c r="A496" s="1" t="s">
        <v>508</v>
      </c>
      <c r="B496">
        <f>HYPERLINK("https://www.suredividend.com/sure-analysis-research-database/","Cars.com")</f>
        <v>0</v>
      </c>
      <c r="C496">
        <v>-0.149303251493032</v>
      </c>
      <c r="D496">
        <v>-0.2187690432663</v>
      </c>
      <c r="E496">
        <v>0.046530612244898</v>
      </c>
      <c r="F496">
        <v>-0.203231821006836</v>
      </c>
      <c r="G496">
        <v>-0.079684134960516</v>
      </c>
      <c r="H496">
        <v>2.270408163265306</v>
      </c>
      <c r="I496">
        <v>-0.480551053484602</v>
      </c>
    </row>
    <row r="497" spans="1:9">
      <c r="A497" s="1" t="s">
        <v>509</v>
      </c>
      <c r="B497">
        <f>HYPERLINK("https://www.suredividend.com/sure-analysis-research-database/","Casa Systems Inc")</f>
        <v>0</v>
      </c>
      <c r="C497">
        <v>-0.11590909090909</v>
      </c>
      <c r="D497">
        <v>-0.243190661478599</v>
      </c>
      <c r="E497">
        <v>-0.407914764079147</v>
      </c>
      <c r="F497">
        <v>-0.313932980599647</v>
      </c>
      <c r="G497">
        <v>-0.55593607305936</v>
      </c>
      <c r="H497">
        <v>0.04010695187165701</v>
      </c>
      <c r="I497">
        <v>4.984615384615385</v>
      </c>
    </row>
    <row r="498" spans="1:9">
      <c r="A498" s="1" t="s">
        <v>510</v>
      </c>
      <c r="B498">
        <f>HYPERLINK("https://www.suredividend.com/sure-analysis-research-database/","Meta Financial Group Inc.")</f>
        <v>0</v>
      </c>
      <c r="C498">
        <v>-0.113360323886639</v>
      </c>
      <c r="D498">
        <v>-0.234707249314206</v>
      </c>
      <c r="E498">
        <v>-0.205431694007094</v>
      </c>
      <c r="F498">
        <v>-0.191606669161086</v>
      </c>
      <c r="G498">
        <v>0.04302194935563401</v>
      </c>
      <c r="H498">
        <v>2.043626577720502</v>
      </c>
      <c r="I498">
        <v>0.783315011603762</v>
      </c>
    </row>
    <row r="499" spans="1:9">
      <c r="A499" s="1" t="s">
        <v>511</v>
      </c>
      <c r="B499">
        <f>HYPERLINK("https://www.suredividend.com/sure-analysis-research-database/","CASI Pharmaceuticals Inc")</f>
        <v>0</v>
      </c>
      <c r="C499">
        <v>-0.23395061728395</v>
      </c>
      <c r="D499">
        <v>-0.141414141414141</v>
      </c>
      <c r="E499">
        <v>-0.460434782608695</v>
      </c>
      <c r="F499">
        <v>-0.224375</v>
      </c>
      <c r="G499">
        <v>-0.6533519553072621</v>
      </c>
      <c r="H499">
        <v>-0.639244186046511</v>
      </c>
      <c r="I499">
        <v>-0.49139344262295</v>
      </c>
    </row>
    <row r="500" spans="1:9">
      <c r="A500" s="1" t="s">
        <v>512</v>
      </c>
      <c r="B500">
        <f>HYPERLINK("https://www.suredividend.com/sure-analysis-research-database/","Cass Information Systems Inc")</f>
        <v>0</v>
      </c>
      <c r="C500">
        <v>0.017316017316017</v>
      </c>
      <c r="D500">
        <v>0.01058649431466</v>
      </c>
      <c r="E500">
        <v>-0.03848005237215001</v>
      </c>
      <c r="F500">
        <v>0.023178383915994</v>
      </c>
      <c r="G500">
        <v>-0.115504682622268</v>
      </c>
      <c r="H500">
        <v>0.322659356449247</v>
      </c>
      <c r="I500">
        <v>-0.208763611444506</v>
      </c>
    </row>
    <row r="501" spans="1:9">
      <c r="A501" s="1" t="s">
        <v>513</v>
      </c>
      <c r="B501">
        <f>HYPERLINK("https://www.suredividend.com/sure-analysis-research-database/","Casey`s General Stores, Inc.")</f>
        <v>0</v>
      </c>
      <c r="C501">
        <v>0.119529159978598</v>
      </c>
      <c r="D501">
        <v>0.09662903446436101</v>
      </c>
      <c r="E501">
        <v>0.120533383315705</v>
      </c>
      <c r="F501">
        <v>0.062232271676412</v>
      </c>
      <c r="G501">
        <v>-0.05649061766406101</v>
      </c>
      <c r="H501">
        <v>0.472750525605264</v>
      </c>
      <c r="I501">
        <v>0.9472192287433531</v>
      </c>
    </row>
    <row r="502" spans="1:9">
      <c r="A502" s="1" t="s">
        <v>514</v>
      </c>
      <c r="B502">
        <f>HYPERLINK("https://www.suredividend.com/sure-analysis-CAT/","Caterpillar Inc.")</f>
        <v>0</v>
      </c>
      <c r="C502">
        <v>0.05428544983339401</v>
      </c>
      <c r="D502">
        <v>-0.000107534196971</v>
      </c>
      <c r="E502">
        <v>0.156563846324897</v>
      </c>
      <c r="F502">
        <v>0.107262164160206</v>
      </c>
      <c r="G502">
        <v>-0.003853666492778</v>
      </c>
      <c r="H502">
        <v>1.100295300726404</v>
      </c>
      <c r="I502">
        <v>1.762696263489988</v>
      </c>
    </row>
    <row r="503" spans="1:9">
      <c r="A503" s="1" t="s">
        <v>515</v>
      </c>
      <c r="B503">
        <f>HYPERLINK("https://www.suredividend.com/sure-analysis-research-database/","Cambridge Bancorp")</f>
        <v>0</v>
      </c>
      <c r="C503">
        <v>-0.05716985589416401</v>
      </c>
      <c r="D503">
        <v>-0.130633672424684</v>
      </c>
      <c r="E503">
        <v>-0.07001996975409401</v>
      </c>
      <c r="F503">
        <v>-0.141036954135548</v>
      </c>
      <c r="G503">
        <v>-0.008498935459268001</v>
      </c>
      <c r="H503">
        <v>0.880055209839787</v>
      </c>
      <c r="I503">
        <v>0.9645533729919441</v>
      </c>
    </row>
    <row r="504" spans="1:9">
      <c r="A504" s="1" t="s">
        <v>516</v>
      </c>
      <c r="B504">
        <f>HYPERLINK("https://www.suredividend.com/sure-analysis-research-database/","Cardtronics plc")</f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517</v>
      </c>
      <c r="B505">
        <f>HYPERLINK("https://www.suredividend.com/sure-analysis-research-database/","Cato Corp.")</f>
        <v>0</v>
      </c>
      <c r="C505">
        <v>-0.129111609639916</v>
      </c>
      <c r="D505">
        <v>-0.122323176608215</v>
      </c>
      <c r="E505">
        <v>-0.131993358070723</v>
      </c>
      <c r="F505">
        <v>-0.146875312998957</v>
      </c>
      <c r="G505">
        <v>0.045540207808336</v>
      </c>
      <c r="H505">
        <v>0.4462789280755891</v>
      </c>
      <c r="I505">
        <v>-0.09179859002985501</v>
      </c>
    </row>
    <row r="506" spans="1:9">
      <c r="A506" s="1" t="s">
        <v>518</v>
      </c>
      <c r="B506">
        <f>HYPERLINK("https://www.suredividend.com/sure-analysis-research-database/","Cathay General Bancorp")</f>
        <v>0</v>
      </c>
      <c r="C506">
        <v>-0.09818569903948701</v>
      </c>
      <c r="D506">
        <v>-0.09274020374156</v>
      </c>
      <c r="E506">
        <v>0.038798190401258</v>
      </c>
      <c r="F506">
        <v>-0.010012348485026</v>
      </c>
      <c r="G506">
        <v>0.04736052752265101</v>
      </c>
      <c r="H506">
        <v>1.051418999295962</v>
      </c>
      <c r="I506">
        <v>0.357211692900738</v>
      </c>
    </row>
    <row r="507" spans="1:9">
      <c r="A507" s="1" t="s">
        <v>519</v>
      </c>
      <c r="B507">
        <f>HYPERLINK("https://www.suredividend.com/sure-analysis-CB/","Chubb Limited")</f>
        <v>0</v>
      </c>
      <c r="C507">
        <v>0.001665318551648</v>
      </c>
      <c r="D507">
        <v>0.076741623950596</v>
      </c>
      <c r="E507">
        <v>0.170352045141832</v>
      </c>
      <c r="F507">
        <v>0.09317312036224401</v>
      </c>
      <c r="G507">
        <v>0.315674348724948</v>
      </c>
      <c r="H507">
        <v>0.9558911791649091</v>
      </c>
      <c r="I507">
        <v>0.7080231327928751</v>
      </c>
    </row>
    <row r="508" spans="1:9">
      <c r="A508" s="1" t="s">
        <v>520</v>
      </c>
      <c r="B508">
        <f>HYPERLINK("https://www.suredividend.com/sure-analysis-research-database/","Colony Bankcorp, Inc.")</f>
        <v>0</v>
      </c>
      <c r="C508">
        <v>-0.032876712328767</v>
      </c>
      <c r="D508">
        <v>-0.01482506865525</v>
      </c>
      <c r="E508">
        <v>-0.045553849148839</v>
      </c>
      <c r="F508">
        <v>0.040579658878532</v>
      </c>
      <c r="G508">
        <v>0.198096621571169</v>
      </c>
      <c r="H508">
        <v>0.8023077708567341</v>
      </c>
      <c r="I508">
        <v>0.42746227132297</v>
      </c>
    </row>
    <row r="509" spans="1:9">
      <c r="A509" s="1" t="s">
        <v>521</v>
      </c>
      <c r="B509">
        <f>HYPERLINK("https://www.suredividend.com/sure-analysis-research-database/","Cymabay Therapeutics Inc")</f>
        <v>0</v>
      </c>
      <c r="C509">
        <v>0.01639344262295</v>
      </c>
      <c r="D509">
        <v>-0.015873015873015</v>
      </c>
      <c r="E509">
        <v>-0.226932668329177</v>
      </c>
      <c r="F509">
        <v>-0.08284023668639001</v>
      </c>
      <c r="G509">
        <v>-0.282407407407407</v>
      </c>
      <c r="H509">
        <v>0.8787878787878781</v>
      </c>
      <c r="I509">
        <v>-0.265402843601895</v>
      </c>
    </row>
    <row r="510" spans="1:9">
      <c r="A510" s="1" t="s">
        <v>522</v>
      </c>
      <c r="B510">
        <f>HYPERLINK("https://www.suredividend.com/sure-analysis-research-database/","Cincinnati Bell, Inc.")</f>
        <v>0</v>
      </c>
      <c r="C510">
        <v>0.009784735812133001</v>
      </c>
      <c r="D510">
        <v>0.001941747572815</v>
      </c>
      <c r="E510">
        <v>0.012426422498365</v>
      </c>
      <c r="F510">
        <v>0.013089005235602</v>
      </c>
      <c r="G510">
        <v>0.024487094639311</v>
      </c>
      <c r="H510">
        <v>1.711033274956217</v>
      </c>
      <c r="I510">
        <v>-0.264608076009501</v>
      </c>
    </row>
    <row r="511" spans="1:9">
      <c r="A511" s="1" t="s">
        <v>523</v>
      </c>
      <c r="B511">
        <f>HYPERLINK("https://www.suredividend.com/sure-analysis-research-database/","CB Financial Services Inc")</f>
        <v>0</v>
      </c>
      <c r="C511">
        <v>-0.08097165991902801</v>
      </c>
      <c r="D511">
        <v>-0.06147154646336001</v>
      </c>
      <c r="E511">
        <v>-0.06492008568133101</v>
      </c>
      <c r="F511">
        <v>-0.048214038633285</v>
      </c>
      <c r="G511">
        <v>0.113673159005053</v>
      </c>
      <c r="H511">
        <v>0.309330856948393</v>
      </c>
      <c r="I511">
        <v>-0.045504621103177</v>
      </c>
    </row>
    <row r="512" spans="1:9">
      <c r="A512" s="1" t="s">
        <v>524</v>
      </c>
      <c r="B512">
        <f>HYPERLINK("https://www.suredividend.com/sure-analysis-research-database/","Catalyst Biosciences Inc")</f>
        <v>0</v>
      </c>
      <c r="C512">
        <v>-0.165384615384615</v>
      </c>
      <c r="D512">
        <v>-0.308564873821055</v>
      </c>
      <c r="E512">
        <v>-0.864375</v>
      </c>
      <c r="F512">
        <v>-0.406455142231947</v>
      </c>
      <c r="G512">
        <v>-0.885548523206751</v>
      </c>
      <c r="H512">
        <v>-0.8874481327800821</v>
      </c>
      <c r="I512">
        <v>-0.8997227356746761</v>
      </c>
    </row>
    <row r="513" spans="1:9">
      <c r="A513" s="1" t="s">
        <v>525</v>
      </c>
      <c r="B513">
        <f>HYPERLINK("https://www.suredividend.com/sure-analysis-research-database/","CBL&amp; Associates Properties, Inc.")</f>
        <v>0</v>
      </c>
      <c r="C513">
        <v>0.128087508821453</v>
      </c>
      <c r="D513">
        <v>0.05407187603033201</v>
      </c>
      <c r="E513">
        <v>0.065666666666666</v>
      </c>
      <c r="F513">
        <v>0.024679487179487</v>
      </c>
      <c r="G513">
        <v>0.065666666666666</v>
      </c>
      <c r="H513">
        <v>0.065666666666666</v>
      </c>
      <c r="I513">
        <v>0.065666666666666</v>
      </c>
    </row>
    <row r="514" spans="1:9">
      <c r="A514" s="1" t="s">
        <v>526</v>
      </c>
      <c r="B514">
        <f>HYPERLINK("https://www.suredividend.com/sure-analysis-research-database/","Cellular Biomedicine Group Inc")</f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527</v>
      </c>
      <c r="B515">
        <f>HYPERLINK("https://www.suredividend.com/sure-analysis-research-database/","Cboe Global Markets Inc.")</f>
        <v>0</v>
      </c>
      <c r="C515">
        <v>0.018224420723769</v>
      </c>
      <c r="D515">
        <v>-0.002943665849737</v>
      </c>
      <c r="E515">
        <v>-0.058048097109436</v>
      </c>
      <c r="F515">
        <v>-0.09653235673920001</v>
      </c>
      <c r="G515">
        <v>0.137892208158725</v>
      </c>
      <c r="H515">
        <v>0.236090947975246</v>
      </c>
      <c r="I515">
        <v>0.5590431278128351</v>
      </c>
    </row>
    <row r="516" spans="1:9">
      <c r="A516" s="1" t="s">
        <v>528</v>
      </c>
      <c r="B516">
        <f>HYPERLINK("https://www.suredividend.com/sure-analysis-research-database/","CBRE Group Inc")</f>
        <v>0</v>
      </c>
      <c r="C516">
        <v>-0.05947015499615201</v>
      </c>
      <c r="D516">
        <v>-0.175960704998555</v>
      </c>
      <c r="E516">
        <v>-0.15679511185572</v>
      </c>
      <c r="F516">
        <v>-0.211501244124965</v>
      </c>
      <c r="G516">
        <v>0.04571009533121501</v>
      </c>
      <c r="H516">
        <v>1.011283497884344</v>
      </c>
      <c r="I516">
        <v>1.621323529411765</v>
      </c>
    </row>
    <row r="517" spans="1:9">
      <c r="A517" s="1" t="s">
        <v>529</v>
      </c>
      <c r="B517">
        <f>HYPERLINK("https://www.suredividend.com/sure-analysis-CBRL/","Cracker Barrel Old Country Store Inc")</f>
        <v>0</v>
      </c>
      <c r="C517">
        <v>-0.021287351157043</v>
      </c>
      <c r="D517">
        <v>-0.072364058550119</v>
      </c>
      <c r="E517">
        <v>-0.09262513831933801</v>
      </c>
      <c r="F517">
        <v>-0.059185781628516</v>
      </c>
      <c r="G517">
        <v>-0.282845859371453</v>
      </c>
      <c r="H517">
        <v>0.4234247004849661</v>
      </c>
      <c r="I517">
        <v>-0.117394895951815</v>
      </c>
    </row>
    <row r="518" spans="1:9">
      <c r="A518" s="1" t="s">
        <v>530</v>
      </c>
      <c r="B518">
        <f>HYPERLINK("https://www.suredividend.com/sure-analysis-CBSH/","Commerce Bancshares, Inc.")</f>
        <v>0</v>
      </c>
      <c r="C518">
        <v>-0.032062749415164</v>
      </c>
      <c r="D518">
        <v>-0.052219549824497</v>
      </c>
      <c r="E518">
        <v>0.040709588169585</v>
      </c>
      <c r="F518">
        <v>0.027198714906355</v>
      </c>
      <c r="G518">
        <v>-0.032042769563153</v>
      </c>
      <c r="H518">
        <v>0.471819079663201</v>
      </c>
      <c r="I518">
        <v>0.579914378254053</v>
      </c>
    </row>
    <row r="519" spans="1:9">
      <c r="A519" s="1" t="s">
        <v>531</v>
      </c>
      <c r="B519">
        <f>HYPERLINK("https://www.suredividend.com/sure-analysis-research-database/","Cabot Corp.")</f>
        <v>0</v>
      </c>
      <c r="C519">
        <v>-0.052118644067796</v>
      </c>
      <c r="D519">
        <v>0.104762281035325</v>
      </c>
      <c r="E519">
        <v>0.27805931520702</v>
      </c>
      <c r="F519">
        <v>0.200298330742911</v>
      </c>
      <c r="G519">
        <v>0.254821742764347</v>
      </c>
      <c r="H519">
        <v>1.511084918897681</v>
      </c>
      <c r="I519">
        <v>0.3513867269699411</v>
      </c>
    </row>
    <row r="520" spans="1:9">
      <c r="A520" s="1" t="s">
        <v>532</v>
      </c>
      <c r="B520">
        <f>HYPERLINK("https://www.suredividend.com/sure-analysis-research-database/","CBTX Inc")</f>
        <v>0</v>
      </c>
      <c r="C520">
        <v>-0.081954244446429</v>
      </c>
      <c r="D520">
        <v>-0.088614649933656</v>
      </c>
      <c r="E520">
        <v>0.07920818068299801</v>
      </c>
      <c r="F520">
        <v>-0.003445350508145</v>
      </c>
      <c r="G520">
        <v>-0.11099304362868</v>
      </c>
      <c r="H520">
        <v>0.9375382896074431</v>
      </c>
      <c r="I520">
        <v>0.06917701603765501</v>
      </c>
    </row>
    <row r="521" spans="1:9">
      <c r="A521" s="1" t="s">
        <v>533</v>
      </c>
      <c r="B521">
        <f>HYPERLINK("https://www.suredividend.com/sure-analysis-CBU/","Community Bank System, Inc.")</f>
        <v>0</v>
      </c>
      <c r="C521">
        <v>-0.065923479218276</v>
      </c>
      <c r="D521">
        <v>-0.121788874784717</v>
      </c>
      <c r="E521">
        <v>-0.030172259811521</v>
      </c>
      <c r="F521">
        <v>-0.08323180038848101</v>
      </c>
      <c r="G521">
        <v>-0.107542039017257</v>
      </c>
      <c r="H521">
        <v>0.182995679024181</v>
      </c>
      <c r="I521">
        <v>0.4874149398963391</v>
      </c>
    </row>
    <row r="522" spans="1:9">
      <c r="A522" s="1" t="s">
        <v>534</v>
      </c>
      <c r="B522">
        <f>HYPERLINK("https://www.suredividend.com/sure-analysis-research-database/","Cbiz Inc")</f>
        <v>0</v>
      </c>
      <c r="C522">
        <v>0.024606299212598</v>
      </c>
      <c r="D522">
        <v>0.019588638589618</v>
      </c>
      <c r="E522">
        <v>0.193807339449541</v>
      </c>
      <c r="F522">
        <v>0.06441717791411</v>
      </c>
      <c r="G522">
        <v>0.235608308605341</v>
      </c>
      <c r="H522">
        <v>0.9206642066420661</v>
      </c>
      <c r="I522">
        <v>1.98494623655914</v>
      </c>
    </row>
    <row r="523" spans="1:9">
      <c r="A523" s="1" t="s">
        <v>535</v>
      </c>
      <c r="B523">
        <f>HYPERLINK("https://www.suredividend.com/sure-analysis-CC/","Chemours Company")</f>
        <v>0</v>
      </c>
      <c r="C523">
        <v>0.171983356449375</v>
      </c>
      <c r="D523">
        <v>-0.056890696980097</v>
      </c>
      <c r="E523">
        <v>0.112596035471404</v>
      </c>
      <c r="F523">
        <v>0.01617461367326</v>
      </c>
      <c r="G523">
        <v>0.157954599957518</v>
      </c>
      <c r="H523">
        <v>2.959560933894075</v>
      </c>
      <c r="I523">
        <v>0.147411873336592</v>
      </c>
    </row>
    <row r="524" spans="1:9">
      <c r="A524" s="1" t="s">
        <v>536</v>
      </c>
      <c r="B524">
        <f>HYPERLINK("https://www.suredividend.com/sure-analysis-research-database/","Capital City Bank Group, Inc.")</f>
        <v>0</v>
      </c>
      <c r="C524">
        <v>-0.08625730994152001</v>
      </c>
      <c r="D524">
        <v>-0.09781165194295201</v>
      </c>
      <c r="E524">
        <v>-0.036571736868472</v>
      </c>
      <c r="F524">
        <v>-0.04757550821370801</v>
      </c>
      <c r="G524">
        <v>-0.002983074640675</v>
      </c>
      <c r="H524">
        <v>0.5629591192412771</v>
      </c>
      <c r="I524">
        <v>0.332217822942922</v>
      </c>
    </row>
    <row r="525" spans="1:9">
      <c r="A525" s="1" t="s">
        <v>537</v>
      </c>
      <c r="B525">
        <f>HYPERLINK("https://www.suredividend.com/sure-analysis-research-database/","Chase Corp.")</f>
        <v>0</v>
      </c>
      <c r="C525">
        <v>-0.027195720017833</v>
      </c>
      <c r="D525">
        <v>-0.08750653423941401</v>
      </c>
      <c r="E525">
        <v>-0.103756050776203</v>
      </c>
      <c r="F525">
        <v>-0.123342707914825</v>
      </c>
      <c r="G525">
        <v>-0.247736011190874</v>
      </c>
      <c r="H525">
        <v>0.08886038933495601</v>
      </c>
      <c r="I525">
        <v>-0.055459300230399</v>
      </c>
    </row>
    <row r="526" spans="1:9">
      <c r="A526" s="1" t="s">
        <v>538</v>
      </c>
      <c r="B526">
        <f>HYPERLINK("https://www.suredividend.com/sure-analysis-CCI/","Crown Castle International Corp")</f>
        <v>0</v>
      </c>
      <c r="C526">
        <v>0.11118800461361</v>
      </c>
      <c r="D526">
        <v>0.055255218085895</v>
      </c>
      <c r="E526">
        <v>0.159455871716088</v>
      </c>
      <c r="F526">
        <v>-0.069055967284574</v>
      </c>
      <c r="G526">
        <v>0.104964137984031</v>
      </c>
      <c r="H526">
        <v>0.265990788254696</v>
      </c>
      <c r="I526">
        <v>1.380140624459564</v>
      </c>
    </row>
    <row r="527" spans="1:9">
      <c r="A527" s="1" t="s">
        <v>539</v>
      </c>
      <c r="B527">
        <f>HYPERLINK("https://www.suredividend.com/sure-analysis-research-database/","Crown Holdings, Inc.")</f>
        <v>0</v>
      </c>
      <c r="C527">
        <v>-0.05641066328149701</v>
      </c>
      <c r="D527">
        <v>0.05325150331659501</v>
      </c>
      <c r="E527">
        <v>0.150409264407442</v>
      </c>
      <c r="F527">
        <v>0.077150338234082</v>
      </c>
      <c r="G527">
        <v>0.098485968049418</v>
      </c>
      <c r="H527">
        <v>0.9811859796067611</v>
      </c>
      <c r="I527">
        <v>1.251212868616468</v>
      </c>
    </row>
    <row r="528" spans="1:9">
      <c r="A528" s="1" t="s">
        <v>540</v>
      </c>
      <c r="B528">
        <f>HYPERLINK("https://www.suredividend.com/sure-analysis-research-database/","Carnival Corp.")</f>
        <v>0</v>
      </c>
      <c r="C528">
        <v>0.011898603207449</v>
      </c>
      <c r="D528">
        <v>-0.147712418300653</v>
      </c>
      <c r="E528">
        <v>-0.173637515842839</v>
      </c>
      <c r="F528">
        <v>-0.027833001988071</v>
      </c>
      <c r="G528">
        <v>-0.276359600443951</v>
      </c>
      <c r="H528">
        <v>0.6506329113924051</v>
      </c>
      <c r="I528">
        <v>-0.623107589680547</v>
      </c>
    </row>
    <row r="529" spans="1:9">
      <c r="A529" s="1" t="s">
        <v>541</v>
      </c>
      <c r="B529">
        <f>HYPERLINK("https://www.suredividend.com/sure-analysis-research-database/","CMC Materials Inc")</f>
        <v>0</v>
      </c>
      <c r="C529">
        <v>-0.050254577050657</v>
      </c>
      <c r="D529">
        <v>-0.058706881215967</v>
      </c>
      <c r="E529">
        <v>0.3981397282752731</v>
      </c>
      <c r="F529">
        <v>-0.07854489583425901</v>
      </c>
      <c r="G529">
        <v>-0.062127405893374</v>
      </c>
      <c r="H529">
        <v>0.6033282254923721</v>
      </c>
      <c r="I529">
        <v>1.670235062520174</v>
      </c>
    </row>
    <row r="530" spans="1:9">
      <c r="A530" s="1" t="s">
        <v>542</v>
      </c>
      <c r="B530">
        <f>HYPERLINK("https://www.suredividend.com/sure-analysis-research-database/","CNB Financial Corp (PA)")</f>
        <v>0</v>
      </c>
      <c r="C530">
        <v>-0.09255898366606101</v>
      </c>
      <c r="D530">
        <v>-0.101194692015373</v>
      </c>
      <c r="E530">
        <v>0.013734069169103</v>
      </c>
      <c r="F530">
        <v>-0.050317953549151</v>
      </c>
      <c r="G530">
        <v>0.044286084261355</v>
      </c>
      <c r="H530">
        <v>0.710945947795617</v>
      </c>
      <c r="I530">
        <v>0.265950982377962</v>
      </c>
    </row>
    <row r="531" spans="1:9">
      <c r="A531" s="1" t="s">
        <v>543</v>
      </c>
      <c r="B531">
        <f>HYPERLINK("https://www.suredividend.com/sure-analysis-research-database/","Clear Channel Outdoor Holdings Inc.")</f>
        <v>0</v>
      </c>
      <c r="C531">
        <v>-0.132791327913279</v>
      </c>
      <c r="D531">
        <v>-0.01840490797546</v>
      </c>
      <c r="E531">
        <v>0.189591078066914</v>
      </c>
      <c r="F531">
        <v>-0.033232628398791</v>
      </c>
      <c r="G531">
        <v>0.5311004784688991</v>
      </c>
      <c r="H531">
        <v>3.407106459165405</v>
      </c>
      <c r="I531">
        <v>-0.280898876404494</v>
      </c>
    </row>
    <row r="532" spans="1:9">
      <c r="A532" s="1" t="s">
        <v>544</v>
      </c>
      <c r="B532">
        <f>HYPERLINK("https://www.suredividend.com/sure-analysis-research-database/","Cogent Communications Holdings Inc")</f>
        <v>0</v>
      </c>
      <c r="C532">
        <v>0.050324418420636</v>
      </c>
      <c r="D532">
        <v>0.051367633337716</v>
      </c>
      <c r="E532">
        <v>-0.071027160943109</v>
      </c>
      <c r="F532">
        <v>-0.08066388340208301</v>
      </c>
      <c r="G532">
        <v>0.005862098231065</v>
      </c>
      <c r="H532">
        <v>-0.199812883772128</v>
      </c>
      <c r="I532">
        <v>0.894667127225599</v>
      </c>
    </row>
    <row r="533" spans="1:9">
      <c r="A533" s="1" t="s">
        <v>545</v>
      </c>
      <c r="B533">
        <f>HYPERLINK("https://www.suredividend.com/sure-analysis-research-database/","Cross Country Healthcares, Inc.")</f>
        <v>0</v>
      </c>
      <c r="C533">
        <v>-0.06367041198501801</v>
      </c>
      <c r="D533">
        <v>-0.123191582639193</v>
      </c>
      <c r="E533">
        <v>0.05876124933827401</v>
      </c>
      <c r="F533">
        <v>-0.279538904899135</v>
      </c>
      <c r="G533">
        <v>0.524390243902439</v>
      </c>
      <c r="H533">
        <v>2.125</v>
      </c>
      <c r="I533">
        <v>0.4194464158978</v>
      </c>
    </row>
    <row r="534" spans="1:9">
      <c r="A534" s="1" t="s">
        <v>546</v>
      </c>
      <c r="B534">
        <f>HYPERLINK("https://www.suredividend.com/sure-analysis-research-database/","Century Communities Inc")</f>
        <v>0</v>
      </c>
      <c r="C534">
        <v>-0.179102067183462</v>
      </c>
      <c r="D534">
        <v>-0.304175222450376</v>
      </c>
      <c r="E534">
        <v>-0.172664563740474</v>
      </c>
      <c r="F534">
        <v>-0.376573743488856</v>
      </c>
      <c r="G534">
        <v>-0.242420855112057</v>
      </c>
      <c r="H534">
        <v>2.329316059053932</v>
      </c>
      <c r="I534">
        <v>1.004100461301896</v>
      </c>
    </row>
    <row r="535" spans="1:9">
      <c r="A535" s="1" t="s">
        <v>547</v>
      </c>
      <c r="B535">
        <f>HYPERLINK("https://www.suredividend.com/sure-analysis-research-database/","ChemoCentryx Inc")</f>
        <v>0</v>
      </c>
      <c r="C535">
        <v>-0.108812577575506</v>
      </c>
      <c r="D535">
        <v>-0.337230769230769</v>
      </c>
      <c r="E535">
        <v>-0.375108790252393</v>
      </c>
      <c r="F535">
        <v>-0.4084042845372151</v>
      </c>
      <c r="G535">
        <v>-0.5371723248818221</v>
      </c>
      <c r="H535">
        <v>-0.540136635354397</v>
      </c>
      <c r="I535">
        <v>2.068376068376069</v>
      </c>
    </row>
    <row r="536" spans="1:9">
      <c r="A536" s="1" t="s">
        <v>548</v>
      </c>
      <c r="B536">
        <f>HYPERLINK("https://www.suredividend.com/sure-analysis-research-database/","Ceridian HCM Holding Inc.")</f>
        <v>0</v>
      </c>
      <c r="C536">
        <v>-0.05087664370695</v>
      </c>
      <c r="D536">
        <v>-0.268018833755885</v>
      </c>
      <c r="E536">
        <v>-0.5047377879431461</v>
      </c>
      <c r="F536">
        <v>-0.419586444572084</v>
      </c>
      <c r="G536">
        <v>-0.354588034915903</v>
      </c>
      <c r="H536">
        <v>0.208973080757726</v>
      </c>
      <c r="I536">
        <v>0.942646587632169</v>
      </c>
    </row>
    <row r="537" spans="1:9">
      <c r="A537" s="1" t="s">
        <v>549</v>
      </c>
      <c r="B537">
        <f>HYPERLINK("https://www.suredividend.com/sure-analysis-research-database/","Coeur Mining Inc")</f>
        <v>0</v>
      </c>
      <c r="C537">
        <v>0.171111111111111</v>
      </c>
      <c r="D537">
        <v>0.035363457760314</v>
      </c>
      <c r="E537">
        <v>-0.171383647798742</v>
      </c>
      <c r="F537">
        <v>0.04563492063492</v>
      </c>
      <c r="G537">
        <v>-0.458376156217882</v>
      </c>
      <c r="H537">
        <v>0.228438228438228</v>
      </c>
      <c r="I537">
        <v>-0.463340122199592</v>
      </c>
    </row>
    <row r="538" spans="1:9">
      <c r="A538" s="1" t="s">
        <v>550</v>
      </c>
      <c r="B538">
        <f>HYPERLINK("https://www.suredividend.com/sure-analysis-research-database/","Centennial Resource Development Inc.")</f>
        <v>0</v>
      </c>
      <c r="C538">
        <v>0.235216819973718</v>
      </c>
      <c r="D538">
        <v>0.238471673254282</v>
      </c>
      <c r="E538">
        <v>0.378299120234604</v>
      </c>
      <c r="F538">
        <v>0.57190635451505</v>
      </c>
      <c r="G538">
        <v>1.276029055690072</v>
      </c>
      <c r="H538">
        <v>33.55882352941176</v>
      </c>
      <c r="I538">
        <v>-0.525012632642748</v>
      </c>
    </row>
    <row r="539" spans="1:9">
      <c r="A539" s="1" t="s">
        <v>551</v>
      </c>
      <c r="B539">
        <f>HYPERLINK("https://www.suredividend.com/sure-analysis-research-database/","CDK Global Inc")</f>
        <v>0</v>
      </c>
      <c r="C539">
        <v>0.137959866220735</v>
      </c>
      <c r="D539">
        <v>0.253289193488605</v>
      </c>
      <c r="E539">
        <v>0.223808057260908</v>
      </c>
      <c r="F539">
        <v>0.30853746181229</v>
      </c>
      <c r="G539">
        <v>0.013682101546963</v>
      </c>
      <c r="H539">
        <v>0.6356502040056</v>
      </c>
      <c r="I539">
        <v>-0.103987781053061</v>
      </c>
    </row>
    <row r="540" spans="1:9">
      <c r="A540" s="1" t="s">
        <v>552</v>
      </c>
      <c r="B540">
        <f>HYPERLINK("https://www.suredividend.com/sure-analysis-research-database/","Cardlytics Inc")</f>
        <v>0</v>
      </c>
      <c r="C540">
        <v>-0.015439182140621</v>
      </c>
      <c r="D540">
        <v>-0.278109224414869</v>
      </c>
      <c r="E540">
        <v>-0.4394155381325731</v>
      </c>
      <c r="F540">
        <v>-0.285973672265093</v>
      </c>
      <c r="G540">
        <v>-0.6195275336612101</v>
      </c>
      <c r="H540">
        <v>0.07128263337116901</v>
      </c>
      <c r="I540">
        <v>2.529543754674645</v>
      </c>
    </row>
    <row r="541" spans="1:9">
      <c r="A541" s="1" t="s">
        <v>553</v>
      </c>
      <c r="B541">
        <f>HYPERLINK("https://www.suredividend.com/sure-analysis-research-database/","Avid Bioservices Inc")</f>
        <v>0</v>
      </c>
      <c r="C541">
        <v>-0.097585017249876</v>
      </c>
      <c r="D541">
        <v>-0.126847877920839</v>
      </c>
      <c r="E541">
        <v>-0.2900348972469941</v>
      </c>
      <c r="F541">
        <v>-0.37251542152159</v>
      </c>
      <c r="G541">
        <v>-0.044363256784968</v>
      </c>
      <c r="H541">
        <v>3.151927437641722</v>
      </c>
      <c r="I541">
        <v>3.861922464152947</v>
      </c>
    </row>
    <row r="542" spans="1:9">
      <c r="A542" s="1" t="s">
        <v>554</v>
      </c>
      <c r="B542">
        <f>HYPERLINK("https://www.suredividend.com/sure-analysis-research-database/","Caredx Inc")</f>
        <v>0</v>
      </c>
      <c r="C542">
        <v>0.053869047619047</v>
      </c>
      <c r="D542">
        <v>-0.149002643595289</v>
      </c>
      <c r="E542">
        <v>-0.501267605633802</v>
      </c>
      <c r="F542">
        <v>-0.221416007036059</v>
      </c>
      <c r="G542">
        <v>-0.5232260670526451</v>
      </c>
      <c r="H542">
        <v>0.6102773988176441</v>
      </c>
      <c r="I542">
        <v>28.50833333333333</v>
      </c>
    </row>
    <row r="543" spans="1:9">
      <c r="A543" s="1" t="s">
        <v>555</v>
      </c>
      <c r="B543">
        <f>HYPERLINK("https://www.suredividend.com/sure-analysis-research-database/","Cadence Design Systems, Inc.")</f>
        <v>0</v>
      </c>
      <c r="C543">
        <v>-0.004717294531924</v>
      </c>
      <c r="D543">
        <v>-0.07387944358578001</v>
      </c>
      <c r="E543">
        <v>-0.03838746950828</v>
      </c>
      <c r="F543">
        <v>-0.196136302656291</v>
      </c>
      <c r="G543">
        <v>0.017248404183077</v>
      </c>
      <c r="H543">
        <v>0.9060949230181951</v>
      </c>
      <c r="I543">
        <v>3.815171970427516</v>
      </c>
    </row>
    <row r="544" spans="1:9">
      <c r="A544" s="1" t="s">
        <v>556</v>
      </c>
      <c r="B544">
        <f>HYPERLINK("https://www.suredividend.com/sure-analysis-research-database/","Cedar Realty Trust Inc")</f>
        <v>0</v>
      </c>
      <c r="C544">
        <v>0.010714285714285</v>
      </c>
      <c r="D544">
        <v>0.166125496530467</v>
      </c>
      <c r="E544">
        <v>0.3016221984076971</v>
      </c>
      <c r="F544">
        <v>0.130367748970486</v>
      </c>
      <c r="G544">
        <v>0.821540521230923</v>
      </c>
      <c r="H544">
        <v>33.85650942234265</v>
      </c>
      <c r="I544">
        <v>5.588136698016575</v>
      </c>
    </row>
    <row r="545" spans="1:9">
      <c r="A545" s="1" t="s">
        <v>557</v>
      </c>
      <c r="B545">
        <f>HYPERLINK("https://www.suredividend.com/sure-analysis-research-database/","Cidara Therapeutics Inc")</f>
        <v>0</v>
      </c>
      <c r="C545">
        <v>0.162070428510819</v>
      </c>
      <c r="D545">
        <v>-0.148497409326424</v>
      </c>
      <c r="E545">
        <v>-0.510892857142857</v>
      </c>
      <c r="F545">
        <v>-0.352992125984252</v>
      </c>
      <c r="G545">
        <v>-0.616028037383177</v>
      </c>
      <c r="H545">
        <v>-0.7022826086956521</v>
      </c>
      <c r="I545">
        <v>-0.8773582089552231</v>
      </c>
    </row>
    <row r="546" spans="1:9">
      <c r="A546" s="1" t="s">
        <v>558</v>
      </c>
      <c r="B546">
        <f>HYPERLINK("https://www.suredividend.com/sure-analysis-research-database/","CDW Corp")</f>
        <v>0</v>
      </c>
      <c r="C546">
        <v>-0.002479815455594</v>
      </c>
      <c r="D546">
        <v>-0.09474578879111301</v>
      </c>
      <c r="E546">
        <v>-0.021346826378881</v>
      </c>
      <c r="F546">
        <v>-0.15283250356925</v>
      </c>
      <c r="G546">
        <v>-0.05061693158865301</v>
      </c>
      <c r="H546">
        <v>0.696837351022742</v>
      </c>
      <c r="I546">
        <v>2.212386734441829</v>
      </c>
    </row>
    <row r="547" spans="1:9">
      <c r="A547" s="1" t="s">
        <v>559</v>
      </c>
      <c r="B547">
        <f>HYPERLINK("https://www.suredividend.com/sure-analysis-research-database/","Chromadex Corp")</f>
        <v>0</v>
      </c>
      <c r="C547">
        <v>-0.013824884792626</v>
      </c>
      <c r="D547">
        <v>-0.289036544850498</v>
      </c>
      <c r="E547">
        <v>-0.6635220125786161</v>
      </c>
      <c r="F547">
        <v>-0.427807486631016</v>
      </c>
      <c r="G547">
        <v>-0.7390243902439021</v>
      </c>
      <c r="H547">
        <v>-0.408839779005524</v>
      </c>
      <c r="I547">
        <v>-0.077586206896551</v>
      </c>
    </row>
    <row r="548" spans="1:9">
      <c r="A548" s="1" t="s">
        <v>560</v>
      </c>
      <c r="B548">
        <f>HYPERLINK("https://www.suredividend.com/sure-analysis-research-database/","Codexis Inc.")</f>
        <v>0</v>
      </c>
      <c r="C548">
        <v>-0.008625336927223001</v>
      </c>
      <c r="D548">
        <v>-0.217446808510638</v>
      </c>
      <c r="E548">
        <v>-0.350864807624426</v>
      </c>
      <c r="F548">
        <v>-0.411896386312759</v>
      </c>
      <c r="G548">
        <v>-0.220762711864406</v>
      </c>
      <c r="H548">
        <v>0.7631831255992331</v>
      </c>
      <c r="I548">
        <v>3.276744186046512</v>
      </c>
    </row>
    <row r="549" spans="1:9">
      <c r="A549" s="1" t="s">
        <v>561</v>
      </c>
      <c r="B549">
        <f>HYPERLINK("https://www.suredividend.com/sure-analysis-research-database/","Cadiz Inc.")</f>
        <v>0</v>
      </c>
      <c r="C549">
        <v>0.066298342541436</v>
      </c>
      <c r="D549">
        <v>-0.416918429003021</v>
      </c>
      <c r="E549">
        <v>-0.737057220708446</v>
      </c>
      <c r="F549">
        <v>-0.5</v>
      </c>
      <c r="G549">
        <v>-0.8156638013371531</v>
      </c>
      <c r="H549">
        <v>-0.843851132686084</v>
      </c>
      <c r="I549">
        <v>-0.8709030100334441</v>
      </c>
    </row>
    <row r="550" spans="1:9">
      <c r="A550" s="1" t="s">
        <v>562</v>
      </c>
      <c r="B550">
        <f>HYPERLINK("https://www.suredividend.com/sure-analysis-CE/","Celanese Corp")</f>
        <v>0</v>
      </c>
      <c r="C550">
        <v>0.020598987626546</v>
      </c>
      <c r="D550">
        <v>-0.159693537333061</v>
      </c>
      <c r="E550">
        <v>-0.111258857107174</v>
      </c>
      <c r="F550">
        <v>-0.132343211244573</v>
      </c>
      <c r="G550">
        <v>-0.06443760887343901</v>
      </c>
      <c r="H550">
        <v>1.096614394528034</v>
      </c>
      <c r="I550">
        <v>0.8068330325471401</v>
      </c>
    </row>
    <row r="551" spans="1:9">
      <c r="A551" s="1" t="s">
        <v>563</v>
      </c>
      <c r="B551">
        <f>HYPERLINK("https://www.suredividend.com/sure-analysis-research-database/","Ceco Environmental Corp.")</f>
        <v>0</v>
      </c>
      <c r="C551">
        <v>-0.06445672191528501</v>
      </c>
      <c r="D551">
        <v>-0.189792663476874</v>
      </c>
      <c r="E551">
        <v>-0.281471004243281</v>
      </c>
      <c r="F551">
        <v>-0.184590690208667</v>
      </c>
      <c r="G551">
        <v>-0.341115434500648</v>
      </c>
      <c r="H551">
        <v>0.09482758620689601</v>
      </c>
      <c r="I551">
        <v>-0.504873294346978</v>
      </c>
    </row>
    <row r="552" spans="1:9">
      <c r="A552" s="1" t="s">
        <v>564</v>
      </c>
      <c r="B552">
        <f>HYPERLINK("https://www.suredividend.com/sure-analysis-research-database/","Camber Energy Inc")</f>
        <v>0</v>
      </c>
      <c r="C552">
        <v>0.101544694859458</v>
      </c>
      <c r="D552">
        <v>0.160928742994395</v>
      </c>
      <c r="E552">
        <v>-0.364963503649635</v>
      </c>
      <c r="F552">
        <v>0.023529411764705</v>
      </c>
      <c r="G552">
        <v>0.215762996087199</v>
      </c>
      <c r="H552">
        <v>-0.505681818181818</v>
      </c>
      <c r="I552">
        <v>-0.9999968381601361</v>
      </c>
    </row>
    <row r="553" spans="1:9">
      <c r="A553" s="1" t="s">
        <v>565</v>
      </c>
      <c r="B553">
        <f>HYPERLINK("https://www.suredividend.com/sure-analysis-research-database/","Consol Energy Inc")</f>
        <v>0</v>
      </c>
      <c r="C553">
        <v>0.626542180726909</v>
      </c>
      <c r="D553">
        <v>0.9099451840250581</v>
      </c>
      <c r="E553">
        <v>0.493570116350275</v>
      </c>
      <c r="F553">
        <v>1.147952443857331</v>
      </c>
      <c r="G553">
        <v>4.129337539432177</v>
      </c>
      <c r="H553">
        <v>9.016427104722792</v>
      </c>
      <c r="I553">
        <v>1.274125874125874</v>
      </c>
    </row>
    <row r="554" spans="1:9">
      <c r="A554" s="1" t="s">
        <v>566</v>
      </c>
      <c r="B554">
        <f>HYPERLINK("https://www.suredividend.com/sure-analysis-research-database/","Celcuity Inc")</f>
        <v>0</v>
      </c>
      <c r="C554">
        <v>0.007566204287515001</v>
      </c>
      <c r="D554">
        <v>-0.30702515177797</v>
      </c>
      <c r="E554">
        <v>-0.560989010989011</v>
      </c>
      <c r="F554">
        <v>-0.394238059135708</v>
      </c>
      <c r="G554">
        <v>-0.691267387944358</v>
      </c>
      <c r="H554">
        <v>0.807692307692307</v>
      </c>
      <c r="I554">
        <v>-0.4408677396780961</v>
      </c>
    </row>
    <row r="555" spans="1:9">
      <c r="A555" s="1" t="s">
        <v>567</v>
      </c>
      <c r="B555">
        <f>HYPERLINK("https://www.suredividend.com/sure-analysis-research-database/","Celsius Holdings Inc")</f>
        <v>0</v>
      </c>
      <c r="C555">
        <v>0.079486150140505</v>
      </c>
      <c r="D555">
        <v>0.08998783948115101</v>
      </c>
      <c r="E555">
        <v>-0.395118659318411</v>
      </c>
      <c r="F555">
        <v>-0.278798444414643</v>
      </c>
      <c r="G555">
        <v>-0.114805365813513</v>
      </c>
      <c r="H555">
        <v>11.83532219570406</v>
      </c>
      <c r="I555">
        <v>78.08823529411764</v>
      </c>
    </row>
    <row r="556" spans="1:9">
      <c r="A556" s="1" t="s">
        <v>568</v>
      </c>
      <c r="B556">
        <f>HYPERLINK("https://www.suredividend.com/sure-analysis-research-database/","Chembio Diagnostics Inc.")</f>
        <v>0</v>
      </c>
      <c r="C556">
        <v>0.084273675189258</v>
      </c>
      <c r="D556">
        <v>-0.303577981651376</v>
      </c>
      <c r="E556">
        <v>-0.6850207468879661</v>
      </c>
      <c r="F556">
        <v>-0.334122807017543</v>
      </c>
      <c r="G556">
        <v>-0.78972299168975</v>
      </c>
      <c r="H556">
        <v>-0.9400394944707741</v>
      </c>
      <c r="I556">
        <v>-0.8734833333333331</v>
      </c>
    </row>
    <row r="557" spans="1:9">
      <c r="A557" s="1" t="s">
        <v>569</v>
      </c>
      <c r="B557">
        <f>HYPERLINK("https://www.suredividend.com/sure-analysis-research-database/","Central Garden &amp; Pet Co.")</f>
        <v>0</v>
      </c>
      <c r="C557">
        <v>-0.001763279700242</v>
      </c>
      <c r="D557">
        <v>-0.067531397982293</v>
      </c>
      <c r="E557">
        <v>-0.083940129449838</v>
      </c>
      <c r="F557">
        <v>-0.139464183925517</v>
      </c>
      <c r="G557">
        <v>-0.204321855235418</v>
      </c>
      <c r="H557">
        <v>0.4873563218390801</v>
      </c>
      <c r="I557">
        <v>0.241842610364683</v>
      </c>
    </row>
    <row r="558" spans="1:9">
      <c r="A558" s="1" t="s">
        <v>570</v>
      </c>
      <c r="B558">
        <f>HYPERLINK("https://www.suredividend.com/sure-analysis-research-database/","Central Garden &amp; Pet Co.")</f>
        <v>0</v>
      </c>
      <c r="C558">
        <v>0.014326647564469</v>
      </c>
      <c r="D558">
        <v>-0.05115032387759601</v>
      </c>
      <c r="E558">
        <v>-0.05558025789239601</v>
      </c>
      <c r="F558">
        <v>-0.112225705329153</v>
      </c>
      <c r="G558">
        <v>-0.171606864274571</v>
      </c>
      <c r="H558">
        <v>0.52094522019334</v>
      </c>
      <c r="I558">
        <v>0.241379310344827</v>
      </c>
    </row>
    <row r="559" spans="1:9">
      <c r="A559" s="1" t="s">
        <v>571</v>
      </c>
      <c r="B559">
        <f>HYPERLINK("https://www.suredividend.com/sure-analysis-research-database/","Century Aluminum Co.")</f>
        <v>0</v>
      </c>
      <c r="C559">
        <v>0.223660714285714</v>
      </c>
      <c r="D559">
        <v>0.6238151658767771</v>
      </c>
      <c r="E559">
        <v>0.588985507246376</v>
      </c>
      <c r="F559">
        <v>0.6551932367149761</v>
      </c>
      <c r="G559">
        <v>0.6199763593380611</v>
      </c>
      <c r="H559">
        <v>6.046272493573265</v>
      </c>
      <c r="I559">
        <v>1.354810996563574</v>
      </c>
    </row>
    <row r="560" spans="1:9">
      <c r="A560" s="1" t="s">
        <v>572</v>
      </c>
      <c r="B560">
        <f>HYPERLINK("https://www.suredividend.com/sure-analysis-research-database/","Cerner Corp.")</f>
        <v>0</v>
      </c>
      <c r="C560">
        <v>-2.143618127e-06</v>
      </c>
      <c r="D560">
        <v>0.014745900230792</v>
      </c>
      <c r="E560">
        <v>0.3139993746884</v>
      </c>
      <c r="F560">
        <v>0.007535458120865</v>
      </c>
      <c r="G560">
        <v>0.253407239132099</v>
      </c>
      <c r="H560">
        <v>0.390374969077941</v>
      </c>
      <c r="I560">
        <v>0.6455839089055541</v>
      </c>
    </row>
    <row r="561" spans="1:9">
      <c r="A561" s="1" t="s">
        <v>573</v>
      </c>
      <c r="B561">
        <f>HYPERLINK("https://www.suredividend.com/sure-analysis-research-database/","Cerus Corp.")</f>
        <v>0</v>
      </c>
      <c r="C561">
        <v>-0.088679245283018</v>
      </c>
      <c r="D561">
        <v>-0.172945205479452</v>
      </c>
      <c r="E561">
        <v>-0.21078431372549</v>
      </c>
      <c r="F561">
        <v>-0.290748898678414</v>
      </c>
      <c r="G561">
        <v>-0.218446601941747</v>
      </c>
      <c r="H561">
        <v>-0.060311284046692</v>
      </c>
      <c r="I561">
        <v>0.175182481751824</v>
      </c>
    </row>
    <row r="562" spans="1:9">
      <c r="A562" s="1" t="s">
        <v>574</v>
      </c>
      <c r="B562">
        <f>HYPERLINK("https://www.suredividend.com/sure-analysis-research-database/","Cemtrex Inc.")</f>
        <v>0</v>
      </c>
      <c r="C562">
        <v>-0.0919228931018</v>
      </c>
      <c r="D562">
        <v>-0.326798157552852</v>
      </c>
      <c r="E562">
        <v>-0.491071428571428</v>
      </c>
      <c r="F562">
        <v>-0.304793267471642</v>
      </c>
      <c r="G562">
        <v>-0.606896551724138</v>
      </c>
      <c r="H562">
        <v>-0.300355959248803</v>
      </c>
      <c r="I562">
        <v>-0.9770161290322581</v>
      </c>
    </row>
    <row r="563" spans="1:9">
      <c r="A563" s="1" t="s">
        <v>575</v>
      </c>
      <c r="B563">
        <f>HYPERLINK("https://www.suredividend.com/sure-analysis-research-database/","Ceva Inc.")</f>
        <v>0</v>
      </c>
      <c r="C563">
        <v>-0.104236200256739</v>
      </c>
      <c r="D563">
        <v>-0.139792899408284</v>
      </c>
      <c r="E563">
        <v>-0.182329505507382</v>
      </c>
      <c r="F563">
        <v>-0.193108233117483</v>
      </c>
      <c r="G563">
        <v>-0.401851534373392</v>
      </c>
      <c r="H563">
        <v>0.250986016493366</v>
      </c>
      <c r="I563">
        <v>0.04304932735426</v>
      </c>
    </row>
    <row r="564" spans="1:9">
      <c r="A564" s="1" t="s">
        <v>576</v>
      </c>
      <c r="B564">
        <f>HYPERLINK("https://www.suredividend.com/sure-analysis-CF/","CF Industries Holdings Inc")</f>
        <v>0</v>
      </c>
      <c r="C564">
        <v>0.229696007259528</v>
      </c>
      <c r="D564">
        <v>0.6381007641246711</v>
      </c>
      <c r="E564">
        <v>0.8533841656266561</v>
      </c>
      <c r="F564">
        <v>0.5376585209486641</v>
      </c>
      <c r="G564">
        <v>1.338670359871772</v>
      </c>
      <c r="H564">
        <v>3.268631210895818</v>
      </c>
      <c r="I564">
        <v>3.426813233480607</v>
      </c>
    </row>
    <row r="565" spans="1:9">
      <c r="A565" s="1" t="s">
        <v>577</v>
      </c>
      <c r="B565">
        <f>HYPERLINK("https://www.suredividend.com/sure-analysis-research-database/","CF Bankshares Inc")</f>
        <v>0</v>
      </c>
      <c r="C565">
        <v>0.049470651397587</v>
      </c>
      <c r="D565">
        <v>0.05773440216246901</v>
      </c>
      <c r="E565">
        <v>0.105695842910014</v>
      </c>
      <c r="F565">
        <v>0.056182797013363</v>
      </c>
      <c r="G565">
        <v>0.104322174277592</v>
      </c>
      <c r="H565">
        <v>1.155784662062358</v>
      </c>
      <c r="I565">
        <v>0.8596728368489021</v>
      </c>
    </row>
    <row r="566" spans="1:9">
      <c r="A566" s="1" t="s">
        <v>578</v>
      </c>
      <c r="B566">
        <f>HYPERLINK("https://www.suredividend.com/sure-analysis-research-database/","C &amp; F Financial Corp")</f>
        <v>0</v>
      </c>
      <c r="C566">
        <v>0.007013038324772</v>
      </c>
      <c r="D566">
        <v>-0.030436403475402</v>
      </c>
      <c r="E566">
        <v>0.01165361456543</v>
      </c>
      <c r="F566">
        <v>0.003846025084827</v>
      </c>
      <c r="G566">
        <v>0.274674548518901</v>
      </c>
      <c r="H566">
        <v>0.757049742000641</v>
      </c>
      <c r="I566">
        <v>0.262485542404406</v>
      </c>
    </row>
    <row r="567" spans="1:9">
      <c r="A567" s="1" t="s">
        <v>579</v>
      </c>
      <c r="B567">
        <f>HYPERLINK("https://www.suredividend.com/sure-analysis-research-database/","Capitol Federal Financial")</f>
        <v>0</v>
      </c>
      <c r="C567">
        <v>-0.07692307692307601</v>
      </c>
      <c r="D567">
        <v>-0.09950001308866201</v>
      </c>
      <c r="E567">
        <v>-0.100104638995465</v>
      </c>
      <c r="F567">
        <v>-0.082013876534424</v>
      </c>
      <c r="G567">
        <v>-0.150358545400656</v>
      </c>
      <c r="H567">
        <v>0.015088623531957</v>
      </c>
      <c r="I567">
        <v>0.000125984862434</v>
      </c>
    </row>
    <row r="568" spans="1:9">
      <c r="A568" s="1" t="s">
        <v>580</v>
      </c>
      <c r="B568">
        <f>HYPERLINK("https://www.suredividend.com/sure-analysis-CFG/","Citizens Financial Group Inc")</f>
        <v>0</v>
      </c>
      <c r="C568">
        <v>-0.188120778704807</v>
      </c>
      <c r="D568">
        <v>-0.26920896832762</v>
      </c>
      <c r="E568">
        <v>-0.136616177620043</v>
      </c>
      <c r="F568">
        <v>-0.128465506468803</v>
      </c>
      <c r="G568">
        <v>-0.057439242076908</v>
      </c>
      <c r="H568">
        <v>1.604213128751481</v>
      </c>
      <c r="I568">
        <v>0.467725832980197</v>
      </c>
    </row>
    <row r="569" spans="1:9">
      <c r="A569" s="1" t="s">
        <v>581</v>
      </c>
      <c r="B569">
        <f>HYPERLINK("https://www.suredividend.com/sure-analysis-research-database/","Conformis Inc.")</f>
        <v>0</v>
      </c>
      <c r="C569">
        <v>0.031925185424056</v>
      </c>
      <c r="D569">
        <v>-0.041772720467135</v>
      </c>
      <c r="E569">
        <v>-0.479674796747967</v>
      </c>
      <c r="F569">
        <v>-0.159443131074336</v>
      </c>
      <c r="G569">
        <v>-0.244302751210296</v>
      </c>
      <c r="H569">
        <v>0.016679904686259</v>
      </c>
      <c r="I569">
        <v>-0.876447876447876</v>
      </c>
    </row>
    <row r="570" spans="1:9">
      <c r="A570" s="1" t="s">
        <v>582</v>
      </c>
      <c r="B570">
        <f>HYPERLINK("https://www.suredividend.com/sure-analysis-CFR/","Cullen Frost Bankers Inc.")</f>
        <v>0</v>
      </c>
      <c r="C570">
        <v>-0.017393141328075</v>
      </c>
      <c r="D570">
        <v>-0.019153705516961</v>
      </c>
      <c r="E570">
        <v>0.141293323998403</v>
      </c>
      <c r="F570">
        <v>0.113031659265864</v>
      </c>
      <c r="G570">
        <v>0.246695417317755</v>
      </c>
      <c r="H570">
        <v>1.578034788874211</v>
      </c>
      <c r="I570">
        <v>0.8505968619160851</v>
      </c>
    </row>
    <row r="571" spans="1:9">
      <c r="A571" s="1" t="s">
        <v>583</v>
      </c>
      <c r="B571">
        <f>HYPERLINK("https://www.suredividend.com/sure-analysis-research-database/","Cancer Genetics Inc.")</f>
        <v>0</v>
      </c>
      <c r="C571">
        <v>-0.291858678955453</v>
      </c>
      <c r="D571">
        <v>0.6405693950177931</v>
      </c>
      <c r="E571">
        <v>0.092417061611374</v>
      </c>
      <c r="F571">
        <v>0.664259927797834</v>
      </c>
      <c r="G571">
        <v>0.7011070110701101</v>
      </c>
      <c r="H571">
        <v>-0.35998889351659</v>
      </c>
      <c r="I571">
        <v>-0.943086419753086</v>
      </c>
    </row>
    <row r="572" spans="1:9">
      <c r="A572" s="1" t="s">
        <v>584</v>
      </c>
      <c r="B572">
        <f>HYPERLINK("https://www.suredividend.com/sure-analysis-research-database/","Cognex Corp.")</f>
        <v>0</v>
      </c>
      <c r="C572">
        <v>0.029467819967746</v>
      </c>
      <c r="D572">
        <v>-0.005275355420696</v>
      </c>
      <c r="E572">
        <v>-0.166645898086798</v>
      </c>
      <c r="F572">
        <v>-0.09610017815399501</v>
      </c>
      <c r="G572">
        <v>-0.178529940606615</v>
      </c>
      <c r="H572">
        <v>0.59893980863728</v>
      </c>
      <c r="I572">
        <v>0.8387782677462261</v>
      </c>
    </row>
    <row r="573" spans="1:9">
      <c r="A573" s="1" t="s">
        <v>585</v>
      </c>
      <c r="B573">
        <f>HYPERLINK("https://www.suredividend.com/sure-analysis-research-database/","Comstock Holding Co. Inc")</f>
        <v>0</v>
      </c>
      <c r="C573">
        <v>0.040152963671128</v>
      </c>
      <c r="D573">
        <v>0.112474437627811</v>
      </c>
      <c r="E573">
        <v>0.225225225225225</v>
      </c>
      <c r="F573">
        <v>0.121649484536082</v>
      </c>
      <c r="G573">
        <v>0.190371991247264</v>
      </c>
      <c r="H573">
        <v>1.344827586206896</v>
      </c>
      <c r="I573">
        <v>1.666666666666667</v>
      </c>
    </row>
    <row r="574" spans="1:9">
      <c r="A574" s="1" t="s">
        <v>586</v>
      </c>
      <c r="B574">
        <f>HYPERLINK("https://www.suredividend.com/sure-analysis-research-database/","City Holding Co.")</f>
        <v>0</v>
      </c>
      <c r="C574">
        <v>-0.043745120669065</v>
      </c>
      <c r="D574">
        <v>-0.09504033243125901</v>
      </c>
      <c r="E574">
        <v>0.012568535139352</v>
      </c>
      <c r="F574">
        <v>-0.05267457118348001</v>
      </c>
      <c r="G574">
        <v>-0.017496063417918</v>
      </c>
      <c r="H574">
        <v>0.281652930872031</v>
      </c>
      <c r="I574">
        <v>0.44321513002364</v>
      </c>
    </row>
    <row r="575" spans="1:9">
      <c r="A575" s="1" t="s">
        <v>587</v>
      </c>
      <c r="B575">
        <f>HYPERLINK("https://www.suredividend.com/sure-analysis-CHCT/","Community Healthcare Trust Inc")</f>
        <v>0</v>
      </c>
      <c r="C575">
        <v>0.031001984126984</v>
      </c>
      <c r="D575">
        <v>-0.09955378417016801</v>
      </c>
      <c r="E575">
        <v>-0.115123365468737</v>
      </c>
      <c r="F575">
        <v>-0.111746442819077</v>
      </c>
      <c r="G575">
        <v>-0.142177346630925</v>
      </c>
      <c r="H575">
        <v>0.346549406410443</v>
      </c>
      <c r="I575">
        <v>1.141172107589134</v>
      </c>
    </row>
    <row r="576" spans="1:9">
      <c r="A576" s="1" t="s">
        <v>588</v>
      </c>
      <c r="B576">
        <f>HYPERLINK("https://www.suredividend.com/sure-analysis-CHD/","Church &amp; Dwight Co., Inc.")</f>
        <v>0</v>
      </c>
      <c r="C576">
        <v>0.05726645380574701</v>
      </c>
      <c r="D576">
        <v>-0.012416707234709</v>
      </c>
      <c r="E576">
        <v>0.236843849217107</v>
      </c>
      <c r="F576">
        <v>0.004155531121484</v>
      </c>
      <c r="G576">
        <v>0.180630075760451</v>
      </c>
      <c r="H576">
        <v>0.4457950111973411</v>
      </c>
      <c r="I576">
        <v>1.204251316860321</v>
      </c>
    </row>
    <row r="577" spans="1:9">
      <c r="A577" s="1" t="s">
        <v>589</v>
      </c>
      <c r="B577">
        <f>HYPERLINK("https://www.suredividend.com/sure-analysis-research-database/","Churchill Downs, Inc.")</f>
        <v>0</v>
      </c>
      <c r="C577">
        <v>-0.06645990252547601</v>
      </c>
      <c r="D577">
        <v>-0.009542612701546001</v>
      </c>
      <c r="E577">
        <v>-0.168576205495446</v>
      </c>
      <c r="F577">
        <v>-0.125363221253632</v>
      </c>
      <c r="G577">
        <v>-0.042200892339652</v>
      </c>
      <c r="H577">
        <v>1.419905937211078</v>
      </c>
      <c r="I577">
        <v>3.151691415240077</v>
      </c>
    </row>
    <row r="578" spans="1:9">
      <c r="A578" s="1" t="s">
        <v>590</v>
      </c>
      <c r="B578">
        <f>HYPERLINK("https://www.suredividend.com/sure-analysis-research-database/","Chemed Corp.")</f>
        <v>0</v>
      </c>
      <c r="C578">
        <v>0.032276764456222</v>
      </c>
      <c r="D578">
        <v>0.027746263340501</v>
      </c>
      <c r="E578">
        <v>0.160958542882935</v>
      </c>
      <c r="F578">
        <v>-0.056798475895298</v>
      </c>
      <c r="G578">
        <v>0.042377909449011</v>
      </c>
      <c r="H578">
        <v>0.11376011983755</v>
      </c>
      <c r="I578">
        <v>1.787998076471443</v>
      </c>
    </row>
    <row r="579" spans="1:9">
      <c r="A579" s="1" t="s">
        <v>591</v>
      </c>
      <c r="B579">
        <f>HYPERLINK("https://www.suredividend.com/sure-analysis-research-database/","Chefs` Warehouse Inc")</f>
        <v>0</v>
      </c>
      <c r="C579">
        <v>0.109809173083361</v>
      </c>
      <c r="D579">
        <v>0.014071581523401</v>
      </c>
      <c r="E579">
        <v>-0.015444015444015</v>
      </c>
      <c r="F579">
        <v>-0.004504504504504001</v>
      </c>
      <c r="G579">
        <v>-0.022123893805309</v>
      </c>
      <c r="H579">
        <v>1.769423558897243</v>
      </c>
      <c r="I579">
        <v>1.4375</v>
      </c>
    </row>
    <row r="580" spans="1:9">
      <c r="A580" s="1" t="s">
        <v>592</v>
      </c>
      <c r="B580">
        <f>HYPERLINK("https://www.suredividend.com/sure-analysis-research-database/","Chegg Inc")</f>
        <v>0</v>
      </c>
      <c r="C580">
        <v>0.016970458830923</v>
      </c>
      <c r="D580">
        <v>0.118175535590877</v>
      </c>
      <c r="E580">
        <v>-0.471932114882506</v>
      </c>
      <c r="F580">
        <v>0.054071661237784</v>
      </c>
      <c r="G580">
        <v>-0.649023861171366</v>
      </c>
      <c r="H580">
        <v>-0.09785335935321901</v>
      </c>
      <c r="I580">
        <v>3.019875776397515</v>
      </c>
    </row>
    <row r="581" spans="1:9">
      <c r="A581" s="1" t="s">
        <v>593</v>
      </c>
      <c r="B581">
        <f>HYPERLINK("https://www.suredividend.com/sure-analysis-research-database/","Choice Hotels International, Inc.")</f>
        <v>0</v>
      </c>
      <c r="C581">
        <v>-0.009843716023707001</v>
      </c>
      <c r="D581">
        <v>-0.06544146329751101</v>
      </c>
      <c r="E581">
        <v>0.035170438440985</v>
      </c>
      <c r="F581">
        <v>-0.086337181259847</v>
      </c>
      <c r="G581">
        <v>0.272391338030502</v>
      </c>
      <c r="H581">
        <v>1.015245909080592</v>
      </c>
      <c r="I581">
        <v>1.369855610120636</v>
      </c>
    </row>
    <row r="582" spans="1:9">
      <c r="A582" s="1" t="s">
        <v>594</v>
      </c>
      <c r="B582">
        <f>HYPERLINK("https://www.suredividend.com/sure-analysis-research-database/","Chesapeake Energy Corp.")</f>
        <v>0</v>
      </c>
      <c r="C582">
        <v>0.225295416179716</v>
      </c>
      <c r="D582">
        <v>0.326581395806563</v>
      </c>
      <c r="E582">
        <v>0.522868855104741</v>
      </c>
      <c r="F582">
        <v>0.470505731793218</v>
      </c>
      <c r="G582">
        <v>1.121512578213352</v>
      </c>
      <c r="H582">
        <v>1.152637414280043</v>
      </c>
      <c r="I582">
        <v>1.152637414280043</v>
      </c>
    </row>
    <row r="583" spans="1:9">
      <c r="A583" s="1" t="s">
        <v>595</v>
      </c>
      <c r="B583">
        <f>HYPERLINK("https://www.suredividend.com/sure-analysis-research-database/","Chiasma Inc")</f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596</v>
      </c>
      <c r="B584">
        <f>HYPERLINK("https://www.suredividend.com/sure-analysis-research-database/","Chemung Financial Corp.")</f>
        <v>0</v>
      </c>
      <c r="C584">
        <v>0.013791902481497</v>
      </c>
      <c r="D584">
        <v>0.017310636922223</v>
      </c>
      <c r="E584">
        <v>0.018543182499119</v>
      </c>
      <c r="F584">
        <v>0.009425926608248</v>
      </c>
      <c r="G584">
        <v>0.114115665786351</v>
      </c>
      <c r="H584">
        <v>1.022239879812597</v>
      </c>
      <c r="I584">
        <v>0.419991767916215</v>
      </c>
    </row>
    <row r="585" spans="1:9">
      <c r="A585" s="1" t="s">
        <v>597</v>
      </c>
      <c r="B585">
        <f>HYPERLINK("https://www.suredividend.com/sure-analysis-research-database/","Cherry Hill Mortgage Investment Corporation")</f>
        <v>0</v>
      </c>
      <c r="C585">
        <v>-0.023663076468534</v>
      </c>
      <c r="D585">
        <v>-0.09965695319949901</v>
      </c>
      <c r="E585">
        <v>-0.145590447536668</v>
      </c>
      <c r="F585">
        <v>-0.090954560232075</v>
      </c>
      <c r="G585">
        <v>-0.138809258688905</v>
      </c>
      <c r="H585">
        <v>0.513416741261943</v>
      </c>
      <c r="I585">
        <v>-0.258072417030656</v>
      </c>
    </row>
    <row r="586" spans="1:9">
      <c r="A586" s="1" t="s">
        <v>598</v>
      </c>
      <c r="B586">
        <f>HYPERLINK("https://www.suredividend.com/sure-analysis-research-database/","Coherus Biosciences Inc")</f>
        <v>0</v>
      </c>
      <c r="C586">
        <v>-0.12800620636152</v>
      </c>
      <c r="D586">
        <v>-0.19136690647482</v>
      </c>
      <c r="E586">
        <v>-0.338823529411764</v>
      </c>
      <c r="F586">
        <v>-0.295739348370927</v>
      </c>
      <c r="G586">
        <v>-0.218902015288394</v>
      </c>
      <c r="H586">
        <v>-0.250666666666666</v>
      </c>
      <c r="I586">
        <v>-0.419121447028423</v>
      </c>
    </row>
    <row r="587" spans="1:9">
      <c r="A587" s="1" t="s">
        <v>599</v>
      </c>
      <c r="B587">
        <f>HYPERLINK("https://www.suredividend.com/sure-analysis-CHRW/","C.H. Robinson Worldwide, Inc.")</f>
        <v>0</v>
      </c>
      <c r="C587">
        <v>0.012251298637655</v>
      </c>
      <c r="D587">
        <v>-0.041141420499594</v>
      </c>
      <c r="E587">
        <v>0.10911129343339</v>
      </c>
      <c r="F587">
        <v>-0.035261347215307</v>
      </c>
      <c r="G587">
        <v>0.05324882595593401</v>
      </c>
      <c r="H587">
        <v>0.462046667147975</v>
      </c>
      <c r="I587">
        <v>0.56423701038079</v>
      </c>
    </row>
    <row r="588" spans="1:9">
      <c r="A588" s="1" t="s">
        <v>600</v>
      </c>
      <c r="B588">
        <f>HYPERLINK("https://www.suredividend.com/sure-analysis-research-database/","Chico`s Fas, Inc.")</f>
        <v>0</v>
      </c>
      <c r="C588">
        <v>0.129102844638949</v>
      </c>
      <c r="D588">
        <v>0.077244258872651</v>
      </c>
      <c r="E588">
        <v>0.038229376257545</v>
      </c>
      <c r="F588">
        <v>-0.04089219330855001</v>
      </c>
      <c r="G588">
        <v>0.702970297029703</v>
      </c>
      <c r="H588">
        <v>2.822222222222222</v>
      </c>
      <c r="I588">
        <v>-0.5212070037394101</v>
      </c>
    </row>
    <row r="589" spans="1:9">
      <c r="A589" s="1" t="s">
        <v>601</v>
      </c>
      <c r="B589">
        <f>HYPERLINK("https://www.suredividend.com/sure-analysis-research-database/","Charter Communications Inc.")</f>
        <v>0</v>
      </c>
      <c r="C589">
        <v>-0.02934750310255</v>
      </c>
      <c r="D589">
        <v>-0.08617880827395501</v>
      </c>
      <c r="E589">
        <v>-0.205584881907786</v>
      </c>
      <c r="F589">
        <v>-0.148243017316747</v>
      </c>
      <c r="G589">
        <v>-0.138196998618805</v>
      </c>
      <c r="H589">
        <v>0.118807293240656</v>
      </c>
      <c r="I589">
        <v>0.6827878787878781</v>
      </c>
    </row>
    <row r="590" spans="1:9">
      <c r="A590" s="1" t="s">
        <v>602</v>
      </c>
      <c r="B590">
        <f>HYPERLINK("https://www.suredividend.com/sure-analysis-research-database/","Chuy`s Holdings Inc")</f>
        <v>0</v>
      </c>
      <c r="C590">
        <v>-0.07324044301536201</v>
      </c>
      <c r="D590">
        <v>-0.06556195965417801</v>
      </c>
      <c r="E590">
        <v>-0.143328929986789</v>
      </c>
      <c r="F590">
        <v>-0.138778220451527</v>
      </c>
      <c r="G590">
        <v>-0.438528138528138</v>
      </c>
      <c r="H590">
        <v>0.94016454749439</v>
      </c>
      <c r="I590">
        <v>-0.085008818342151</v>
      </c>
    </row>
    <row r="591" spans="1:9">
      <c r="A591" s="1" t="s">
        <v>603</v>
      </c>
      <c r="B591">
        <f>HYPERLINK("https://www.suredividend.com/sure-analysis-CI/","Cigna Corp.")</f>
        <v>0</v>
      </c>
      <c r="C591">
        <v>0.09141052631578901</v>
      </c>
      <c r="D591">
        <v>0.075427634021865</v>
      </c>
      <c r="E591">
        <v>0.269440620434756</v>
      </c>
      <c r="F591">
        <v>0.134156527689722</v>
      </c>
      <c r="G591">
        <v>0.040444098356707</v>
      </c>
      <c r="H591">
        <v>0.350928075757457</v>
      </c>
      <c r="I591">
        <v>0.7557584895640711</v>
      </c>
    </row>
    <row r="592" spans="1:9">
      <c r="A592" s="1" t="s">
        <v>604</v>
      </c>
      <c r="B592">
        <f>HYPERLINK("https://www.suredividend.com/sure-analysis-research-database/","Citizens, Inc.")</f>
        <v>0</v>
      </c>
      <c r="C592">
        <v>0</v>
      </c>
      <c r="D592">
        <v>-0.163064833005893</v>
      </c>
      <c r="E592">
        <v>-0.325949367088607</v>
      </c>
      <c r="F592">
        <v>-0.19774011299435</v>
      </c>
      <c r="G592">
        <v>-0.276740237691001</v>
      </c>
      <c r="H592">
        <v>-0.200750469043152</v>
      </c>
      <c r="I592">
        <v>-0.309562398703403</v>
      </c>
    </row>
    <row r="593" spans="1:9">
      <c r="A593" s="1" t="s">
        <v>605</v>
      </c>
      <c r="B593">
        <f>HYPERLINK("https://www.suredividend.com/sure-analysis-research-database/","Cinedigm Corp")</f>
        <v>0</v>
      </c>
      <c r="C593">
        <v>0.069767441860465</v>
      </c>
      <c r="D593">
        <v>-0.31214953271028</v>
      </c>
      <c r="E593">
        <v>-0.69205020920502</v>
      </c>
      <c r="F593">
        <v>-0.36551724137931</v>
      </c>
      <c r="G593">
        <v>-0.396721311475409</v>
      </c>
      <c r="H593">
        <v>0.7946842233601551</v>
      </c>
      <c r="I593">
        <v>-0.478014184397163</v>
      </c>
    </row>
    <row r="594" spans="1:9">
      <c r="A594" s="1" t="s">
        <v>606</v>
      </c>
      <c r="B594">
        <f>HYPERLINK("https://www.suredividend.com/sure-analysis-research-database/","CIENA Corp.")</f>
        <v>0</v>
      </c>
      <c r="C594">
        <v>-0.03557858376511201</v>
      </c>
      <c r="D594">
        <v>-0.21803668953928</v>
      </c>
      <c r="E594">
        <v>0.06870813397129101</v>
      </c>
      <c r="F594">
        <v>-0.274522541249837</v>
      </c>
      <c r="G594">
        <v>-0.018111482328116</v>
      </c>
      <c r="H594">
        <v>0.251737278637077</v>
      </c>
      <c r="I594">
        <v>1.578024007386888</v>
      </c>
    </row>
    <row r="595" spans="1:9">
      <c r="A595" s="1" t="s">
        <v>607</v>
      </c>
      <c r="B595">
        <f>HYPERLINK("https://www.suredividend.com/sure-analysis-CIM/","Chimera Investment Corp")</f>
        <v>0</v>
      </c>
      <c r="C595">
        <v>-0.08858303928290701</v>
      </c>
      <c r="D595">
        <v>-0.241205995168779</v>
      </c>
      <c r="E595">
        <v>-0.253710905406145</v>
      </c>
      <c r="F595">
        <v>-0.257811702062466</v>
      </c>
      <c r="G595">
        <v>-0.06929881485023301</v>
      </c>
      <c r="H595">
        <v>0.887478571057507</v>
      </c>
      <c r="I595">
        <v>-0.091719649687101</v>
      </c>
    </row>
    <row r="596" spans="1:9">
      <c r="A596" s="1" t="s">
        <v>608</v>
      </c>
      <c r="B596">
        <f>HYPERLINK("https://www.suredividend.com/sure-analysis-CINF/","Cincinnati Financial Corp.")</f>
        <v>0</v>
      </c>
      <c r="C596">
        <v>0.064555889376781</v>
      </c>
      <c r="D596">
        <v>0.162159957412417</v>
      </c>
      <c r="E596">
        <v>0.174405955739878</v>
      </c>
      <c r="F596">
        <v>0.219385215957983</v>
      </c>
      <c r="G596">
        <v>0.326642679128922</v>
      </c>
      <c r="H596">
        <v>0.7653882218877991</v>
      </c>
      <c r="I596">
        <v>1.250116421828034</v>
      </c>
    </row>
    <row r="597" spans="1:9">
      <c r="A597" s="1" t="s">
        <v>609</v>
      </c>
      <c r="B597">
        <f>HYPERLINK("https://www.suredividend.com/sure-analysis-CIO/","City Office REIT Inc")</f>
        <v>0</v>
      </c>
      <c r="C597">
        <v>-0.055208339423419</v>
      </c>
      <c r="D597">
        <v>-0.182281414612671</v>
      </c>
      <c r="E597">
        <v>-0.119005173663924</v>
      </c>
      <c r="F597">
        <v>-0.162789733812726</v>
      </c>
      <c r="G597">
        <v>0.503577509606706</v>
      </c>
      <c r="H597">
        <v>1.186442971181166</v>
      </c>
      <c r="I597">
        <v>0.8051831992850761</v>
      </c>
    </row>
    <row r="598" spans="1:9">
      <c r="A598" s="1" t="s">
        <v>610</v>
      </c>
      <c r="B598">
        <f>HYPERLINK("https://www.suredividend.com/sure-analysis-research-database/","Circor International Inc")</f>
        <v>0</v>
      </c>
      <c r="C598">
        <v>-0.14561717352415</v>
      </c>
      <c r="D598">
        <v>-0.028478437754271</v>
      </c>
      <c r="E598">
        <v>-0.260681114551083</v>
      </c>
      <c r="F598">
        <v>-0.121412803532008</v>
      </c>
      <c r="G598">
        <v>-0.306217315514235</v>
      </c>
      <c r="H598">
        <v>1.316197866149369</v>
      </c>
      <c r="I598">
        <v>-0.573705406872125</v>
      </c>
    </row>
    <row r="599" spans="1:9">
      <c r="A599" s="1" t="s">
        <v>611</v>
      </c>
      <c r="B599">
        <f>HYPERLINK("https://www.suredividend.com/sure-analysis-research-database/","CIT Group Inc")</f>
        <v>0</v>
      </c>
      <c r="C599">
        <v>0.120418848167539</v>
      </c>
      <c r="D599">
        <v>0.009009416792557</v>
      </c>
      <c r="E599">
        <v>0.07937545520390001</v>
      </c>
      <c r="F599">
        <v>0.042072458122321</v>
      </c>
      <c r="G599">
        <v>0.535705879313611</v>
      </c>
      <c r="H599">
        <v>0.293020108275328</v>
      </c>
      <c r="I599">
        <v>0.448208282127214</v>
      </c>
    </row>
    <row r="600" spans="1:9">
      <c r="A600" s="1" t="s">
        <v>612</v>
      </c>
      <c r="B600">
        <f>HYPERLINK("https://www.suredividend.com/sure-analysis-research-database/","Civista Bancshares Inc")</f>
        <v>0</v>
      </c>
      <c r="C600">
        <v>-0.072540983606557</v>
      </c>
      <c r="D600">
        <v>-0.09068626466132701</v>
      </c>
      <c r="E600">
        <v>-0.09538257362258701</v>
      </c>
      <c r="F600">
        <v>-0.067208013025288</v>
      </c>
      <c r="G600">
        <v>-0.020952397433623</v>
      </c>
      <c r="H600">
        <v>0.9256788379553591</v>
      </c>
      <c r="I600">
        <v>0.144501537465609</v>
      </c>
    </row>
    <row r="601" spans="1:9">
      <c r="A601" s="1" t="s">
        <v>613</v>
      </c>
      <c r="B601">
        <f>HYPERLINK("https://www.suredividend.com/sure-analysis-research-database/","Compx International, Inc.")</f>
        <v>0</v>
      </c>
      <c r="C601">
        <v>0.022563176895306</v>
      </c>
      <c r="D601">
        <v>0.020472497680744</v>
      </c>
      <c r="E601">
        <v>0.072693188918975</v>
      </c>
      <c r="F601">
        <v>0.020022327055349</v>
      </c>
      <c r="G601">
        <v>-0.01482544237207</v>
      </c>
      <c r="H601">
        <v>0.7190238129556431</v>
      </c>
      <c r="I601">
        <v>0.7859535462921361</v>
      </c>
    </row>
    <row r="602" spans="1:9">
      <c r="A602" s="1" t="s">
        <v>614</v>
      </c>
      <c r="B602">
        <f>HYPERLINK("https://www.suredividend.com/sure-analysis-research-database/","Citizens Holding Co")</f>
        <v>0</v>
      </c>
      <c r="C602">
        <v>-0.0005402485143160001</v>
      </c>
      <c r="D602">
        <v>0.029837452683144</v>
      </c>
      <c r="E602">
        <v>0.003809048389022</v>
      </c>
      <c r="F602">
        <v>-0.000372833915998</v>
      </c>
      <c r="G602">
        <v>-0.076366976874226</v>
      </c>
      <c r="H602">
        <v>0.115499412101661</v>
      </c>
      <c r="I602">
        <v>-0.058998265504911</v>
      </c>
    </row>
    <row r="603" spans="1:9">
      <c r="A603" s="1" t="s">
        <v>615</v>
      </c>
      <c r="B603">
        <f>HYPERLINK("https://www.suredividend.com/sure-analysis-research-database/","SEACOR Holdings Inc")</f>
        <v>0</v>
      </c>
      <c r="C603">
        <v>0.02292334237121</v>
      </c>
      <c r="D603">
        <v>-0.011904761904761</v>
      </c>
      <c r="E603">
        <v>0.297686053783614</v>
      </c>
      <c r="F603">
        <v>0.001206272617611</v>
      </c>
      <c r="G603">
        <v>0.644867221561632</v>
      </c>
      <c r="H603">
        <v>-0.033535165346995</v>
      </c>
      <c r="I603">
        <v>-0.214364818688651</v>
      </c>
    </row>
    <row r="604" spans="1:9">
      <c r="A604" s="1" t="s">
        <v>616</v>
      </c>
      <c r="B604">
        <f>HYPERLINK("https://www.suredividend.com/sure-analysis-research-database/","CKX Lands Inc")</f>
        <v>0</v>
      </c>
      <c r="C604">
        <v>0.207293666026871</v>
      </c>
      <c r="D604">
        <v>0.09391304347826</v>
      </c>
      <c r="E604">
        <v>0.103508771929824</v>
      </c>
      <c r="F604">
        <v>0.123214285714285</v>
      </c>
      <c r="G604">
        <v>0.038810900082576</v>
      </c>
      <c r="H604">
        <v>0.515662650602409</v>
      </c>
      <c r="I604">
        <v>0.04760001332400601</v>
      </c>
    </row>
    <row r="605" spans="1:9">
      <c r="A605" s="1" t="s">
        <v>617</v>
      </c>
      <c r="B605">
        <f>HYPERLINK("https://www.suredividend.com/sure-analysis-CL/","Colgate-Palmolive Co.")</f>
        <v>0</v>
      </c>
      <c r="C605">
        <v>0.07704590818363201</v>
      </c>
      <c r="D605">
        <v>-0.024808702744969</v>
      </c>
      <c r="E605">
        <v>0.07373540262424401</v>
      </c>
      <c r="F605">
        <v>-0.04640611506511001</v>
      </c>
      <c r="G605">
        <v>0.02573720901645</v>
      </c>
      <c r="H605">
        <v>0.162875898125519</v>
      </c>
      <c r="I605">
        <v>0.227038507542784</v>
      </c>
    </row>
    <row r="606" spans="1:9">
      <c r="A606" s="1" t="s">
        <v>618</v>
      </c>
      <c r="B606">
        <f>HYPERLINK("https://www.suredividend.com/sure-analysis-research-database/","Clarus Corp")</f>
        <v>0</v>
      </c>
      <c r="C606">
        <v>-0.08697496817988901</v>
      </c>
      <c r="D606">
        <v>-0.09099357106047901</v>
      </c>
      <c r="E606">
        <v>-0.222430987136869</v>
      </c>
      <c r="F606">
        <v>-0.222818510787365</v>
      </c>
      <c r="G606">
        <v>0.220148322863039</v>
      </c>
      <c r="H606">
        <v>1.424160499250898</v>
      </c>
      <c r="I606">
        <v>2.985185185185185</v>
      </c>
    </row>
    <row r="607" spans="1:9">
      <c r="A607" s="1" t="s">
        <v>619</v>
      </c>
      <c r="B607">
        <f>HYPERLINK("https://www.suredividend.com/sure-analysis-research-database/","Core Laboratories N.V.")</f>
        <v>0</v>
      </c>
      <c r="C607">
        <v>0.100163666121112</v>
      </c>
      <c r="D607">
        <v>0.229356791455586</v>
      </c>
      <c r="E607">
        <v>0.06643229059248701</v>
      </c>
      <c r="F607">
        <v>0.507080272987346</v>
      </c>
      <c r="G607">
        <v>0.222581935906296</v>
      </c>
      <c r="H607">
        <v>2.119778710132551</v>
      </c>
      <c r="I607">
        <v>-0.6807733623844451</v>
      </c>
    </row>
    <row r="608" spans="1:9">
      <c r="A608" s="1" t="s">
        <v>620</v>
      </c>
      <c r="B608">
        <f>HYPERLINK("https://www.suredividend.com/sure-analysis-research-database/","Columbia Financial, Inc")</f>
        <v>0</v>
      </c>
      <c r="C608">
        <v>-0.029213483146067</v>
      </c>
      <c r="D608">
        <v>0.032011466794075</v>
      </c>
      <c r="E608">
        <v>0.148936170212766</v>
      </c>
      <c r="F608">
        <v>0.035474592521572</v>
      </c>
      <c r="G608">
        <v>0.196675900277008</v>
      </c>
      <c r="H608">
        <v>0.496881496881496</v>
      </c>
      <c r="I608">
        <v>0.400778210116731</v>
      </c>
    </row>
    <row r="609" spans="1:9">
      <c r="A609" s="1" t="s">
        <v>621</v>
      </c>
      <c r="B609">
        <f>HYPERLINK("https://www.suredividend.com/sure-analysis-research-database/","Caladrius Biosciences Inc")</f>
        <v>0</v>
      </c>
      <c r="C609">
        <v>0.03030303030303</v>
      </c>
      <c r="D609">
        <v>-0.17113603120429</v>
      </c>
      <c r="E609">
        <v>-0.442622950819672</v>
      </c>
      <c r="F609">
        <v>-0.192015209125475</v>
      </c>
      <c r="G609">
        <v>-0.555555555555555</v>
      </c>
      <c r="H609">
        <v>-0.69090909090909</v>
      </c>
      <c r="I609">
        <v>-0.840749414519906</v>
      </c>
    </row>
    <row r="610" spans="1:9">
      <c r="A610" s="1" t="s">
        <v>622</v>
      </c>
      <c r="B610">
        <f>HYPERLINK("https://www.suredividend.com/sure-analysis-research-database/","Collectors Universe Inc")</f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623</v>
      </c>
      <c r="B611">
        <f>HYPERLINK("https://www.suredividend.com/sure-analysis-research-database/","Cloudera Inc")</f>
        <v>0</v>
      </c>
      <c r="C611">
        <v>0.002507836990595</v>
      </c>
      <c r="D611">
        <v>0.015883100381194</v>
      </c>
      <c r="E611">
        <v>0.29578606158833</v>
      </c>
      <c r="F611">
        <v>0.149532710280373</v>
      </c>
      <c r="G611">
        <v>0.4629460201280881</v>
      </c>
      <c r="H611">
        <v>0.829519450800915</v>
      </c>
      <c r="I611">
        <v>-0.116574585635359</v>
      </c>
    </row>
    <row r="612" spans="1:9">
      <c r="A612" s="1" t="s">
        <v>624</v>
      </c>
      <c r="B612">
        <f>HYPERLINK("https://www.suredividend.com/sure-analysis-research-database/","Chatham Lodging Trust")</f>
        <v>0</v>
      </c>
      <c r="C612">
        <v>-0.013639626704953</v>
      </c>
      <c r="D612">
        <v>-0.006507592190889</v>
      </c>
      <c r="E612">
        <v>0.08274231678486901</v>
      </c>
      <c r="F612">
        <v>0.001457725947521</v>
      </c>
      <c r="G612">
        <v>0.01252763448784</v>
      </c>
      <c r="H612">
        <v>1.104134762633997</v>
      </c>
      <c r="I612">
        <v>-0.146292211625089</v>
      </c>
    </row>
    <row r="613" spans="1:9">
      <c r="A613" s="1" t="s">
        <v>625</v>
      </c>
      <c r="B613">
        <f>HYPERLINK("https://www.suredividend.com/sure-analysis-research-database/","Celldex Therapeutics Inc.")</f>
        <v>0</v>
      </c>
      <c r="C613">
        <v>0.08638981509548301</v>
      </c>
      <c r="D613">
        <v>0.123158884362269</v>
      </c>
      <c r="E613">
        <v>-0.22390645300996</v>
      </c>
      <c r="F613">
        <v>-0.072463768115941</v>
      </c>
      <c r="G613">
        <v>0.5218683651804671</v>
      </c>
      <c r="H613">
        <v>17.96296296296297</v>
      </c>
      <c r="I613">
        <v>-0.271544715447154</v>
      </c>
    </row>
    <row r="614" spans="1:9">
      <c r="A614" s="1" t="s">
        <v>626</v>
      </c>
      <c r="B614">
        <f>HYPERLINK("https://www.suredividend.com/sure-analysis-research-database/","Cleveland-Cliffs Inc")</f>
        <v>0</v>
      </c>
      <c r="C614">
        <v>0.177998472116119</v>
      </c>
      <c r="D614">
        <v>0.398639455782312</v>
      </c>
      <c r="E614">
        <v>0.437092264678471</v>
      </c>
      <c r="F614">
        <v>0.41662838768948</v>
      </c>
      <c r="G614">
        <v>0.7142857142857141</v>
      </c>
      <c r="H614">
        <v>7.736543909348443</v>
      </c>
      <c r="I614">
        <v>3.547062986553432</v>
      </c>
    </row>
    <row r="615" spans="1:9">
      <c r="A615" s="1" t="s">
        <v>627</v>
      </c>
      <c r="B615">
        <f>HYPERLINK("https://www.suredividend.com/sure-analysis-research-database/","Clearfield Inc")</f>
        <v>0</v>
      </c>
      <c r="C615">
        <v>-0.056736455170209</v>
      </c>
      <c r="D615">
        <v>-0.13001179245283</v>
      </c>
      <c r="E615">
        <v>0.124404648504476</v>
      </c>
      <c r="F615">
        <v>-0.300876569533285</v>
      </c>
      <c r="G615">
        <v>0.9725935828877</v>
      </c>
      <c r="H615">
        <v>3.934782608695652</v>
      </c>
      <c r="I615">
        <v>2.870163934426229</v>
      </c>
    </row>
    <row r="616" spans="1:9">
      <c r="A616" s="1" t="s">
        <v>628</v>
      </c>
      <c r="B616">
        <f>HYPERLINK("https://www.suredividend.com/sure-analysis-research-database/","CoreLogic Inc")</f>
        <v>0</v>
      </c>
      <c r="C616">
        <v>0.003890074036893</v>
      </c>
      <c r="D616">
        <v>-0.034516051170649</v>
      </c>
      <c r="E616">
        <v>0.038098204090107</v>
      </c>
      <c r="F616">
        <v>0.03876947368147601</v>
      </c>
      <c r="G616">
        <v>0.5915583743822761</v>
      </c>
      <c r="H616">
        <v>1.09173841765218</v>
      </c>
      <c r="I616">
        <v>1.149994356264814</v>
      </c>
    </row>
    <row r="617" spans="1:9">
      <c r="A617" s="1" t="s">
        <v>629</v>
      </c>
      <c r="B617">
        <f>HYPERLINK("https://www.suredividend.com/sure-analysis-research-database/","Clean Harbors, Inc.")</f>
        <v>0</v>
      </c>
      <c r="C617">
        <v>0.0009279881217520001</v>
      </c>
      <c r="D617">
        <v>0.117372837459857</v>
      </c>
      <c r="E617">
        <v>-0.000555967383246</v>
      </c>
      <c r="F617">
        <v>0.08108649894757901</v>
      </c>
      <c r="G617">
        <v>0.214913268754223</v>
      </c>
      <c r="H617">
        <v>1.162823340685783</v>
      </c>
      <c r="I617">
        <v>0.9378368666906211</v>
      </c>
    </row>
    <row r="618" spans="1:9">
      <c r="A618" s="1" t="s">
        <v>630</v>
      </c>
      <c r="B618">
        <f>HYPERLINK("https://www.suredividend.com/sure-analysis-research-database/","ClearSign Technologies Corp")</f>
        <v>0</v>
      </c>
      <c r="C618">
        <v>0.134920634920634</v>
      </c>
      <c r="D618">
        <v>0.08333333333333301</v>
      </c>
      <c r="E618">
        <v>-0.235294117647058</v>
      </c>
      <c r="F618">
        <v>0.03623188405797</v>
      </c>
      <c r="G618">
        <v>-0.721247563352826</v>
      </c>
      <c r="H618">
        <v>0.579761378700839</v>
      </c>
      <c r="I618">
        <v>-0.6108843537414961</v>
      </c>
    </row>
    <row r="619" spans="1:9">
      <c r="A619" s="1" t="s">
        <v>631</v>
      </c>
      <c r="B619">
        <f>HYPERLINK("https://www.suredividend.com/sure-analysis-research-database/","Clean Energy Fuels Corp")</f>
        <v>0</v>
      </c>
      <c r="C619">
        <v>-0.015006821282401</v>
      </c>
      <c r="D619">
        <v>0.1875</v>
      </c>
      <c r="E619">
        <v>-0.197777777777777</v>
      </c>
      <c r="F619">
        <v>0.177814029363784</v>
      </c>
      <c r="G619">
        <v>-0.351885098743267</v>
      </c>
      <c r="H619">
        <v>3.349397590361445</v>
      </c>
      <c r="I619">
        <v>1.911290322580645</v>
      </c>
    </row>
    <row r="620" spans="1:9">
      <c r="A620" s="1" t="s">
        <v>632</v>
      </c>
      <c r="B620">
        <f>HYPERLINK("https://www.suredividend.com/sure-analysis-CLPR/","Clipper Realty Inc")</f>
        <v>0</v>
      </c>
      <c r="C620">
        <v>-0.006159626053907001</v>
      </c>
      <c r="D620">
        <v>-0.079776314858073</v>
      </c>
      <c r="E620">
        <v>0.145475372279495</v>
      </c>
      <c r="F620">
        <v>-0.07514685854828501</v>
      </c>
      <c r="G620">
        <v>0.161573613132164</v>
      </c>
      <c r="H620">
        <v>1.106188955237699</v>
      </c>
      <c r="I620">
        <v>0.009171259689707001</v>
      </c>
    </row>
    <row r="621" spans="1:9">
      <c r="A621" s="1" t="s">
        <v>633</v>
      </c>
      <c r="B621">
        <f>HYPERLINK("https://www.suredividend.com/sure-analysis-research-database/","Continental Resources Inc (OKLA)")</f>
        <v>0</v>
      </c>
      <c r="C621">
        <v>0.14719298245614</v>
      </c>
      <c r="D621">
        <v>0.256098966537323</v>
      </c>
      <c r="E621">
        <v>0.265004884748943</v>
      </c>
      <c r="F621">
        <v>0.467130356742203</v>
      </c>
      <c r="G621">
        <v>1.470334452835463</v>
      </c>
      <c r="H621">
        <v>5.755723613521779</v>
      </c>
      <c r="I621">
        <v>0.483173387709553</v>
      </c>
    </row>
    <row r="622" spans="1:9">
      <c r="A622" s="1" t="s">
        <v>634</v>
      </c>
      <c r="B622">
        <f>HYPERLINK("https://www.suredividend.com/sure-analysis-research-database/","Cellectar Biosciences Inc")</f>
        <v>0</v>
      </c>
      <c r="C622">
        <v>0.350196078431372</v>
      </c>
      <c r="D622">
        <v>-0.01473744455573</v>
      </c>
      <c r="E622">
        <v>-0.249154944935121</v>
      </c>
      <c r="F622">
        <v>0.037048192771084</v>
      </c>
      <c r="G622">
        <v>-0.5150704225352111</v>
      </c>
      <c r="H622">
        <v>-0.540933333333333</v>
      </c>
      <c r="I622">
        <v>-0.9678224299065421</v>
      </c>
    </row>
    <row r="623" spans="1:9">
      <c r="A623" s="1" t="s">
        <v>635</v>
      </c>
      <c r="B623">
        <f>HYPERLINK("https://www.suredividend.com/sure-analysis-research-database/","ClearOne Inc")</f>
        <v>0</v>
      </c>
      <c r="C623">
        <v>0.122269676632092</v>
      </c>
      <c r="D623">
        <v>-0.220593220338983</v>
      </c>
      <c r="E623">
        <v>-0.555700483091787</v>
      </c>
      <c r="F623">
        <v>-0.287054263565891</v>
      </c>
      <c r="G623">
        <v>-0.648969465648854</v>
      </c>
      <c r="H623">
        <v>-0.5133862433862431</v>
      </c>
      <c r="I623">
        <v>-0.9023071530241551</v>
      </c>
    </row>
    <row r="624" spans="1:9">
      <c r="A624" s="1" t="s">
        <v>636</v>
      </c>
      <c r="B624">
        <f>HYPERLINK("https://www.suredividend.com/sure-analysis-research-database/","Celsion Corp")</f>
        <v>0</v>
      </c>
      <c r="C624">
        <v>-0.31640625</v>
      </c>
      <c r="D624">
        <v>-0.4977758645429761</v>
      </c>
      <c r="E624">
        <v>-0.7666666666666661</v>
      </c>
      <c r="F624">
        <v>-0.5679012345679011</v>
      </c>
      <c r="G624">
        <v>-0.779874213836478</v>
      </c>
      <c r="H624">
        <v>-0.8022598870056491</v>
      </c>
      <c r="I624">
        <v>-0.233968045524184</v>
      </c>
    </row>
    <row r="625" spans="1:9">
      <c r="A625" s="1" t="s">
        <v>637</v>
      </c>
      <c r="B625">
        <f>HYPERLINK("https://www.suredividend.com/sure-analysis-research-database/","Clovis Oncology Inc")</f>
        <v>0</v>
      </c>
      <c r="C625">
        <v>0.561643835616438</v>
      </c>
      <c r="D625">
        <v>-0.158671586715867</v>
      </c>
      <c r="E625">
        <v>-0.4746543778801841</v>
      </c>
      <c r="F625">
        <v>-0.158671586715867</v>
      </c>
      <c r="G625">
        <v>-0.618729096989966</v>
      </c>
      <c r="H625">
        <v>-0.690217391304347</v>
      </c>
      <c r="I625">
        <v>-0.959408937155065</v>
      </c>
    </row>
    <row r="626" spans="1:9">
      <c r="A626" s="1" t="s">
        <v>638</v>
      </c>
      <c r="B626">
        <f>HYPERLINK("https://www.suredividend.com/sure-analysis-research-database/","Clearwater Paper Corp")</f>
        <v>0</v>
      </c>
      <c r="C626">
        <v>-0.06662087912087901</v>
      </c>
      <c r="D626">
        <v>-0.257782632441288</v>
      </c>
      <c r="E626">
        <v>-0.258592471358428</v>
      </c>
      <c r="F626">
        <v>-0.25879465503136</v>
      </c>
      <c r="G626">
        <v>-0.24729991692052</v>
      </c>
      <c r="H626">
        <v>0.429773803261441</v>
      </c>
      <c r="I626">
        <v>-0.501284403669724</v>
      </c>
    </row>
    <row r="627" spans="1:9">
      <c r="A627" s="1" t="s">
        <v>639</v>
      </c>
      <c r="B627">
        <f>HYPERLINK("https://www.suredividend.com/sure-analysis-CLX/","Clorox Co.")</f>
        <v>0</v>
      </c>
      <c r="C627">
        <v>0.106491334752204</v>
      </c>
      <c r="D627">
        <v>-0.214734106281965</v>
      </c>
      <c r="E627">
        <v>-0.095872765069149</v>
      </c>
      <c r="F627">
        <v>-0.159609045301558</v>
      </c>
      <c r="G627">
        <v>-0.216741932689415</v>
      </c>
      <c r="H627">
        <v>-0.223738448330107</v>
      </c>
      <c r="I627">
        <v>0.225897021955321</v>
      </c>
    </row>
    <row r="628" spans="1:9">
      <c r="A628" s="1" t="s">
        <v>640</v>
      </c>
      <c r="B628">
        <f>HYPERLINK("https://www.suredividend.com/sure-analysis-research-database/","Calyxt Inc")</f>
        <v>0</v>
      </c>
      <c r="C628">
        <v>-0.365384615384615</v>
      </c>
      <c r="D628">
        <v>-0.688679245283018</v>
      </c>
      <c r="E628">
        <v>-0.7762711864406771</v>
      </c>
      <c r="F628">
        <v>-0.6901408450704221</v>
      </c>
      <c r="G628">
        <v>-0.8817204301075261</v>
      </c>
      <c r="H628">
        <v>-0.8374384236453201</v>
      </c>
      <c r="I628">
        <v>-0.941333333333333</v>
      </c>
    </row>
    <row r="629" spans="1:9">
      <c r="A629" s="1" t="s">
        <v>641</v>
      </c>
      <c r="B629">
        <f>HYPERLINK("https://www.suredividend.com/sure-analysis-CMA/","Comerica, Inc.")</f>
        <v>0</v>
      </c>
      <c r="C629">
        <v>-0.07861536857470501</v>
      </c>
      <c r="D629">
        <v>-0.120328893667005</v>
      </c>
      <c r="E629">
        <v>0.08196460382856501</v>
      </c>
      <c r="F629">
        <v>0.023653970901677</v>
      </c>
      <c r="G629">
        <v>0.303830786754248</v>
      </c>
      <c r="H629">
        <v>2.722001802666936</v>
      </c>
      <c r="I629">
        <v>0.624320136459801</v>
      </c>
    </row>
    <row r="630" spans="1:9">
      <c r="A630" s="1" t="s">
        <v>642</v>
      </c>
      <c r="B630">
        <f>HYPERLINK("https://www.suredividend.com/sure-analysis-research-database/","Commercial Metals Co.")</f>
        <v>0</v>
      </c>
      <c r="C630">
        <v>0.08424420937264501</v>
      </c>
      <c r="D630">
        <v>0.177111137670477</v>
      </c>
      <c r="E630">
        <v>0.414095004722158</v>
      </c>
      <c r="F630">
        <v>0.229980212637824</v>
      </c>
      <c r="G630">
        <v>0.53381345755192</v>
      </c>
      <c r="H630">
        <v>1.981520225497648</v>
      </c>
      <c r="I630">
        <v>1.80380335418894</v>
      </c>
    </row>
    <row r="631" spans="1:9">
      <c r="A631" s="1" t="s">
        <v>643</v>
      </c>
      <c r="B631">
        <f>HYPERLINK("https://www.suredividend.com/sure-analysis-research-database/","Columbus Mckinnon Corp.")</f>
        <v>0</v>
      </c>
      <c r="C631">
        <v>-0.124018475750577</v>
      </c>
      <c r="D631">
        <v>-0.233193638317271</v>
      </c>
      <c r="E631">
        <v>-0.243573968414776</v>
      </c>
      <c r="F631">
        <v>-0.178990112382898</v>
      </c>
      <c r="G631">
        <v>-0.29636775127073</v>
      </c>
      <c r="H631">
        <v>0.61580274682207</v>
      </c>
      <c r="I631">
        <v>0.5836697883569161</v>
      </c>
    </row>
    <row r="632" spans="1:9">
      <c r="A632" s="1" t="s">
        <v>644</v>
      </c>
      <c r="B632">
        <f>HYPERLINK("https://www.suredividend.com/sure-analysis-CMCSA/","Comcast Corp")</f>
        <v>0</v>
      </c>
      <c r="C632">
        <v>0.035009332051354</v>
      </c>
      <c r="D632">
        <v>-0.07413893753648501</v>
      </c>
      <c r="E632">
        <v>-0.109858901972229</v>
      </c>
      <c r="F632">
        <v>-0.044597498042208</v>
      </c>
      <c r="G632">
        <v>-0.123605191322254</v>
      </c>
      <c r="H632">
        <v>0.302626607750053</v>
      </c>
      <c r="I632">
        <v>0.409715123772276</v>
      </c>
    </row>
    <row r="633" spans="1:9">
      <c r="A633" s="1" t="s">
        <v>645</v>
      </c>
      <c r="B633">
        <f>HYPERLINK("https://www.suredividend.com/sure-analysis-research-database/","Creative Media &amp; Community Trust")</f>
        <v>0</v>
      </c>
      <c r="C633">
        <v>-0.05509816339455301</v>
      </c>
      <c r="D633">
        <v>0.002701649215715</v>
      </c>
      <c r="E633">
        <v>-0.117984369642582</v>
      </c>
      <c r="F633">
        <v>0.025894907655706</v>
      </c>
      <c r="G633">
        <v>-0.364403169464087</v>
      </c>
      <c r="H633">
        <v>-0.043086750727946</v>
      </c>
      <c r="I633">
        <v>-0.4150395985258371</v>
      </c>
    </row>
    <row r="634" spans="1:9">
      <c r="A634" s="1" t="s">
        <v>646</v>
      </c>
      <c r="B634">
        <f>HYPERLINK("https://www.suredividend.com/sure-analysis-research-database/","Cantel Medical Corp")</f>
        <v>0</v>
      </c>
      <c r="C634">
        <v>-0.085769537026504</v>
      </c>
      <c r="D634">
        <v>0.060290237467018</v>
      </c>
      <c r="E634">
        <v>0.34510460251046</v>
      </c>
      <c r="F634">
        <v>0.019147856961704</v>
      </c>
      <c r="G634">
        <v>0.854407014305491</v>
      </c>
      <c r="H634">
        <v>0.172664956621464</v>
      </c>
      <c r="I634">
        <v>0.18817765451336</v>
      </c>
    </row>
    <row r="635" spans="1:9">
      <c r="A635" s="1" t="s">
        <v>647</v>
      </c>
      <c r="B635">
        <f>HYPERLINK("https://www.suredividend.com/sure-analysis-CME/","CME Group Inc")</f>
        <v>0</v>
      </c>
      <c r="C635">
        <v>-0.017974463865129</v>
      </c>
      <c r="D635">
        <v>0.069635205157436</v>
      </c>
      <c r="E635">
        <v>0.131013057618562</v>
      </c>
      <c r="F635">
        <v>0.04496111624324001</v>
      </c>
      <c r="G635">
        <v>0.164755629701219</v>
      </c>
      <c r="H635">
        <v>0.333047645543719</v>
      </c>
      <c r="I635">
        <v>1.372185363039384</v>
      </c>
    </row>
    <row r="636" spans="1:9">
      <c r="A636" s="1" t="s">
        <v>648</v>
      </c>
      <c r="B636">
        <f>HYPERLINK("https://www.suredividend.com/sure-analysis-research-database/","Chipotle Mexican Grill")</f>
        <v>0</v>
      </c>
      <c r="C636">
        <v>0.031149902877651</v>
      </c>
      <c r="D636">
        <v>0.070114075547515</v>
      </c>
      <c r="E636">
        <v>-0.124395798856318</v>
      </c>
      <c r="F636">
        <v>-0.08298584298584301</v>
      </c>
      <c r="G636">
        <v>0.04438320825515901</v>
      </c>
      <c r="H636">
        <v>1.037712106768351</v>
      </c>
      <c r="I636">
        <v>2.457939691989129</v>
      </c>
    </row>
    <row r="637" spans="1:9">
      <c r="A637" s="1" t="s">
        <v>649</v>
      </c>
      <c r="B637">
        <f>HYPERLINK("https://www.suredividend.com/sure-analysis-CMI/","Cummins Inc.")</f>
        <v>0</v>
      </c>
      <c r="C637">
        <v>-0.045405826756309</v>
      </c>
      <c r="D637">
        <v>-0.169737319362569</v>
      </c>
      <c r="E637">
        <v>-0.167107682171284</v>
      </c>
      <c r="F637">
        <v>-0.095899108357373</v>
      </c>
      <c r="G637">
        <v>-0.240602681028321</v>
      </c>
      <c r="H637">
        <v>0.420193654864094</v>
      </c>
      <c r="I637">
        <v>0.555643594541829</v>
      </c>
    </row>
    <row r="638" spans="1:9">
      <c r="A638" s="1" t="s">
        <v>650</v>
      </c>
      <c r="B638">
        <f>HYPERLINK("https://www.suredividend.com/sure-analysis-research-database/","Capstead Mortgage Corp.")</f>
        <v>0</v>
      </c>
      <c r="C638">
        <v>-0.05417400288113101</v>
      </c>
      <c r="D638">
        <v>0.08450821723533801</v>
      </c>
      <c r="E638">
        <v>0.04713728775332601</v>
      </c>
      <c r="F638">
        <v>0.188995390356332</v>
      </c>
      <c r="G638">
        <v>0.246237321931859</v>
      </c>
      <c r="H638">
        <v>0.030421204483124</v>
      </c>
      <c r="I638">
        <v>0.051031627967143</v>
      </c>
    </row>
    <row r="639" spans="1:9">
      <c r="A639" s="1" t="s">
        <v>651</v>
      </c>
      <c r="B639">
        <f>HYPERLINK("https://www.suredividend.com/sure-analysis-CMP/","Compass Minerals International Inc")</f>
        <v>0</v>
      </c>
      <c r="C639">
        <v>0.07742890021371</v>
      </c>
      <c r="D639">
        <v>0.203153827090236</v>
      </c>
      <c r="E639">
        <v>-0.115415710076621</v>
      </c>
      <c r="F639">
        <v>0.286301109076528</v>
      </c>
      <c r="G639">
        <v>0.000363268931959</v>
      </c>
      <c r="H639">
        <v>0.756694819170863</v>
      </c>
      <c r="I639">
        <v>0.178285319794618</v>
      </c>
    </row>
    <row r="640" spans="1:9">
      <c r="A640" s="1" t="s">
        <v>652</v>
      </c>
      <c r="B640">
        <f>HYPERLINK("https://www.suredividend.com/sure-analysis-research-database/","Chimerix Inc")</f>
        <v>0</v>
      </c>
      <c r="C640">
        <v>-0.109665427509293</v>
      </c>
      <c r="D640">
        <v>-0.201666666666666</v>
      </c>
      <c r="E640">
        <v>-0.213464696223316</v>
      </c>
      <c r="F640">
        <v>-0.255054432348367</v>
      </c>
      <c r="G640">
        <v>-0.41442542787286</v>
      </c>
      <c r="H640">
        <v>2.151315789473684</v>
      </c>
      <c r="I640">
        <v>-0.149200710479573</v>
      </c>
    </row>
    <row r="641" spans="1:9">
      <c r="A641" s="1" t="s">
        <v>653</v>
      </c>
      <c r="B641">
        <f>HYPERLINK("https://www.suredividend.com/sure-analysis-research-database/","CMS Energy Corporation")</f>
        <v>0</v>
      </c>
      <c r="C641">
        <v>0.07642545509252201</v>
      </c>
      <c r="D641">
        <v>0.130374611359672</v>
      </c>
      <c r="E641">
        <v>0.203753085090453</v>
      </c>
      <c r="F641">
        <v>0.107784060295656</v>
      </c>
      <c r="G641">
        <v>0.148370052820207</v>
      </c>
      <c r="H641">
        <v>0.222978666671224</v>
      </c>
      <c r="I641">
        <v>0.822948514124984</v>
      </c>
    </row>
    <row r="642" spans="1:9">
      <c r="A642" s="1" t="s">
        <v>654</v>
      </c>
      <c r="B642">
        <f>HYPERLINK("https://www.suredividend.com/sure-analysis-research-database/","Core Molding Technologies")</f>
        <v>0</v>
      </c>
      <c r="C642">
        <v>-0.034749034749034</v>
      </c>
      <c r="D642">
        <v>0.127395715896279</v>
      </c>
      <c r="E642">
        <v>-0.130434782608695</v>
      </c>
      <c r="F642">
        <v>0.17508813160987</v>
      </c>
      <c r="G642">
        <v>-0.110320284697508</v>
      </c>
      <c r="H642">
        <v>6.575757575757575</v>
      </c>
      <c r="I642">
        <v>-0.419616947185142</v>
      </c>
    </row>
    <row r="643" spans="1:9">
      <c r="A643" s="1" t="s">
        <v>655</v>
      </c>
      <c r="B643">
        <f>HYPERLINK("https://www.suredividend.com/sure-analysis-research-database/","Comtech Telecommunications Corp.")</f>
        <v>0</v>
      </c>
      <c r="C643">
        <v>-0.095771144278606</v>
      </c>
      <c r="D643">
        <v>-0.369744256610316</v>
      </c>
      <c r="E643">
        <v>-0.400906468891635</v>
      </c>
      <c r="F643">
        <v>-0.3862389193752631</v>
      </c>
      <c r="G643">
        <v>-0.419426454029276</v>
      </c>
      <c r="H643">
        <v>-0.04877793478829701</v>
      </c>
      <c r="I643">
        <v>0.183701713680954</v>
      </c>
    </row>
    <row r="644" spans="1:9">
      <c r="A644" s="1" t="s">
        <v>656</v>
      </c>
      <c r="B644">
        <f>HYPERLINK("https://www.suredividend.com/sure-analysis-CNA/","CNA Financial Corp.")</f>
        <v>0</v>
      </c>
      <c r="C644">
        <v>0.02849303503588</v>
      </c>
      <c r="D644">
        <v>0.08092400924541501</v>
      </c>
      <c r="E644">
        <v>0.13014135463896</v>
      </c>
      <c r="F644">
        <v>0.153018006293921</v>
      </c>
      <c r="G644">
        <v>0.114429726663983</v>
      </c>
      <c r="H644">
        <v>0.7682705566441681</v>
      </c>
      <c r="I644">
        <v>0.471516359408736</v>
      </c>
    </row>
    <row r="645" spans="1:9">
      <c r="A645" s="1" t="s">
        <v>657</v>
      </c>
      <c r="B645">
        <f>HYPERLINK("https://www.suredividend.com/sure-analysis-research-database/","Century Bancorp, Inc.")</f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658</v>
      </c>
      <c r="B646">
        <f>HYPERLINK("https://www.suredividend.com/sure-analysis-research-database/","Centene Corp.")</f>
        <v>0</v>
      </c>
      <c r="C646">
        <v>-0.003798779785886</v>
      </c>
      <c r="D646">
        <v>0.07436374922408401</v>
      </c>
      <c r="E646">
        <v>0.324862216778934</v>
      </c>
      <c r="F646">
        <v>0.050242718446601</v>
      </c>
      <c r="G646">
        <v>0.332204433497537</v>
      </c>
      <c r="H646">
        <v>0.187920384351407</v>
      </c>
      <c r="I646">
        <v>1.452947845804988</v>
      </c>
    </row>
    <row r="647" spans="1:9">
      <c r="A647" s="1" t="s">
        <v>659</v>
      </c>
      <c r="B647">
        <f>HYPERLINK("https://www.suredividend.com/sure-analysis-research-database/","Concert Pharmaceuticals Inc")</f>
        <v>0</v>
      </c>
      <c r="C647">
        <v>0.10204081632653</v>
      </c>
      <c r="D647">
        <v>0.028571428571428</v>
      </c>
      <c r="E647">
        <v>0.125</v>
      </c>
      <c r="F647">
        <v>0.028571428571428</v>
      </c>
      <c r="G647">
        <v>-0.265306122448979</v>
      </c>
      <c r="H647">
        <v>-0.657866948257655</v>
      </c>
      <c r="I647">
        <v>-0.7924407431133881</v>
      </c>
    </row>
    <row r="648" spans="1:9">
      <c r="A648" s="1" t="s">
        <v>660</v>
      </c>
      <c r="B648">
        <f>HYPERLINK("https://www.suredividend.com/sure-analysis-research-database/","Conduent Inc")</f>
        <v>0</v>
      </c>
      <c r="C648">
        <v>0.194029850746268</v>
      </c>
      <c r="D648">
        <v>0.001788908765652</v>
      </c>
      <c r="E648">
        <v>-0.169139465875371</v>
      </c>
      <c r="F648">
        <v>0.04868913857677801</v>
      </c>
      <c r="G648">
        <v>-0.205673758865248</v>
      </c>
      <c r="H648">
        <v>1.772277227722772</v>
      </c>
      <c r="I648">
        <v>-0.645120405576679</v>
      </c>
    </row>
    <row r="649" spans="1:9">
      <c r="A649" s="1" t="s">
        <v>661</v>
      </c>
      <c r="B649">
        <f>HYPERLINK("https://www.suredividend.com/sure-analysis-research-database/","Conifer Holdings Inc")</f>
        <v>0</v>
      </c>
      <c r="C649">
        <v>-0.037190082644628</v>
      </c>
      <c r="D649">
        <v>-0.029166666666666</v>
      </c>
      <c r="E649">
        <v>-0.107279693486589</v>
      </c>
      <c r="F649">
        <v>0.004310344827586</v>
      </c>
      <c r="G649">
        <v>-0.354570637119113</v>
      </c>
      <c r="H649">
        <v>-0.29607250755287</v>
      </c>
      <c r="I649">
        <v>-0.7105590062111801</v>
      </c>
    </row>
    <row r="650" spans="1:9">
      <c r="A650" s="1" t="s">
        <v>662</v>
      </c>
      <c r="B650">
        <f>HYPERLINK("https://www.suredividend.com/sure-analysis-research-database/","Cinemark Holdings Inc")</f>
        <v>0</v>
      </c>
      <c r="C650">
        <v>0.033394049787492</v>
      </c>
      <c r="D650">
        <v>-0.020713463751438</v>
      </c>
      <c r="E650">
        <v>-0.156590683845391</v>
      </c>
      <c r="F650">
        <v>0.055831265508684</v>
      </c>
      <c r="G650">
        <v>-0.199435559736594</v>
      </c>
      <c r="H650">
        <v>0.465977605512489</v>
      </c>
      <c r="I650">
        <v>-0.5483578216093</v>
      </c>
    </row>
    <row r="651" spans="1:9">
      <c r="A651" s="1" t="s">
        <v>663</v>
      </c>
      <c r="B651">
        <f>HYPERLINK("https://www.suredividend.com/sure-analysis-research-database/","Conmed Corp.")</f>
        <v>0</v>
      </c>
      <c r="C651">
        <v>0.016431593794075</v>
      </c>
      <c r="D651">
        <v>0.067280984508023</v>
      </c>
      <c r="E651">
        <v>0.017746482055801</v>
      </c>
      <c r="F651">
        <v>0.01819296710035</v>
      </c>
      <c r="G651">
        <v>0.11356974316738</v>
      </c>
      <c r="H651">
        <v>1.122205338422032</v>
      </c>
      <c r="I651">
        <v>2.349391262720273</v>
      </c>
    </row>
    <row r="652" spans="1:9">
      <c r="A652" s="1" t="s">
        <v>664</v>
      </c>
      <c r="B652">
        <f>HYPERLINK("https://www.suredividend.com/sure-analysis-research-database/","Cannae Holdings Inc")</f>
        <v>0</v>
      </c>
      <c r="C652">
        <v>-0.060618225612203</v>
      </c>
      <c r="D652">
        <v>-0.274643521388716</v>
      </c>
      <c r="E652">
        <v>-0.261363636363636</v>
      </c>
      <c r="F652">
        <v>-0.334281650071123</v>
      </c>
      <c r="G652">
        <v>-0.440726577437858</v>
      </c>
      <c r="H652">
        <v>-0.237536656891495</v>
      </c>
      <c r="I652">
        <v>0.272430668841761</v>
      </c>
    </row>
    <row r="653" spans="1:9">
      <c r="A653" s="1" t="s">
        <v>665</v>
      </c>
      <c r="B653">
        <f>HYPERLINK("https://www.suredividend.com/sure-analysis-research-database/","CNO Financial Group Inc")</f>
        <v>0</v>
      </c>
      <c r="C653">
        <v>0.02920892494929</v>
      </c>
      <c r="D653">
        <v>-0.026525921577204</v>
      </c>
      <c r="E653">
        <v>-0.002931859805223</v>
      </c>
      <c r="F653">
        <v>0.07025189097520701</v>
      </c>
      <c r="G653">
        <v>0.010072859019787</v>
      </c>
      <c r="H653">
        <v>1.268236640470635</v>
      </c>
      <c r="I653">
        <v>0.402021519400065</v>
      </c>
    </row>
    <row r="654" spans="1:9">
      <c r="A654" s="1" t="s">
        <v>666</v>
      </c>
      <c r="B654">
        <f>HYPERLINK("https://www.suredividend.com/sure-analysis-research-database/","ConnectOne Bancorp Inc.")</f>
        <v>0</v>
      </c>
      <c r="C654">
        <v>-0.083457526080476</v>
      </c>
      <c r="D654">
        <v>-0.164915025011813</v>
      </c>
      <c r="E654">
        <v>-0.039419715793189</v>
      </c>
      <c r="F654">
        <v>-0.056157841103021</v>
      </c>
      <c r="G654">
        <v>0.200168609053369</v>
      </c>
      <c r="H654">
        <v>1.561390064305467</v>
      </c>
      <c r="I654">
        <v>0.4663106194268271</v>
      </c>
    </row>
    <row r="655" spans="1:9">
      <c r="A655" s="1" t="s">
        <v>667</v>
      </c>
      <c r="B655">
        <f>HYPERLINK("https://www.suredividend.com/sure-analysis-CNP/","Centerpoint Energy Inc.")</f>
        <v>0</v>
      </c>
      <c r="C655">
        <v>0.122272254935919</v>
      </c>
      <c r="D655">
        <v>0.180955991164699</v>
      </c>
      <c r="E655">
        <v>0.226710484967117</v>
      </c>
      <c r="F655">
        <v>0.168257997519254</v>
      </c>
      <c r="G655">
        <v>0.380979984314795</v>
      </c>
      <c r="H655">
        <v>1.167731575954236</v>
      </c>
      <c r="I655">
        <v>0.3819224076159281</v>
      </c>
    </row>
    <row r="656" spans="1:9">
      <c r="A656" s="1" t="s">
        <v>668</v>
      </c>
      <c r="B656">
        <f>HYPERLINK("https://www.suredividend.com/sure-analysis-research-database/","Cornerstone Building Brands Inc")</f>
        <v>0</v>
      </c>
      <c r="C656">
        <v>-0.001230516817063</v>
      </c>
      <c r="D656">
        <v>0.4902080783353731</v>
      </c>
      <c r="E656">
        <v>0.7099719101123591</v>
      </c>
      <c r="F656">
        <v>0.396215596330275</v>
      </c>
      <c r="G656">
        <v>0.753059755219582</v>
      </c>
      <c r="H656">
        <v>5.05721393034826</v>
      </c>
      <c r="I656">
        <v>0.512422360248447</v>
      </c>
    </row>
    <row r="657" spans="1:9">
      <c r="A657" s="1" t="s">
        <v>669</v>
      </c>
      <c r="B657">
        <f>HYPERLINK("https://www.suredividend.com/sure-analysis-research-database/","Cohen &amp; Steers Inc.")</f>
        <v>0</v>
      </c>
      <c r="C657">
        <v>0.021408241554263</v>
      </c>
      <c r="D657">
        <v>-0.049049856332102</v>
      </c>
      <c r="E657">
        <v>-0.044095080923014</v>
      </c>
      <c r="F657">
        <v>-0.101578061698751</v>
      </c>
      <c r="G657">
        <v>0.25116529357819</v>
      </c>
      <c r="H657">
        <v>0.845298111554016</v>
      </c>
      <c r="I657">
        <v>1.354787173342463</v>
      </c>
    </row>
    <row r="658" spans="1:9">
      <c r="A658" s="1" t="s">
        <v>670</v>
      </c>
      <c r="B658">
        <f>HYPERLINK("https://www.suredividend.com/sure-analysis-research-database/","Consolidated Communications Holdings Inc")</f>
        <v>0</v>
      </c>
      <c r="C658">
        <v>0.166666666666666</v>
      </c>
      <c r="D658">
        <v>-0.110335195530726</v>
      </c>
      <c r="E658">
        <v>-0.326638477801268</v>
      </c>
      <c r="F658">
        <v>-0.148395721925133</v>
      </c>
      <c r="G658">
        <v>-0.06461086637298001</v>
      </c>
      <c r="H658">
        <v>0.208728652751423</v>
      </c>
      <c r="I658">
        <v>-0.6620600015915541</v>
      </c>
    </row>
    <row r="659" spans="1:9">
      <c r="A659" s="1" t="s">
        <v>671</v>
      </c>
      <c r="B659">
        <f>HYPERLINK("https://www.suredividend.com/sure-analysis-research-database/","Century Casinos Inc.")</f>
        <v>0</v>
      </c>
      <c r="C659">
        <v>-0.08589951377633701</v>
      </c>
      <c r="D659">
        <v>0.03867403314917101</v>
      </c>
      <c r="E659">
        <v>-0.226867717614804</v>
      </c>
      <c r="F659">
        <v>-0.07389162561576301</v>
      </c>
      <c r="G659">
        <v>0.0348623853211</v>
      </c>
      <c r="H659">
        <v>2.519500780031201</v>
      </c>
      <c r="I659">
        <v>0.564493758668515</v>
      </c>
    </row>
    <row r="660" spans="1:9">
      <c r="A660" s="1" t="s">
        <v>672</v>
      </c>
      <c r="B660">
        <f>HYPERLINK("https://www.suredividend.com/sure-analysis-research-database/","CNX Resources Corp")</f>
        <v>0</v>
      </c>
      <c r="C660">
        <v>0.227148330596606</v>
      </c>
      <c r="D660">
        <v>0.419886003799873</v>
      </c>
      <c r="E660">
        <v>0.692075471698113</v>
      </c>
      <c r="F660">
        <v>0.6305454545454541</v>
      </c>
      <c r="G660">
        <v>0.6341107871720111</v>
      </c>
      <c r="H660">
        <v>1.135238095238095</v>
      </c>
      <c r="I660">
        <v>0.693750047216493</v>
      </c>
    </row>
    <row r="661" spans="1:9">
      <c r="A661" s="1" t="s">
        <v>673</v>
      </c>
      <c r="B661">
        <f>HYPERLINK("https://www.suredividend.com/sure-analysis-research-database/","PC Connection, Inc.")</f>
        <v>0</v>
      </c>
      <c r="C661">
        <v>0.015805705474171</v>
      </c>
      <c r="D661">
        <v>0.28099173553719</v>
      </c>
      <c r="E661">
        <v>0.21680624150025</v>
      </c>
      <c r="F661">
        <v>0.221887317412473</v>
      </c>
      <c r="G661">
        <v>0.170718270091591</v>
      </c>
      <c r="H661">
        <v>0.346699818821599</v>
      </c>
      <c r="I661">
        <v>0.9770482332241641</v>
      </c>
    </row>
    <row r="662" spans="1:9">
      <c r="A662" s="1" t="s">
        <v>674</v>
      </c>
      <c r="B662">
        <f>HYPERLINK("https://www.suredividend.com/sure-analysis-research-database/","Coda Octopus Group Inc.")</f>
        <v>0</v>
      </c>
      <c r="C662">
        <v>-0.033653846153846</v>
      </c>
      <c r="D662">
        <v>-0.134987806627456</v>
      </c>
      <c r="E662">
        <v>-0.323232323232323</v>
      </c>
      <c r="F662">
        <v>-0.24625</v>
      </c>
      <c r="G662">
        <v>-0.278708133971291</v>
      </c>
      <c r="H662">
        <v>0.264150943396226</v>
      </c>
      <c r="I662">
        <v>63.14893617021277</v>
      </c>
    </row>
    <row r="663" spans="1:9">
      <c r="A663" s="1" t="s">
        <v>675</v>
      </c>
      <c r="B663">
        <f>HYPERLINK("https://www.suredividend.com/sure-analysis-research-database/","Capital One Financial Corp.")</f>
        <v>0</v>
      </c>
      <c r="C663">
        <v>-0.03808763784097501</v>
      </c>
      <c r="D663">
        <v>-0.171045162064765</v>
      </c>
      <c r="E663">
        <v>-0.206514492675564</v>
      </c>
      <c r="F663">
        <v>-0.08265893994145401</v>
      </c>
      <c r="G663">
        <v>-0.016357443790529</v>
      </c>
      <c r="H663">
        <v>1.713860563362984</v>
      </c>
      <c r="I663">
        <v>0.7668984063399921</v>
      </c>
    </row>
    <row r="664" spans="1:9">
      <c r="A664" s="1" t="s">
        <v>676</v>
      </c>
      <c r="B664">
        <f>HYPERLINK("https://www.suredividend.com/sure-analysis-research-database/","Cabot Oil &amp; Gas Corp.")</f>
        <v>0</v>
      </c>
      <c r="C664">
        <v>0.249298147108366</v>
      </c>
      <c r="D664">
        <v>0.255629168971004</v>
      </c>
      <c r="E664">
        <v>0.180872518840887</v>
      </c>
      <c r="F664">
        <v>0.3921737933450961</v>
      </c>
      <c r="G664">
        <v>0.340482573726541</v>
      </c>
      <c r="H664">
        <v>0.319394205339247</v>
      </c>
      <c r="I664">
        <v>-0.06634999496458401</v>
      </c>
    </row>
    <row r="665" spans="1:9">
      <c r="A665" s="1" t="s">
        <v>677</v>
      </c>
      <c r="B665">
        <f>HYPERLINK("https://www.suredividend.com/sure-analysis-research-database/","Cohen &amp; Company Inc")</f>
        <v>0</v>
      </c>
      <c r="C665">
        <v>-0.02064971841293</v>
      </c>
      <c r="D665">
        <v>0.054788699573698</v>
      </c>
      <c r="E665">
        <v>-0.220534534017412</v>
      </c>
      <c r="F665">
        <v>0.054073490633882</v>
      </c>
      <c r="G665">
        <v>-0.465300095544167</v>
      </c>
      <c r="H665">
        <v>3.169036976838684</v>
      </c>
      <c r="I665">
        <v>0.361139855130144</v>
      </c>
    </row>
    <row r="666" spans="1:9">
      <c r="A666" s="1" t="s">
        <v>678</v>
      </c>
      <c r="B666">
        <f>HYPERLINK("https://www.suredividend.com/sure-analysis-research-database/","Coherent Inc.")</f>
        <v>0</v>
      </c>
      <c r="C666">
        <v>0.011843558399025</v>
      </c>
      <c r="D666">
        <v>0.023300596957442</v>
      </c>
      <c r="E666">
        <v>0.052402265615716</v>
      </c>
      <c r="F666">
        <v>-0.003151496961056</v>
      </c>
      <c r="G666">
        <v>-0.008730040292493</v>
      </c>
      <c r="H666">
        <v>1.382532281205164</v>
      </c>
      <c r="I666">
        <v>0.378183515742517</v>
      </c>
    </row>
    <row r="667" spans="1:9">
      <c r="A667" s="1" t="s">
        <v>679</v>
      </c>
      <c r="B667">
        <f>HYPERLINK("https://www.suredividend.com/sure-analysis-research-database/","Cohu, Inc.")</f>
        <v>0</v>
      </c>
      <c r="C667">
        <v>-0.169546788392566</v>
      </c>
      <c r="D667">
        <v>-0.299312242090784</v>
      </c>
      <c r="E667">
        <v>-0.170087976539589</v>
      </c>
      <c r="F667">
        <v>-0.331320556576529</v>
      </c>
      <c r="G667">
        <v>-0.476572133168927</v>
      </c>
      <c r="H667">
        <v>0.635838150289017</v>
      </c>
      <c r="I667">
        <v>0.473566064589287</v>
      </c>
    </row>
    <row r="668" spans="1:9">
      <c r="A668" s="1" t="s">
        <v>680</v>
      </c>
      <c r="B668">
        <f>HYPERLINK("https://www.suredividend.com/sure-analysis-research-database/","Coca-Cola Consolidated Inc")</f>
        <v>0</v>
      </c>
      <c r="C668">
        <v>-0.006773374188606</v>
      </c>
      <c r="D668">
        <v>-0.199300415755986</v>
      </c>
      <c r="E668">
        <v>0.244752057617847</v>
      </c>
      <c r="F668">
        <v>-0.203942833821329</v>
      </c>
      <c r="G668">
        <v>0.609897652071938</v>
      </c>
      <c r="H668">
        <v>1.094924262556471</v>
      </c>
      <c r="I668">
        <v>1.487862392478343</v>
      </c>
    </row>
    <row r="669" spans="1:9">
      <c r="A669" s="1" t="s">
        <v>681</v>
      </c>
      <c r="B669">
        <f>HYPERLINK("https://www.suredividend.com/sure-analysis-research-database/","Columbia Banking System, Inc.")</f>
        <v>0</v>
      </c>
      <c r="C669">
        <v>-0.132259919493962</v>
      </c>
      <c r="D669">
        <v>-0.176112166677586</v>
      </c>
      <c r="E669">
        <v>-0.125209784432908</v>
      </c>
      <c r="F669">
        <v>-0.069601112286012</v>
      </c>
      <c r="G669">
        <v>-0.29031484342483</v>
      </c>
      <c r="H669">
        <v>0.370939534207621</v>
      </c>
      <c r="I669">
        <v>-0.05964610538319801</v>
      </c>
    </row>
    <row r="670" spans="1:9">
      <c r="A670" s="1" t="s">
        <v>682</v>
      </c>
      <c r="B670">
        <f>HYPERLINK("https://www.suredividend.com/sure-analysis-COLD/","Americold Realty Trust")</f>
        <v>0</v>
      </c>
      <c r="C670">
        <v>0.06915819503852601</v>
      </c>
      <c r="D670">
        <v>-0.05700310412943201</v>
      </c>
      <c r="E670">
        <v>-0.06187231169768601</v>
      </c>
      <c r="F670">
        <v>-0.137239473676122</v>
      </c>
      <c r="G670">
        <v>-0.264594151335886</v>
      </c>
      <c r="H670">
        <v>-0.108874744043556</v>
      </c>
      <c r="I670">
        <v>0.7669757457871441</v>
      </c>
    </row>
    <row r="671" spans="1:9">
      <c r="A671" s="1" t="s">
        <v>683</v>
      </c>
      <c r="B671">
        <f>HYPERLINK("https://www.suredividend.com/sure-analysis-research-database/","Collegium Pharmaceutical Inc")</f>
        <v>0</v>
      </c>
      <c r="C671">
        <v>0.010005265929436</v>
      </c>
      <c r="D671">
        <v>0.034519956850054</v>
      </c>
      <c r="E671">
        <v>-0.08579599618684401</v>
      </c>
      <c r="F671">
        <v>0.026766595289079</v>
      </c>
      <c r="G671">
        <v>-0.175762784701332</v>
      </c>
      <c r="H671">
        <v>0.010537407797681</v>
      </c>
      <c r="I671">
        <v>0.9199199199199199</v>
      </c>
    </row>
    <row r="672" spans="1:9">
      <c r="A672" s="1" t="s">
        <v>684</v>
      </c>
      <c r="B672">
        <f>HYPERLINK("https://www.suredividend.com/sure-analysis-research-database/","Columbia Sportswear Co.")</f>
        <v>0</v>
      </c>
      <c r="C672">
        <v>-0.046935692706085</v>
      </c>
      <c r="D672">
        <v>-0.028892455858748</v>
      </c>
      <c r="E672">
        <v>-0.07659562457073101</v>
      </c>
      <c r="F672">
        <v>-0.09038389650992801</v>
      </c>
      <c r="G672">
        <v>-0.193789081788468</v>
      </c>
      <c r="H672">
        <v>0.26446012434168</v>
      </c>
      <c r="I672">
        <v>0.59375129685129</v>
      </c>
    </row>
    <row r="673" spans="1:9">
      <c r="A673" s="1" t="s">
        <v>685</v>
      </c>
      <c r="B673">
        <f>HYPERLINK("https://www.suredividend.com/sure-analysis-research-database/","CommScope Holding Company Inc")</f>
        <v>0</v>
      </c>
      <c r="C673">
        <v>-0.194513715710723</v>
      </c>
      <c r="D673">
        <v>-0.365422396856581</v>
      </c>
      <c r="E673">
        <v>-0.467436108821104</v>
      </c>
      <c r="F673">
        <v>-0.414855072463768</v>
      </c>
      <c r="G673">
        <v>-0.6113116726835131</v>
      </c>
      <c r="H673">
        <v>-0.340816326530612</v>
      </c>
      <c r="I673">
        <v>-0.8384192096048021</v>
      </c>
    </row>
    <row r="674" spans="1:9">
      <c r="A674" s="1" t="s">
        <v>686</v>
      </c>
      <c r="B674">
        <f>HYPERLINK("https://www.suredividend.com/sure-analysis-CONE/","CyrusOne Inc")</f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687</v>
      </c>
      <c r="B675">
        <f>HYPERLINK("https://www.suredividend.com/sure-analysis-research-database/","Conns Inc")</f>
        <v>0</v>
      </c>
      <c r="C675">
        <v>-0.178936605316973</v>
      </c>
      <c r="D675">
        <v>-0.29777000437254</v>
      </c>
      <c r="E675">
        <v>-0.302042590178183</v>
      </c>
      <c r="F675">
        <v>-0.317176870748299</v>
      </c>
      <c r="G675">
        <v>-0.222652468538238</v>
      </c>
      <c r="H675">
        <v>2.985111662531017</v>
      </c>
      <c r="I675">
        <v>0.235384615384615</v>
      </c>
    </row>
    <row r="676" spans="1:9">
      <c r="A676" s="1" t="s">
        <v>688</v>
      </c>
      <c r="B676">
        <f>HYPERLINK("https://www.suredividend.com/sure-analysis-research-database/","Cooper Companies, Inc.")</f>
        <v>0</v>
      </c>
      <c r="C676">
        <v>-0.018422086853998</v>
      </c>
      <c r="D676">
        <v>-0.026478413190508</v>
      </c>
      <c r="E676">
        <v>0.003364467208998</v>
      </c>
      <c r="F676">
        <v>-0.046044433580228</v>
      </c>
      <c r="G676">
        <v>0.00039878766547</v>
      </c>
      <c r="H676">
        <v>0.34619180858353</v>
      </c>
      <c r="I676">
        <v>1.037860700120042</v>
      </c>
    </row>
    <row r="677" spans="1:9">
      <c r="A677" s="1" t="s">
        <v>689</v>
      </c>
      <c r="B677">
        <f>HYPERLINK("https://www.suredividend.com/sure-analysis-research-database/","Mr. Cooper Group Inc")</f>
        <v>0</v>
      </c>
      <c r="C677">
        <v>-0.09795834192617001</v>
      </c>
      <c r="D677">
        <v>-0.017078651685393</v>
      </c>
      <c r="E677">
        <v>0.029903461266776</v>
      </c>
      <c r="F677">
        <v>0.05118961788031701</v>
      </c>
      <c r="G677">
        <v>0.323049001814881</v>
      </c>
      <c r="H677">
        <v>4.879032258064516</v>
      </c>
      <c r="I677">
        <v>28.16</v>
      </c>
    </row>
    <row r="678" spans="1:9">
      <c r="A678" s="1" t="s">
        <v>690</v>
      </c>
      <c r="B678">
        <f>HYPERLINK("https://www.suredividend.com/sure-analysis-COP/","Conoco Phillips")</f>
        <v>0</v>
      </c>
      <c r="C678">
        <v>0.072272907576358</v>
      </c>
      <c r="D678">
        <v>0.178053823009528</v>
      </c>
      <c r="E678">
        <v>0.3903900279257581</v>
      </c>
      <c r="F678">
        <v>0.415687216499452</v>
      </c>
      <c r="G678">
        <v>1.048930158101328</v>
      </c>
      <c r="H678">
        <v>2.511792583559669</v>
      </c>
      <c r="I678">
        <v>1.39235353118178</v>
      </c>
    </row>
    <row r="679" spans="1:9">
      <c r="A679" s="1" t="s">
        <v>691</v>
      </c>
      <c r="B679">
        <f>HYPERLINK("https://www.suredividend.com/sure-analysis-COR/","CoreSite Realty Corporation")</f>
        <v>0</v>
      </c>
      <c r="C679">
        <v>-0.000191805479734</v>
      </c>
      <c r="D679">
        <v>0.208762511451884</v>
      </c>
      <c r="E679">
        <v>0.289690469719565</v>
      </c>
      <c r="F679">
        <v>0.4017578031267111</v>
      </c>
      <c r="G679">
        <v>0.415599250294759</v>
      </c>
      <c r="H679">
        <v>0.641326431255831</v>
      </c>
      <c r="I679">
        <v>1.655316667789963</v>
      </c>
    </row>
    <row r="680" spans="1:9">
      <c r="A680" s="1" t="s">
        <v>692</v>
      </c>
      <c r="B680">
        <f>HYPERLINK("https://www.suredividend.com/sure-analysis-research-database/","Core-Mark Hldg Co Inc")</f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 t="s">
        <v>693</v>
      </c>
      <c r="B681">
        <f>HYPERLINK("https://www.suredividend.com/sure-analysis-CORR/","CorEnergy Infrastructure Trust Inc")</f>
        <v>0</v>
      </c>
      <c r="C681">
        <v>-0.007042253521126001</v>
      </c>
      <c r="D681">
        <v>-0.335250577530526</v>
      </c>
      <c r="E681">
        <v>-0.389174085385665</v>
      </c>
      <c r="F681">
        <v>-0.086757990867579</v>
      </c>
      <c r="G681">
        <v>-0.5430386310604091</v>
      </c>
      <c r="H681">
        <v>-0.7456411736585271</v>
      </c>
      <c r="I681">
        <v>-0.889725722061894</v>
      </c>
    </row>
    <row r="682" spans="1:9">
      <c r="A682" s="1" t="s">
        <v>694</v>
      </c>
      <c r="B682">
        <f>HYPERLINK("https://www.suredividend.com/sure-analysis-research-database/","Corcept Therapeutics Inc")</f>
        <v>0</v>
      </c>
      <c r="C682">
        <v>0.010313531353135</v>
      </c>
      <c r="D682">
        <v>0.327371273712737</v>
      </c>
      <c r="E682">
        <v>0.222055888223552</v>
      </c>
      <c r="F682">
        <v>0.236868686868686</v>
      </c>
      <c r="G682">
        <v>0.07577421480342601</v>
      </c>
      <c r="H682">
        <v>1.040833333333333</v>
      </c>
      <c r="I682">
        <v>1.306026365348399</v>
      </c>
    </row>
    <row r="683" spans="1:9">
      <c r="A683" s="1" t="s">
        <v>695</v>
      </c>
      <c r="B683">
        <f>HYPERLINK("https://www.suredividend.com/sure-analysis-COST/","Costco Wholesale Corp")</f>
        <v>0</v>
      </c>
      <c r="C683">
        <v>0.08649404663317301</v>
      </c>
      <c r="D683">
        <v>0.175539913282551</v>
      </c>
      <c r="E683">
        <v>0.309138982623901</v>
      </c>
      <c r="F683">
        <v>0.041544461594073</v>
      </c>
      <c r="G683">
        <v>0.603966733427298</v>
      </c>
      <c r="H683">
        <v>0.913477834038637</v>
      </c>
      <c r="I683">
        <v>2.912388578865719</v>
      </c>
    </row>
    <row r="684" spans="1:9">
      <c r="A684" s="1" t="s">
        <v>696</v>
      </c>
      <c r="B684">
        <f>HYPERLINK("https://www.suredividend.com/sure-analysis-research-database/","Coty Inc")</f>
        <v>0</v>
      </c>
      <c r="C684">
        <v>-0.041433370660694</v>
      </c>
      <c r="D684">
        <v>-0.041433370660694</v>
      </c>
      <c r="E684">
        <v>0.09323116219667901</v>
      </c>
      <c r="F684">
        <v>-0.184761904761904</v>
      </c>
      <c r="G684">
        <v>-0.048888888888888</v>
      </c>
      <c r="H684">
        <v>0.496503496503496</v>
      </c>
      <c r="I684">
        <v>-0.470444492560858</v>
      </c>
    </row>
    <row r="685" spans="1:9">
      <c r="A685" s="1" t="s">
        <v>697</v>
      </c>
      <c r="B685">
        <f>HYPERLINK("https://www.suredividend.com/sure-analysis-research-database/","Coupa Software Inc")</f>
        <v>0</v>
      </c>
      <c r="C685">
        <v>0.264556962025316</v>
      </c>
      <c r="D685">
        <v>-0.278387749205431</v>
      </c>
      <c r="E685">
        <v>-0.6045600285001781</v>
      </c>
      <c r="F685">
        <v>-0.3679215438152481</v>
      </c>
      <c r="G685">
        <v>-0.63062929823264</v>
      </c>
      <c r="H685">
        <v>-0.3897373243738541</v>
      </c>
      <c r="I685">
        <v>2.4472049689441</v>
      </c>
    </row>
    <row r="686" spans="1:9">
      <c r="A686" s="1" t="s">
        <v>698</v>
      </c>
      <c r="B686">
        <f>HYPERLINK("https://www.suredividend.com/sure-analysis-research-database/","Cowen Inc")</f>
        <v>0</v>
      </c>
      <c r="C686">
        <v>-0.194630872483221</v>
      </c>
      <c r="D686">
        <v>-0.347290252581495</v>
      </c>
      <c r="E686">
        <v>-0.363306339011449</v>
      </c>
      <c r="F686">
        <v>-0.365912807448855</v>
      </c>
      <c r="G686">
        <v>-0.403413105025459</v>
      </c>
      <c r="H686">
        <v>1.473663082748369</v>
      </c>
      <c r="I686">
        <v>0.758499413833528</v>
      </c>
    </row>
    <row r="687" spans="1:9">
      <c r="A687" s="1" t="s">
        <v>699</v>
      </c>
      <c r="B687">
        <f>HYPERLINK("https://www.suredividend.com/sure-analysis-CPB/","Campbell Soup Co.")</f>
        <v>0</v>
      </c>
      <c r="C687">
        <v>0.091984315134382</v>
      </c>
      <c r="D687">
        <v>0.004400229577195</v>
      </c>
      <c r="E687">
        <v>0.141352280110578</v>
      </c>
      <c r="F687">
        <v>0.080949551008184</v>
      </c>
      <c r="G687">
        <v>-0.03283139655378101</v>
      </c>
      <c r="H687">
        <v>-0.037255302389357</v>
      </c>
      <c r="I687">
        <v>-0.03347280334728001</v>
      </c>
    </row>
    <row r="688" spans="1:9">
      <c r="A688" s="1" t="s">
        <v>700</v>
      </c>
      <c r="B688">
        <f>HYPERLINK("https://www.suredividend.com/sure-analysis-research-database/","Callon Petroleum Co.")</f>
        <v>0</v>
      </c>
      <c r="C688">
        <v>0.139530551415797</v>
      </c>
      <c r="D688">
        <v>0.07315789473684201</v>
      </c>
      <c r="E688">
        <v>0.169151376146789</v>
      </c>
      <c r="F688">
        <v>0.294603174603174</v>
      </c>
      <c r="G688">
        <v>0.7802677532013971</v>
      </c>
      <c r="H688">
        <v>13.05883704895426</v>
      </c>
      <c r="I688">
        <v>-0.511031175059952</v>
      </c>
    </row>
    <row r="689" spans="1:9">
      <c r="A689" s="1" t="s">
        <v>701</v>
      </c>
      <c r="B689">
        <f>HYPERLINK("https://www.suredividend.com/sure-analysis-research-database/","Central Pacific Financial Corp.")</f>
        <v>0</v>
      </c>
      <c r="C689">
        <v>-0.068675543097407</v>
      </c>
      <c r="D689">
        <v>-0.13325898534562</v>
      </c>
      <c r="E689">
        <v>0.050613648491076</v>
      </c>
      <c r="F689">
        <v>-0.047721410146173</v>
      </c>
      <c r="G689">
        <v>0.004212554545969</v>
      </c>
      <c r="H689">
        <v>1.053302433371958</v>
      </c>
      <c r="I689">
        <v>0.085487223676526</v>
      </c>
    </row>
    <row r="690" spans="1:9">
      <c r="A690" s="1" t="s">
        <v>702</v>
      </c>
      <c r="B690">
        <f>HYPERLINK("https://www.suredividend.com/sure-analysis-research-database/","Canterbury Park Holding Corp")</f>
        <v>0</v>
      </c>
      <c r="C690">
        <v>0.09739368998628201</v>
      </c>
      <c r="D690">
        <v>0.231024585912375</v>
      </c>
      <c r="E690">
        <v>0.345757650216417</v>
      </c>
      <c r="F690">
        <v>0.245292258899525</v>
      </c>
      <c r="G690">
        <v>0.55481147182996</v>
      </c>
      <c r="H690">
        <v>1.218414083190528</v>
      </c>
      <c r="I690">
        <v>1.223610243597751</v>
      </c>
    </row>
    <row r="691" spans="1:9">
      <c r="A691" s="1" t="s">
        <v>703</v>
      </c>
      <c r="B691">
        <f>HYPERLINK("https://www.suredividend.com/sure-analysis-research-database/","Cumberland Pharmaceuticals Inc.")</f>
        <v>0</v>
      </c>
      <c r="C691">
        <v>0.013822393822393</v>
      </c>
      <c r="D691">
        <v>-0.341904761904761</v>
      </c>
      <c r="E691">
        <v>-0.041678832116788</v>
      </c>
      <c r="F691">
        <v>-0.437730192719486</v>
      </c>
      <c r="G691">
        <v>-0.121806020066889</v>
      </c>
      <c r="H691">
        <v>-0.330153061224489</v>
      </c>
      <c r="I691">
        <v>-0.596030769230769</v>
      </c>
    </row>
    <row r="692" spans="1:9">
      <c r="A692" s="1" t="s">
        <v>704</v>
      </c>
      <c r="B692">
        <f>HYPERLINK("https://www.suredividend.com/sure-analysis-research-database/","Chesapeake Utilities Corp")</f>
        <v>0</v>
      </c>
      <c r="C692">
        <v>0.009163464380727</v>
      </c>
      <c r="D692">
        <v>0.008226913072914</v>
      </c>
      <c r="E692">
        <v>0.078861317812983</v>
      </c>
      <c r="F692">
        <v>-0.060228377717172</v>
      </c>
      <c r="G692">
        <v>0.153683363929822</v>
      </c>
      <c r="H692">
        <v>0.6445562010462731</v>
      </c>
      <c r="I692">
        <v>1.149038393445873</v>
      </c>
    </row>
    <row r="693" spans="1:9">
      <c r="A693" s="1" t="s">
        <v>705</v>
      </c>
      <c r="B693">
        <f>HYPERLINK("https://www.suredividend.com/sure-analysis-research-database/","CorePoint Lodging Inc")</f>
        <v>0</v>
      </c>
      <c r="C693">
        <v>0.015267175572519</v>
      </c>
      <c r="D693">
        <v>0.039739413680781</v>
      </c>
      <c r="E693">
        <v>0.105263157894736</v>
      </c>
      <c r="F693">
        <v>0.01656050955414</v>
      </c>
      <c r="G693">
        <v>0.819840364880273</v>
      </c>
      <c r="H693">
        <v>1.148221929092524</v>
      </c>
      <c r="I693">
        <v>-0.334708935159132</v>
      </c>
    </row>
    <row r="694" spans="1:9">
      <c r="A694" s="1" t="s">
        <v>706</v>
      </c>
      <c r="B694">
        <f>HYPERLINK("https://www.suredividend.com/sure-analysis-research-database/","Capri Holdings Ltd")</f>
        <v>0</v>
      </c>
      <c r="C694">
        <v>-0.08957952468007301</v>
      </c>
      <c r="D694">
        <v>-0.142414327535732</v>
      </c>
      <c r="E694">
        <v>-0.050524308865586</v>
      </c>
      <c r="F694">
        <v>-0.232783854567863</v>
      </c>
      <c r="G694">
        <v>-0.07486531673787801</v>
      </c>
      <c r="H694">
        <v>3.068627450980392</v>
      </c>
      <c r="I694">
        <v>0.325878594249201</v>
      </c>
    </row>
    <row r="695" spans="1:9">
      <c r="A695" s="1" t="s">
        <v>707</v>
      </c>
      <c r="B695">
        <f>HYPERLINK("https://www.suredividend.com/sure-analysis-research-database/","Copart, Inc.")</f>
        <v>0</v>
      </c>
      <c r="C695">
        <v>-0.06632612339372601</v>
      </c>
      <c r="D695">
        <v>-0.144320093628849</v>
      </c>
      <c r="E695">
        <v>-0.193185736947375</v>
      </c>
      <c r="F695">
        <v>-0.228465901596095</v>
      </c>
      <c r="G695">
        <v>-0.052640103660511</v>
      </c>
      <c r="H695">
        <v>0.6916847433116411</v>
      </c>
      <c r="I695">
        <v>2.945362563237774</v>
      </c>
    </row>
    <row r="696" spans="1:9">
      <c r="A696" s="1" t="s">
        <v>708</v>
      </c>
      <c r="B696">
        <f>HYPERLINK("https://www.suredividend.com/sure-analysis-research-database/","Catalyst Pharmaceuticals Inc")</f>
        <v>0</v>
      </c>
      <c r="C696">
        <v>0.06590621039290201</v>
      </c>
      <c r="D696">
        <v>0.34775641025641</v>
      </c>
      <c r="E696">
        <v>0.394693200663349</v>
      </c>
      <c r="F696">
        <v>0.242245199409158</v>
      </c>
      <c r="G696">
        <v>0.8941441441441441</v>
      </c>
      <c r="H696">
        <v>0.90702947845805</v>
      </c>
      <c r="I696">
        <v>3.778409090909091</v>
      </c>
    </row>
    <row r="697" spans="1:9">
      <c r="A697" s="1" t="s">
        <v>709</v>
      </c>
      <c r="B697">
        <f>HYPERLINK("https://www.suredividend.com/sure-analysis-research-database/","Cooper-Standard Holdings Inc")</f>
        <v>0</v>
      </c>
      <c r="C697">
        <v>-0.34267040149393</v>
      </c>
      <c r="D697">
        <v>-0.7422189674112041</v>
      </c>
      <c r="E697">
        <v>-0.716357775987107</v>
      </c>
      <c r="F697">
        <v>-0.685854529228023</v>
      </c>
      <c r="G697">
        <v>-0.7822455923291061</v>
      </c>
      <c r="H697">
        <v>-0.371989295272078</v>
      </c>
      <c r="I697">
        <v>-0.9313505607020961</v>
      </c>
    </row>
    <row r="698" spans="1:9">
      <c r="A698" s="1" t="s">
        <v>710</v>
      </c>
      <c r="B698">
        <f>HYPERLINK("https://www.suredividend.com/sure-analysis-research-database/","CPS Technologies Corporation")</f>
        <v>0</v>
      </c>
      <c r="C698">
        <v>0.249329758713136</v>
      </c>
      <c r="D698">
        <v>0.320113314447592</v>
      </c>
      <c r="E698">
        <v>-0.06799999999999901</v>
      </c>
      <c r="F698">
        <v>0.229551451187335</v>
      </c>
      <c r="G698">
        <v>-0.45369284876905</v>
      </c>
      <c r="H698">
        <v>3.39622641509434</v>
      </c>
      <c r="I698">
        <v>2.304964539007092</v>
      </c>
    </row>
    <row r="699" spans="1:9">
      <c r="A699" s="1" t="s">
        <v>711</v>
      </c>
      <c r="B699">
        <f>HYPERLINK("https://www.suredividend.com/sure-analysis-research-database/","Computer Programs &amp; Systems Inc")</f>
        <v>0</v>
      </c>
      <c r="C699">
        <v>-0.00500736377025</v>
      </c>
      <c r="D699">
        <v>0.157642220699109</v>
      </c>
      <c r="E699">
        <v>-0.07018992568125501</v>
      </c>
      <c r="F699">
        <v>0.152901023890785</v>
      </c>
      <c r="G699">
        <v>0.09426627793974701</v>
      </c>
      <c r="H699">
        <v>0.5595063871435361</v>
      </c>
      <c r="I699">
        <v>0.336244748771746</v>
      </c>
    </row>
    <row r="700" spans="1:9">
      <c r="A700" s="1" t="s">
        <v>712</v>
      </c>
      <c r="B700">
        <f>HYPERLINK("https://www.suredividend.com/sure-analysis-research-database/","Consumer Portfolio Service, Inc.")</f>
        <v>0</v>
      </c>
      <c r="C700">
        <v>0.121495327102803</v>
      </c>
      <c r="D700">
        <v>0.101928374655647</v>
      </c>
      <c r="E700">
        <v>0.883830455259026</v>
      </c>
      <c r="F700">
        <v>0.012658227848101</v>
      </c>
      <c r="G700">
        <v>1.948402948402948</v>
      </c>
      <c r="H700">
        <v>4.063291139240506</v>
      </c>
      <c r="I700">
        <v>1.603036876355748</v>
      </c>
    </row>
    <row r="701" spans="1:9">
      <c r="A701" s="1" t="s">
        <v>713</v>
      </c>
      <c r="B701">
        <f>HYPERLINK("https://www.suredividend.com/sure-analysis-CPT/","Camden Property Trust")</f>
        <v>0</v>
      </c>
      <c r="C701">
        <v>-0.006791130503615001</v>
      </c>
      <c r="D701">
        <v>-0.000373448140805</v>
      </c>
      <c r="E701">
        <v>0.059995814619854</v>
      </c>
      <c r="F701">
        <v>-0.07360563917665501</v>
      </c>
      <c r="G701">
        <v>0.45021887187384</v>
      </c>
      <c r="H701">
        <v>1.078729578268676</v>
      </c>
      <c r="I701">
        <v>1.371239751323757</v>
      </c>
    </row>
    <row r="702" spans="1:9">
      <c r="A702" s="1" t="s">
        <v>714</v>
      </c>
      <c r="B702">
        <f>HYPERLINK("https://www.suredividend.com/sure-analysis-research-database/","Crane Co.")</f>
        <v>0</v>
      </c>
      <c r="C702">
        <v>-0.009466679163932</v>
      </c>
      <c r="D702">
        <v>-0.00595785667658</v>
      </c>
      <c r="E702">
        <v>0.144469821755973</v>
      </c>
      <c r="F702">
        <v>0.04377885873725201</v>
      </c>
      <c r="G702">
        <v>0.138876555609678</v>
      </c>
      <c r="H702">
        <v>1.198405698214316</v>
      </c>
      <c r="I702">
        <v>0.5802876757599</v>
      </c>
    </row>
    <row r="703" spans="1:9">
      <c r="A703" s="1" t="s">
        <v>715</v>
      </c>
      <c r="B703">
        <f>HYPERLINK("https://www.suredividend.com/sure-analysis-research-database/","CRA International Inc.")</f>
        <v>0</v>
      </c>
      <c r="C703">
        <v>-0.041173152848279</v>
      </c>
      <c r="D703">
        <v>-0.035668905427482</v>
      </c>
      <c r="E703">
        <v>-0.200414655552744</v>
      </c>
      <c r="F703">
        <v>-0.08617872194031101</v>
      </c>
      <c r="G703">
        <v>0.126333545790759</v>
      </c>
      <c r="H703">
        <v>1.606538424976157</v>
      </c>
      <c r="I703">
        <v>1.542314583015544</v>
      </c>
    </row>
    <row r="704" spans="1:9">
      <c r="A704" s="1" t="s">
        <v>716</v>
      </c>
      <c r="B704">
        <f>HYPERLINK("https://www.suredividend.com/sure-analysis-research-database/","Corbus Pharmaceuticals Holdings Inc")</f>
        <v>0</v>
      </c>
      <c r="C704">
        <v>-0.087970838396111</v>
      </c>
      <c r="D704">
        <v>-0.300205109080738</v>
      </c>
      <c r="E704">
        <v>-0.632058823529411</v>
      </c>
      <c r="F704">
        <v>-0.390449894429105</v>
      </c>
      <c r="G704">
        <v>-0.7818023255813951</v>
      </c>
      <c r="H704">
        <v>-0.9333392539964471</v>
      </c>
      <c r="I704">
        <v>-0.9452116788321161</v>
      </c>
    </row>
    <row r="705" spans="1:9">
      <c r="A705" s="1" t="s">
        <v>717</v>
      </c>
      <c r="B705">
        <f>HYPERLINK("https://www.suredividend.com/sure-analysis-research-database/","California Resources Corporation")</f>
        <v>0</v>
      </c>
      <c r="C705">
        <v>0.059867486985328</v>
      </c>
      <c r="D705">
        <v>0.019539465896985</v>
      </c>
      <c r="E705">
        <v>0.06292345479786801</v>
      </c>
      <c r="F705">
        <v>0.052960702632049</v>
      </c>
      <c r="G705">
        <v>0.8693578073547271</v>
      </c>
      <c r="H705">
        <v>2.010910264252919</v>
      </c>
      <c r="I705">
        <v>2.010910264252919</v>
      </c>
    </row>
    <row r="706" spans="1:9">
      <c r="A706" s="1" t="s">
        <v>718</v>
      </c>
      <c r="B706">
        <f>HYPERLINK("https://www.suredividend.com/sure-analysis-research-database/","Cree, Inc.")</f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719</v>
      </c>
      <c r="B707">
        <f>HYPERLINK("https://www.suredividend.com/sure-analysis-research-database/","Carters Inc")</f>
        <v>0</v>
      </c>
      <c r="C707">
        <v>-0.044117647058823</v>
      </c>
      <c r="D707">
        <v>-0.061416037543358</v>
      </c>
      <c r="E707">
        <v>-0.077826508015815</v>
      </c>
      <c r="F707">
        <v>-0.106759648638879</v>
      </c>
      <c r="G707">
        <v>-0.06646032352301401</v>
      </c>
      <c r="H707">
        <v>0.26586923020474</v>
      </c>
      <c r="I707">
        <v>0.093315781775632</v>
      </c>
    </row>
    <row r="708" spans="1:9">
      <c r="A708" s="1" t="s">
        <v>720</v>
      </c>
      <c r="B708">
        <f>HYPERLINK("https://www.suredividend.com/sure-analysis-research-database/","Curis Inc")</f>
        <v>0</v>
      </c>
      <c r="C708">
        <v>-0.5093632958801491</v>
      </c>
      <c r="D708">
        <v>-0.641095890410958</v>
      </c>
      <c r="E708">
        <v>-0.819310344827586</v>
      </c>
      <c r="F708">
        <v>-0.7247899159663861</v>
      </c>
      <c r="G708">
        <v>-0.8859878154917321</v>
      </c>
      <c r="H708">
        <v>0.7227774855339291</v>
      </c>
      <c r="I708">
        <v>-0.8972549019607841</v>
      </c>
    </row>
    <row r="709" spans="1:9">
      <c r="A709" s="1" t="s">
        <v>721</v>
      </c>
      <c r="B709">
        <f>HYPERLINK("https://www.suredividend.com/sure-analysis-research-database/","Comstock Resources, Inc.")</f>
        <v>0</v>
      </c>
      <c r="C709">
        <v>0.8648044692737431</v>
      </c>
      <c r="D709">
        <v>0.8773903262092241</v>
      </c>
      <c r="E709">
        <v>0.8161044613710551</v>
      </c>
      <c r="F709">
        <v>1.063040791100123</v>
      </c>
      <c r="G709">
        <v>2.385395537525355</v>
      </c>
      <c r="H709">
        <v>1.563748079877112</v>
      </c>
      <c r="I709">
        <v>0.7926960257787321</v>
      </c>
    </row>
    <row r="710" spans="1:9">
      <c r="A710" s="1" t="s">
        <v>722</v>
      </c>
      <c r="B710">
        <f>HYPERLINK("https://www.suredividend.com/sure-analysis-research-database/","Charles River Laboratories International Inc.")</f>
        <v>0</v>
      </c>
      <c r="C710">
        <v>0.051187354581379</v>
      </c>
      <c r="D710">
        <v>-0.19824793667784</v>
      </c>
      <c r="E710">
        <v>-0.294667195321405</v>
      </c>
      <c r="F710">
        <v>-0.244572429534476</v>
      </c>
      <c r="G710">
        <v>-0.119828066052322</v>
      </c>
      <c r="H710">
        <v>1.039481226712525</v>
      </c>
      <c r="I710">
        <v>2.257381551842527</v>
      </c>
    </row>
    <row r="711" spans="1:9">
      <c r="A711" s="1" t="s">
        <v>723</v>
      </c>
      <c r="B711">
        <f>HYPERLINK("https://www.suredividend.com/sure-analysis-research-database/","Salesforce Inc")</f>
        <v>0</v>
      </c>
      <c r="C711">
        <v>-0.078610692221627</v>
      </c>
      <c r="D711">
        <v>-0.180858885092764</v>
      </c>
      <c r="E711">
        <v>-0.350579441815813</v>
      </c>
      <c r="F711">
        <v>-0.254672805257151</v>
      </c>
      <c r="G711">
        <v>-0.18326074770385</v>
      </c>
      <c r="H711">
        <v>0.205972239908315</v>
      </c>
      <c r="I711">
        <v>1.278479489955491</v>
      </c>
    </row>
    <row r="712" spans="1:9">
      <c r="A712" s="1" t="s">
        <v>724</v>
      </c>
      <c r="B712">
        <f>HYPERLINK("https://www.suredividend.com/sure-analysis-research-database/","CorMedix Inc")</f>
        <v>0</v>
      </c>
      <c r="C712">
        <v>-0.013916500994035</v>
      </c>
      <c r="D712">
        <v>0.07127429805615501</v>
      </c>
      <c r="E712">
        <v>0.002020202020202</v>
      </c>
      <c r="F712">
        <v>0.09010989010989001</v>
      </c>
      <c r="G712">
        <v>-0.3657289002557541</v>
      </c>
      <c r="H712">
        <v>0.301837270341207</v>
      </c>
      <c r="I712">
        <v>-0.186885245901639</v>
      </c>
    </row>
    <row r="713" spans="1:9">
      <c r="A713" s="1" t="s">
        <v>725</v>
      </c>
      <c r="B713">
        <f>HYPERLINK("https://www.suredividend.com/sure-analysis-research-database/","Americas Car Mart, Inc.")</f>
        <v>0</v>
      </c>
      <c r="C713">
        <v>-0.116214484084597</v>
      </c>
      <c r="D713">
        <v>-0.168442211055276</v>
      </c>
      <c r="E713">
        <v>-0.26798195169424</v>
      </c>
      <c r="F713">
        <v>-0.1919921875</v>
      </c>
      <c r="G713">
        <v>-0.458082263557767</v>
      </c>
      <c r="H713">
        <v>0.427536231884057</v>
      </c>
      <c r="I713">
        <v>1.374175035868005</v>
      </c>
    </row>
    <row r="714" spans="1:9">
      <c r="A714" s="1" t="s">
        <v>726</v>
      </c>
      <c r="B714">
        <f>HYPERLINK("https://www.suredividend.com/sure-analysis-research-database/","Crinetics Pharmaceuticals Inc")</f>
        <v>0</v>
      </c>
      <c r="C714">
        <v>0.338136901698404</v>
      </c>
      <c r="D714">
        <v>0.082882132444814</v>
      </c>
      <c r="E714">
        <v>0.334017444843509</v>
      </c>
      <c r="F714">
        <v>-0.084829285462865</v>
      </c>
      <c r="G714">
        <v>0.5540944411237291</v>
      </c>
      <c r="H714">
        <v>0.679586563307493</v>
      </c>
      <c r="I714">
        <v>0.06079151366789001</v>
      </c>
    </row>
    <row r="715" spans="1:9">
      <c r="A715" s="1" t="s">
        <v>727</v>
      </c>
      <c r="B715">
        <f>HYPERLINK("https://www.suredividend.com/sure-analysis-research-database/","Crocs Inc")</f>
        <v>0</v>
      </c>
      <c r="C715">
        <v>-0.066115702479338</v>
      </c>
      <c r="D715">
        <v>-0.409825363146727</v>
      </c>
      <c r="E715">
        <v>-0.4728478752095631</v>
      </c>
      <c r="F715">
        <v>-0.4359694275464041</v>
      </c>
      <c r="G715">
        <v>-0.08502024291497901</v>
      </c>
      <c r="H715">
        <v>2.381019167835437</v>
      </c>
      <c r="I715">
        <v>10.8752052545156</v>
      </c>
    </row>
    <row r="716" spans="1:9">
      <c r="A716" s="1" t="s">
        <v>728</v>
      </c>
      <c r="B716">
        <f>HYPERLINK("https://www.suredividend.com/sure-analysis-research-database/","Carpenter Technology Corp.")</f>
        <v>0</v>
      </c>
      <c r="C716">
        <v>0.149120433017591</v>
      </c>
      <c r="D716">
        <v>0.309560159269163</v>
      </c>
      <c r="E716">
        <v>0.277868734049212</v>
      </c>
      <c r="F716">
        <v>0.464784456587735</v>
      </c>
      <c r="G716">
        <v>0.044125747560591</v>
      </c>
      <c r="H716">
        <v>1.456294616514907</v>
      </c>
      <c r="I716">
        <v>0.366499206683809</v>
      </c>
    </row>
    <row r="717" spans="1:9">
      <c r="A717" s="1" t="s">
        <v>729</v>
      </c>
      <c r="B717">
        <f>HYPERLINK("https://www.suredividend.com/sure-analysis-research-database/","Cortexyme Inc")</f>
        <v>0</v>
      </c>
      <c r="C717">
        <v>-0.16934046345811</v>
      </c>
      <c r="D717">
        <v>-0.563670411985018</v>
      </c>
      <c r="E717">
        <v>-0.9260904044409199</v>
      </c>
      <c r="F717">
        <v>-0.6307448494453241</v>
      </c>
      <c r="G717">
        <v>-0.8795865633074931</v>
      </c>
      <c r="H717">
        <v>-0.881845841784989</v>
      </c>
      <c r="I717">
        <v>-0.858315597446032</v>
      </c>
    </row>
    <row r="718" spans="1:9">
      <c r="A718" s="1" t="s">
        <v>730</v>
      </c>
      <c r="B718">
        <f>HYPERLINK("https://www.suredividend.com/sure-analysis-research-database/","Cirrus Logic, Inc.")</f>
        <v>0</v>
      </c>
      <c r="C718">
        <v>-0.09998806824961201</v>
      </c>
      <c r="D718">
        <v>-0.200106044538706</v>
      </c>
      <c r="E718">
        <v>-0.058184542389811</v>
      </c>
      <c r="F718">
        <v>-0.180286894153444</v>
      </c>
      <c r="G718">
        <v>-0.119322825452422</v>
      </c>
      <c r="H718">
        <v>0.08626152073732701</v>
      </c>
      <c r="I718">
        <v>0.223718364698247</v>
      </c>
    </row>
    <row r="719" spans="1:9">
      <c r="A719" s="1" t="s">
        <v>731</v>
      </c>
      <c r="B719">
        <f>HYPERLINK("https://www.suredividend.com/sure-analysis-research-database/","Corvel Corp.")</f>
        <v>0</v>
      </c>
      <c r="C719">
        <v>0.080418101625279</v>
      </c>
      <c r="D719">
        <v>-0.073087290068422</v>
      </c>
      <c r="E719">
        <v>0.023700480879322</v>
      </c>
      <c r="F719">
        <v>-0.140288461538461</v>
      </c>
      <c r="G719">
        <v>0.579263446083193</v>
      </c>
      <c r="H719">
        <v>2.438184964429917</v>
      </c>
      <c r="I719">
        <v>3.329782082324455</v>
      </c>
    </row>
    <row r="720" spans="1:9">
      <c r="A720" s="1" t="s">
        <v>732</v>
      </c>
      <c r="B720">
        <f>HYPERLINK("https://www.suredividend.com/sure-analysis-research-database/","Corvus Pharmaceuticals Inc")</f>
        <v>0</v>
      </c>
      <c r="C720">
        <v>-0.09375000000000001</v>
      </c>
      <c r="D720">
        <v>-0.355555555555555</v>
      </c>
      <c r="E720">
        <v>-0.7070707070707071</v>
      </c>
      <c r="F720">
        <v>-0.398340248962655</v>
      </c>
      <c r="G720">
        <v>-0.4649446494464941</v>
      </c>
      <c r="H720">
        <v>-0.42</v>
      </c>
      <c r="I720">
        <v>-0.85629335976214</v>
      </c>
    </row>
    <row r="721" spans="1:9">
      <c r="A721" s="1" t="s">
        <v>733</v>
      </c>
      <c r="B721">
        <f>HYPERLINK("https://www.suredividend.com/sure-analysis-research-database/","Crown Crafts, Inc.")</f>
        <v>0</v>
      </c>
      <c r="C721">
        <v>0.003124999999999</v>
      </c>
      <c r="D721">
        <v>-0.08704369960609201</v>
      </c>
      <c r="E721">
        <v>-0.088999886479736</v>
      </c>
      <c r="F721">
        <v>-0.107105603538198</v>
      </c>
      <c r="G721">
        <v>-0.0983272706844</v>
      </c>
      <c r="H721">
        <v>0.7119543478840561</v>
      </c>
      <c r="I721">
        <v>0.08642309579814801</v>
      </c>
    </row>
    <row r="722" spans="1:9">
      <c r="A722" s="1" t="s">
        <v>734</v>
      </c>
      <c r="B722">
        <f>HYPERLINK("https://www.suredividend.com/sure-analysis-CSCO/","Cisco Systems, Inc.")</f>
        <v>0</v>
      </c>
      <c r="C722">
        <v>-0.07686035099872901</v>
      </c>
      <c r="D722">
        <v>-0.160358828867116</v>
      </c>
      <c r="E722">
        <v>-0.06200964936721801</v>
      </c>
      <c r="F722">
        <v>-0.182199861595677</v>
      </c>
      <c r="G722">
        <v>-0.004964482462912</v>
      </c>
      <c r="H722">
        <v>0.3074650967887</v>
      </c>
      <c r="I722">
        <v>0.8047281974232271</v>
      </c>
    </row>
    <row r="723" spans="1:9">
      <c r="A723" s="1" t="s">
        <v>735</v>
      </c>
      <c r="B723">
        <f>HYPERLINK("https://www.suredividend.com/sure-analysis-research-database/","Costar Group, Inc.")</f>
        <v>0</v>
      </c>
      <c r="C723">
        <v>0.03846799932806901</v>
      </c>
      <c r="D723">
        <v>-0.170535354890648</v>
      </c>
      <c r="E723">
        <v>-0.3409381663113</v>
      </c>
      <c r="F723">
        <v>-0.217765405542199</v>
      </c>
      <c r="G723">
        <v>-0.31685323726697</v>
      </c>
      <c r="H723">
        <v>-0.021231456120074</v>
      </c>
      <c r="I723">
        <v>2.022687267748875</v>
      </c>
    </row>
    <row r="724" spans="1:9">
      <c r="A724" s="1" t="s">
        <v>736</v>
      </c>
      <c r="B724">
        <f>HYPERLINK("https://www.suredividend.com/sure-analysis-research-database/","CSG Systems International Inc.")</f>
        <v>0</v>
      </c>
      <c r="C724">
        <v>0.007115489874110001</v>
      </c>
      <c r="D724">
        <v>0.124250645047536</v>
      </c>
      <c r="E724">
        <v>0.294287649400789</v>
      </c>
      <c r="F724">
        <v>0.122299249593079</v>
      </c>
      <c r="G724">
        <v>0.397912248446342</v>
      </c>
      <c r="H724">
        <v>0.435990286997375</v>
      </c>
      <c r="I724">
        <v>0.983699167708827</v>
      </c>
    </row>
    <row r="725" spans="1:9">
      <c r="A725" s="1" t="s">
        <v>737</v>
      </c>
      <c r="B725">
        <f>HYPERLINK("https://www.suredividend.com/sure-analysis-research-database/","Cardiovascular Systems Inc.")</f>
        <v>0</v>
      </c>
      <c r="C725">
        <v>0.04059932334461</v>
      </c>
      <c r="D725">
        <v>0.12252346193952</v>
      </c>
      <c r="E725">
        <v>-0.357696897374701</v>
      </c>
      <c r="F725">
        <v>0.146432374866879</v>
      </c>
      <c r="G725">
        <v>-0.447665469471523</v>
      </c>
      <c r="H725">
        <v>-0.457682619647355</v>
      </c>
      <c r="I725">
        <v>-0.252430555555555</v>
      </c>
    </row>
    <row r="726" spans="1:9">
      <c r="A726" s="1" t="s">
        <v>738</v>
      </c>
      <c r="B726">
        <f>HYPERLINK("https://www.suredividend.com/sure-analysis-CSL/","Carlisle Companies Inc.")</f>
        <v>0</v>
      </c>
      <c r="C726">
        <v>-0.008885102239532001</v>
      </c>
      <c r="D726">
        <v>0.033357712493141</v>
      </c>
      <c r="E726">
        <v>0.126085220897825</v>
      </c>
      <c r="F726">
        <v>-0.01320413574472</v>
      </c>
      <c r="G726">
        <v>0.408844653956748</v>
      </c>
      <c r="H726">
        <v>1.106625664976755</v>
      </c>
      <c r="I726">
        <v>1.530836443050223</v>
      </c>
    </row>
    <row r="727" spans="1:9">
      <c r="A727" s="1" t="s">
        <v>739</v>
      </c>
      <c r="B727">
        <f>HYPERLINK("https://www.suredividend.com/sure-analysis-research-database/","Castlight Health Inc")</f>
        <v>0</v>
      </c>
      <c r="C727">
        <v>0.004901960784313</v>
      </c>
      <c r="D727">
        <v>0.120218579234972</v>
      </c>
      <c r="E727">
        <v>0.164772727272727</v>
      </c>
      <c r="F727">
        <v>0.331168831168831</v>
      </c>
      <c r="G727">
        <v>0.120218579234972</v>
      </c>
      <c r="H727">
        <v>0.589147286821705</v>
      </c>
      <c r="I727">
        <v>-0.430555555555555</v>
      </c>
    </row>
    <row r="728" spans="1:9">
      <c r="A728" s="1" t="s">
        <v>740</v>
      </c>
      <c r="B728">
        <f>HYPERLINK("https://www.suredividend.com/sure-analysis-research-database/","Cornerstone OnDemand Inc")</f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741</v>
      </c>
      <c r="B729">
        <f>HYPERLINK("https://www.suredividend.com/sure-analysis-research-database/","CSP Inc.")</f>
        <v>0</v>
      </c>
      <c r="C729">
        <v>-0.035812672176308</v>
      </c>
      <c r="D729">
        <v>-0.190751445086705</v>
      </c>
      <c r="E729">
        <v>-0.205033275035773</v>
      </c>
      <c r="F729">
        <v>-0.203640500568828</v>
      </c>
      <c r="G729">
        <v>-0.221357063403782</v>
      </c>
      <c r="H729">
        <v>-0.225663716814159</v>
      </c>
      <c r="I729">
        <v>-0.226143097196427</v>
      </c>
    </row>
    <row r="730" spans="1:9">
      <c r="A730" s="1" t="s">
        <v>742</v>
      </c>
      <c r="B730">
        <f>HYPERLINK("https://www.suredividend.com/sure-analysis-research-database/","CapStar Financial Holdings Inc")</f>
        <v>0</v>
      </c>
      <c r="C730">
        <v>-0.06048014773776501</v>
      </c>
      <c r="D730">
        <v>-0.07406143500002201</v>
      </c>
      <c r="E730">
        <v>-0.06224655312246501</v>
      </c>
      <c r="F730">
        <v>-0.029593812289586</v>
      </c>
      <c r="G730">
        <v>0.122387071865865</v>
      </c>
      <c r="H730">
        <v>1.306576292702831</v>
      </c>
      <c r="I730">
        <v>0.123508659574115</v>
      </c>
    </row>
    <row r="731" spans="1:9">
      <c r="A731" s="1" t="s">
        <v>743</v>
      </c>
      <c r="B731">
        <f>HYPERLINK("https://www.suredividend.com/sure-analysis-research-database/","Carriage Services, Inc.")</f>
        <v>0</v>
      </c>
      <c r="C731">
        <v>-0.050686184812442</v>
      </c>
      <c r="D731">
        <v>-0.10499721389842</v>
      </c>
      <c r="E731">
        <v>0.180238959715359</v>
      </c>
      <c r="F731">
        <v>-0.193052913517608</v>
      </c>
      <c r="G731">
        <v>0.462409480292143</v>
      </c>
      <c r="H731">
        <v>2.855357222478189</v>
      </c>
      <c r="I731">
        <v>1.041314184536691</v>
      </c>
    </row>
    <row r="732" spans="1:9">
      <c r="A732" s="1" t="s">
        <v>744</v>
      </c>
      <c r="B732">
        <f>HYPERLINK("https://www.suredividend.com/sure-analysis-research-database/","CSW Industrials Inc")</f>
        <v>0</v>
      </c>
      <c r="C732">
        <v>-0.056988138215575</v>
      </c>
      <c r="D732">
        <v>-0.08846106870482701</v>
      </c>
      <c r="E732">
        <v>-0.198158783709708</v>
      </c>
      <c r="F732">
        <v>-0.09102583753464201</v>
      </c>
      <c r="G732">
        <v>-0.215447061448423</v>
      </c>
      <c r="H732">
        <v>0.694711037170569</v>
      </c>
      <c r="I732">
        <v>2.200296372355693</v>
      </c>
    </row>
    <row r="733" spans="1:9">
      <c r="A733" s="1" t="s">
        <v>745</v>
      </c>
      <c r="B733">
        <f>HYPERLINK("https://www.suredividend.com/sure-analysis-CSX/","CSX Corp.")</f>
        <v>0</v>
      </c>
      <c r="C733">
        <v>-0.015445099691097</v>
      </c>
      <c r="D733">
        <v>-0.03499717875672601</v>
      </c>
      <c r="E733">
        <v>0.03211751891430401</v>
      </c>
      <c r="F733">
        <v>-0.06476988697746701</v>
      </c>
      <c r="G733">
        <v>0.07829478106556201</v>
      </c>
      <c r="H733">
        <v>0.7715660118037021</v>
      </c>
      <c r="I733">
        <v>1.413653042538397</v>
      </c>
    </row>
    <row r="734" spans="1:9">
      <c r="A734" s="1" t="s">
        <v>746</v>
      </c>
      <c r="B734">
        <f>HYPERLINK("https://www.suredividend.com/sure-analysis-CTAS/","Cintas Corporation")</f>
        <v>0</v>
      </c>
      <c r="C734">
        <v>0.063063757613136</v>
      </c>
      <c r="D734">
        <v>0.043449965884253</v>
      </c>
      <c r="E734">
        <v>-0.000964090060308</v>
      </c>
      <c r="F734">
        <v>-0.06419855359893401</v>
      </c>
      <c r="G734">
        <v>0.191243080454911</v>
      </c>
      <c r="H734">
        <v>1.199558035961154</v>
      </c>
      <c r="I734">
        <v>2.557906832330189</v>
      </c>
    </row>
    <row r="735" spans="1:9">
      <c r="A735" s="1" t="s">
        <v>747</v>
      </c>
      <c r="B735">
        <f>HYPERLINK("https://www.suredividend.com/sure-analysis-research-database/","Cooper Tire &amp; Rubber Co.")</f>
        <v>0</v>
      </c>
      <c r="C735">
        <v>0.019243148016397</v>
      </c>
      <c r="D735">
        <v>0.040711772824917</v>
      </c>
      <c r="E735">
        <v>0.4988989308169831</v>
      </c>
      <c r="F735">
        <v>0.491124377665598</v>
      </c>
      <c r="G735">
        <v>1.130831722018004</v>
      </c>
      <c r="H735">
        <v>1.06583053803607</v>
      </c>
      <c r="I735">
        <v>1.019337582097466</v>
      </c>
    </row>
    <row r="736" spans="1:9">
      <c r="A736" s="1" t="s">
        <v>748</v>
      </c>
      <c r="B736">
        <f>HYPERLINK("https://www.suredividend.com/sure-analysis-CTBI/","Community Trust Bancorp, Inc.")</f>
        <v>0</v>
      </c>
      <c r="C736">
        <v>-0.05710240679565801</v>
      </c>
      <c r="D736">
        <v>-0.122018741692025</v>
      </c>
      <c r="E736">
        <v>-0.04998288257446001</v>
      </c>
      <c r="F736">
        <v>-0.074910060700345</v>
      </c>
      <c r="G736">
        <v>-0.082031384602661</v>
      </c>
      <c r="H736">
        <v>0.4347521677468</v>
      </c>
      <c r="I736">
        <v>0.09712403047566701</v>
      </c>
    </row>
    <row r="737" spans="1:9">
      <c r="A737" s="1" t="s">
        <v>749</v>
      </c>
      <c r="B737">
        <f>HYPERLINK("https://www.suredividend.com/sure-analysis-research-database/","Computer Task Group, Inc.")</f>
        <v>0</v>
      </c>
      <c r="C737">
        <v>0.122587968217934</v>
      </c>
      <c r="D737">
        <v>0.151338766006984</v>
      </c>
      <c r="E737">
        <v>0.258269720101781</v>
      </c>
      <c r="F737">
        <v>-0.008024072216649001</v>
      </c>
      <c r="G737">
        <v>-0.121669626998223</v>
      </c>
      <c r="H737">
        <v>1.460199004975124</v>
      </c>
      <c r="I737">
        <v>0.7692307692307691</v>
      </c>
    </row>
    <row r="738" spans="1:9">
      <c r="A738" s="1" t="s">
        <v>750</v>
      </c>
      <c r="B738">
        <f>HYPERLINK("https://www.suredividend.com/sure-analysis-research-database/","Charles &amp; Colvard Ltd")</f>
        <v>0</v>
      </c>
      <c r="C738">
        <v>-0.144444444444444</v>
      </c>
      <c r="D738">
        <v>-0.3960784313725481</v>
      </c>
      <c r="E738">
        <v>-0.448028673835125</v>
      </c>
      <c r="F738">
        <v>-0.4671280276816601</v>
      </c>
      <c r="G738">
        <v>-0.495081967213114</v>
      </c>
      <c r="H738">
        <v>1.369230769230769</v>
      </c>
      <c r="I738">
        <v>0.6739130434782601</v>
      </c>
    </row>
    <row r="739" spans="1:9">
      <c r="A739" s="1" t="s">
        <v>751</v>
      </c>
      <c r="B739">
        <f>HYPERLINK("https://www.suredividend.com/sure-analysis-research-database/","Yunhong CTI Ltd")</f>
        <v>0</v>
      </c>
      <c r="C739">
        <v>-0.147321428571428</v>
      </c>
      <c r="D739">
        <v>-0.147321428571428</v>
      </c>
      <c r="E739">
        <v>-0.5</v>
      </c>
      <c r="F739">
        <v>-0.197478991596638</v>
      </c>
      <c r="G739">
        <v>-0.492021276595744</v>
      </c>
      <c r="H739">
        <v>-0.332167832167832</v>
      </c>
      <c r="I739">
        <v>-0.837791932059448</v>
      </c>
    </row>
    <row r="740" spans="1:9">
      <c r="A740" s="1" t="s">
        <v>752</v>
      </c>
      <c r="B740">
        <f>HYPERLINK("https://www.suredividend.com/sure-analysis-research-database/","CTI BioPharma Corp")</f>
        <v>0</v>
      </c>
      <c r="C740">
        <v>0.04147465437788</v>
      </c>
      <c r="D740">
        <v>1.036036036036035</v>
      </c>
      <c r="E740">
        <v>0.637681159420289</v>
      </c>
      <c r="F740">
        <v>0.82258064516129</v>
      </c>
      <c r="G740">
        <v>0.8373983739837391</v>
      </c>
      <c r="H740">
        <v>4.165714285714285</v>
      </c>
      <c r="I740">
        <v>0.118811881188118</v>
      </c>
    </row>
    <row r="741" spans="1:9">
      <c r="A741" s="1" t="s">
        <v>753</v>
      </c>
      <c r="B741">
        <f>HYPERLINK("https://www.suredividend.com/sure-analysis-research-database/","Catalent Inc.")</f>
        <v>0</v>
      </c>
      <c r="C741">
        <v>-0.05349153861116501</v>
      </c>
      <c r="D741">
        <v>-0.100886917960088</v>
      </c>
      <c r="E741">
        <v>-0.244233905412751</v>
      </c>
      <c r="F741">
        <v>-0.23986565648676</v>
      </c>
      <c r="G741">
        <v>-0.12007233273056</v>
      </c>
      <c r="H741">
        <v>0.7453371592539451</v>
      </c>
      <c r="I741">
        <v>2.518438177874186</v>
      </c>
    </row>
    <row r="742" spans="1:9">
      <c r="A742" s="1" t="s">
        <v>754</v>
      </c>
      <c r="B742">
        <f>HYPERLINK("https://www.suredividend.com/sure-analysis-research-database/","CytomX Therapeutics Inc")</f>
        <v>0</v>
      </c>
      <c r="C742">
        <v>-0.23</v>
      </c>
      <c r="D742">
        <v>-0.415189873417721</v>
      </c>
      <c r="E742">
        <v>-0.550583657587548</v>
      </c>
      <c r="F742">
        <v>-0.466512702078521</v>
      </c>
      <c r="G742">
        <v>-0.6924101198402131</v>
      </c>
      <c r="H742">
        <v>-0.747816593886462</v>
      </c>
      <c r="I742">
        <v>-0.8526785714285711</v>
      </c>
    </row>
    <row r="743" spans="1:9">
      <c r="A743" s="1" t="s">
        <v>755</v>
      </c>
      <c r="B743">
        <f>HYPERLINK("https://www.suredividend.com/sure-analysis-CTO/","CTO Realty Growth Inc")</f>
        <v>0</v>
      </c>
      <c r="C743">
        <v>0.025971981740909</v>
      </c>
      <c r="D743">
        <v>0.033263212627434</v>
      </c>
      <c r="E743">
        <v>0.261552456620828</v>
      </c>
      <c r="F743">
        <v>0.07935887606250901</v>
      </c>
      <c r="G743">
        <v>0.319633547603381</v>
      </c>
      <c r="H743">
        <v>0.523623409288539</v>
      </c>
      <c r="I743">
        <v>0.523623409288539</v>
      </c>
    </row>
    <row r="744" spans="1:9">
      <c r="A744" s="1" t="s">
        <v>756</v>
      </c>
      <c r="B744">
        <f>HYPERLINK("https://www.suredividend.com/sure-analysis-research-database/","Coterra Energy Inc")</f>
        <v>0</v>
      </c>
      <c r="C744">
        <v>0.253515125692373</v>
      </c>
      <c r="D744">
        <v>0.346872253149721</v>
      </c>
      <c r="E744">
        <v>0.478904745866657</v>
      </c>
      <c r="F744">
        <v>0.573716474275994</v>
      </c>
      <c r="G744">
        <v>0.799949831445894</v>
      </c>
      <c r="H744">
        <v>0.577589858810533</v>
      </c>
      <c r="I744">
        <v>0.319998743712956</v>
      </c>
    </row>
    <row r="745" spans="1:9">
      <c r="A745" s="1" t="s">
        <v>757</v>
      </c>
      <c r="B745">
        <f>HYPERLINK("https://www.suredividend.com/sure-analysis-CTRE/","CareTrust REIT Inc")</f>
        <v>0</v>
      </c>
      <c r="C745">
        <v>-0.020008166598611</v>
      </c>
      <c r="D745">
        <v>-0.217301566737103</v>
      </c>
      <c r="E745">
        <v>-0.156069364161849</v>
      </c>
      <c r="F745">
        <v>-0.221758771871376</v>
      </c>
      <c r="G745">
        <v>-0.228706895413183</v>
      </c>
      <c r="H745">
        <v>0.159696572540609</v>
      </c>
      <c r="I745">
        <v>0.28328145028383</v>
      </c>
    </row>
    <row r="746" spans="1:9">
      <c r="A746" s="1" t="s">
        <v>758</v>
      </c>
      <c r="B746">
        <f>HYPERLINK("https://www.suredividend.com/sure-analysis-research-database/","Citi Trends Inc")</f>
        <v>0</v>
      </c>
      <c r="C746">
        <v>-0.091914893617021</v>
      </c>
      <c r="D746">
        <v>-0.44194560669456</v>
      </c>
      <c r="E746">
        <v>-0.5416666666666661</v>
      </c>
      <c r="F746">
        <v>-0.662163588390501</v>
      </c>
      <c r="G746">
        <v>-0.6829437400950871</v>
      </c>
      <c r="H746">
        <v>2.104752667313288</v>
      </c>
      <c r="I746">
        <v>0.90728713579217</v>
      </c>
    </row>
    <row r="747" spans="1:9">
      <c r="A747" s="1" t="s">
        <v>759</v>
      </c>
      <c r="B747">
        <f>HYPERLINK("https://www.suredividend.com/sure-analysis-research-database/","CTS Corp.")</f>
        <v>0</v>
      </c>
      <c r="C747">
        <v>-0.04695748819116401</v>
      </c>
      <c r="D747">
        <v>-0.041904793827967</v>
      </c>
      <c r="E747">
        <v>0.137528148017948</v>
      </c>
      <c r="F747">
        <v>-0.064865100656502</v>
      </c>
      <c r="G747">
        <v>0.123095158575797</v>
      </c>
      <c r="H747">
        <v>0.62640176391095</v>
      </c>
      <c r="I747">
        <v>0.81864455308003</v>
      </c>
    </row>
    <row r="748" spans="1:9">
      <c r="A748" s="1" t="s">
        <v>760</v>
      </c>
      <c r="B748">
        <f>HYPERLINK("https://www.suredividend.com/sure-analysis-CTSH/","Cognizant Technology Solutions Corp.")</f>
        <v>0</v>
      </c>
      <c r="C748">
        <v>-0.055295429208472</v>
      </c>
      <c r="D748">
        <v>-0.025267809797243</v>
      </c>
      <c r="E748">
        <v>0.08143151210261401</v>
      </c>
      <c r="F748">
        <v>-0.04196734729870701</v>
      </c>
      <c r="G748">
        <v>0.064340207040169</v>
      </c>
      <c r="H748">
        <v>0.6897240688970331</v>
      </c>
      <c r="I748">
        <v>0.5400664442166631</v>
      </c>
    </row>
    <row r="749" spans="1:9">
      <c r="A749" s="1" t="s">
        <v>761</v>
      </c>
      <c r="B749">
        <f>HYPERLINK("https://www.suredividend.com/sure-analysis-research-database/","Cytosorbents Corp")</f>
        <v>0</v>
      </c>
      <c r="C749">
        <v>-0.055921052631578</v>
      </c>
      <c r="D749">
        <v>-0.108695652173913</v>
      </c>
      <c r="E749">
        <v>-0.5102389078498291</v>
      </c>
      <c r="F749">
        <v>-0.315035799522673</v>
      </c>
      <c r="G749">
        <v>-0.681111111111111</v>
      </c>
      <c r="H749">
        <v>-0.6348600508905851</v>
      </c>
      <c r="I749">
        <v>-0.369230769230769</v>
      </c>
    </row>
    <row r="750" spans="1:9">
      <c r="A750" s="1" t="s">
        <v>762</v>
      </c>
      <c r="B750">
        <f>HYPERLINK("https://www.suredividend.com/sure-analysis-research-database/","CatchMark Timber Trust Inc")</f>
        <v>0</v>
      </c>
      <c r="C750">
        <v>0.04342431761786501</v>
      </c>
      <c r="D750">
        <v>-0.013732687549108</v>
      </c>
      <c r="E750">
        <v>-0.088010757352303</v>
      </c>
      <c r="F750">
        <v>-0.025051877441717</v>
      </c>
      <c r="G750">
        <v>-0.217688973228404</v>
      </c>
      <c r="H750">
        <v>0.332720588235294</v>
      </c>
      <c r="I750">
        <v>-0.08925516016547101</v>
      </c>
    </row>
    <row r="751" spans="1:9">
      <c r="A751" s="1" t="s">
        <v>763</v>
      </c>
      <c r="B751">
        <f>HYPERLINK("https://www.suredividend.com/sure-analysis-research-database/","Corteva Inc")</f>
        <v>0</v>
      </c>
      <c r="C751">
        <v>0.114134404674945</v>
      </c>
      <c r="D751">
        <v>0.258750492585936</v>
      </c>
      <c r="E751">
        <v>0.410130473471934</v>
      </c>
      <c r="F751">
        <v>0.293892344594007</v>
      </c>
      <c r="G751">
        <v>0.299381723464478</v>
      </c>
      <c r="H751">
        <v>1.495112834228972</v>
      </c>
      <c r="I751">
        <v>1.103793103448275</v>
      </c>
    </row>
    <row r="752" spans="1:9">
      <c r="A752" s="1" t="s">
        <v>764</v>
      </c>
      <c r="B752">
        <f>HYPERLINK("https://www.suredividend.com/sure-analysis-research-database/","Citrix Systems, Inc.")</f>
        <v>0</v>
      </c>
      <c r="C752">
        <v>0.010676156583629</v>
      </c>
      <c r="D752">
        <v>0.06722338204592801</v>
      </c>
      <c r="E752">
        <v>0.052670595648467</v>
      </c>
      <c r="F752">
        <v>0.080875356803044</v>
      </c>
      <c r="G752">
        <v>-0.264046921327738</v>
      </c>
      <c r="H752">
        <v>-0.305983583633594</v>
      </c>
      <c r="I752">
        <v>0.281368397174071</v>
      </c>
    </row>
    <row r="753" spans="1:9">
      <c r="A753" s="1" t="s">
        <v>765</v>
      </c>
      <c r="B753">
        <f>HYPERLINK("https://www.suredividend.com/sure-analysis-research-database/","Cubic Corp.")</f>
        <v>0</v>
      </c>
      <c r="C753">
        <v>0.001468820937374</v>
      </c>
      <c r="D753">
        <v>0.08279638663627101</v>
      </c>
      <c r="E753">
        <v>0.208913074314304</v>
      </c>
      <c r="F753">
        <v>0.211252047015959</v>
      </c>
      <c r="G753">
        <v>0.9831301726645331</v>
      </c>
      <c r="H753">
        <v>0.288710722245037</v>
      </c>
      <c r="I753">
        <v>0.88689213769784</v>
      </c>
    </row>
    <row r="754" spans="1:9">
      <c r="A754" s="1" t="s">
        <v>766</v>
      </c>
      <c r="B754">
        <f>HYPERLINK("https://www.suredividend.com/sure-analysis-CUBE/","CubeSmart")</f>
        <v>0</v>
      </c>
      <c r="C754">
        <v>0.08976115797273501</v>
      </c>
      <c r="D754">
        <v>0.05946462299993401</v>
      </c>
      <c r="E754">
        <v>0.046616142611198</v>
      </c>
      <c r="F754">
        <v>-0.049068288872079</v>
      </c>
      <c r="G754">
        <v>0.361835128648769</v>
      </c>
      <c r="H754">
        <v>1.286902286902286</v>
      </c>
      <c r="I754">
        <v>1.414754835807467</v>
      </c>
    </row>
    <row r="755" spans="1:9">
      <c r="A755" s="1" t="s">
        <v>767</v>
      </c>
      <c r="B755">
        <f>HYPERLINK("https://www.suredividend.com/sure-analysis-research-database/","Customers Bancorp Inc")</f>
        <v>0</v>
      </c>
      <c r="C755">
        <v>-0.2559081701553</v>
      </c>
      <c r="D755">
        <v>-0.409985276402088</v>
      </c>
      <c r="E755">
        <v>-0.032059727711901</v>
      </c>
      <c r="F755">
        <v>-0.325684564785069</v>
      </c>
      <c r="G755">
        <v>0.383987441130298</v>
      </c>
      <c r="H755">
        <v>4.339600014536116</v>
      </c>
      <c r="I755">
        <v>0.7072962902713541</v>
      </c>
    </row>
    <row r="756" spans="1:9">
      <c r="A756" s="1" t="s">
        <v>768</v>
      </c>
      <c r="B756">
        <f>HYPERLINK("https://www.suredividend.com/sure-analysis-research-database/","Cue Biopharma Inc")</f>
        <v>0</v>
      </c>
      <c r="C756">
        <v>-0.015184381778741</v>
      </c>
      <c r="D756">
        <v>-0.5437185929648241</v>
      </c>
      <c r="E756">
        <v>-0.6396825396825391</v>
      </c>
      <c r="F756">
        <v>-0.598585322723253</v>
      </c>
      <c r="G756">
        <v>-0.6464174454828661</v>
      </c>
      <c r="H756">
        <v>-0.7563070316693501</v>
      </c>
      <c r="I756">
        <v>-0.60963026655202</v>
      </c>
    </row>
    <row r="757" spans="1:9">
      <c r="A757" s="1" t="s">
        <v>769</v>
      </c>
      <c r="B757">
        <f>HYPERLINK("https://www.suredividend.com/sure-analysis-research-database/","Culp Inc.")</f>
        <v>0</v>
      </c>
      <c r="C757">
        <v>-0.019433054020324</v>
      </c>
      <c r="D757">
        <v>-0.141200089225964</v>
      </c>
      <c r="E757">
        <v>-0.4046422441121431</v>
      </c>
      <c r="F757">
        <v>-0.168628128441555</v>
      </c>
      <c r="G757">
        <v>-0.4380710511720231</v>
      </c>
      <c r="H757">
        <v>0.207502195458537</v>
      </c>
      <c r="I757">
        <v>-0.749637462039186</v>
      </c>
    </row>
    <row r="758" spans="1:9">
      <c r="A758" s="1" t="s">
        <v>770</v>
      </c>
      <c r="B758">
        <f>HYPERLINK("https://www.suredividend.com/sure-analysis-research-database/","CURO Group Holdings Corp")</f>
        <v>0</v>
      </c>
      <c r="C758">
        <v>0.030252100840336</v>
      </c>
      <c r="D758">
        <v>-0.254344084321155</v>
      </c>
      <c r="E758">
        <v>-0.328972934511918</v>
      </c>
      <c r="F758">
        <v>-0.228261006408077</v>
      </c>
      <c r="G758">
        <v>-0.06915297476235301</v>
      </c>
      <c r="H758">
        <v>1.3224535414575</v>
      </c>
      <c r="I758">
        <v>-0.085415889593435</v>
      </c>
    </row>
    <row r="759" spans="1:9">
      <c r="A759" s="1" t="s">
        <v>771</v>
      </c>
      <c r="B759">
        <f>HYPERLINK("https://www.suredividend.com/sure-analysis-research-database/","Cutera Inc")</f>
        <v>0</v>
      </c>
      <c r="C759">
        <v>0.469904240766073</v>
      </c>
      <c r="D759">
        <v>0.738673139158576</v>
      </c>
      <c r="E759">
        <v>0.493052339045854</v>
      </c>
      <c r="F759">
        <v>0.560261374636979</v>
      </c>
      <c r="G759">
        <v>1.136890951276102</v>
      </c>
      <c r="H759">
        <v>3.800446760982874</v>
      </c>
      <c r="I759">
        <v>2.129611650485436</v>
      </c>
    </row>
    <row r="760" spans="1:9">
      <c r="A760" s="1" t="s">
        <v>772</v>
      </c>
      <c r="B760">
        <f>HYPERLINK("https://www.suredividend.com/sure-analysis-CUZ/","Cousins Properties Inc.")</f>
        <v>0</v>
      </c>
      <c r="C760">
        <v>-0.011324778656714</v>
      </c>
      <c r="D760">
        <v>-0.062129940109568</v>
      </c>
      <c r="E760">
        <v>-0.021999310302858</v>
      </c>
      <c r="F760">
        <v>-0.027581686163775</v>
      </c>
      <c r="G760">
        <v>0.105496527588687</v>
      </c>
      <c r="H760">
        <v>0.356074030320929</v>
      </c>
      <c r="I760">
        <v>0.352754259580109</v>
      </c>
    </row>
    <row r="761" spans="1:9">
      <c r="A761" s="1" t="s">
        <v>773</v>
      </c>
      <c r="B761">
        <f>HYPERLINK("https://www.suredividend.com/sure-analysis-research-database/","Covanta Holding Corporation")</f>
        <v>0</v>
      </c>
      <c r="C761">
        <v>0.003964321110009</v>
      </c>
      <c r="D761">
        <v>0.016017572189402</v>
      </c>
      <c r="E761">
        <v>0.37970485484497</v>
      </c>
      <c r="F761">
        <v>0.5655184137728531</v>
      </c>
      <c r="G761">
        <v>0.628512635843354</v>
      </c>
      <c r="H761">
        <v>0.499186029302945</v>
      </c>
      <c r="I761">
        <v>0.836059631156826</v>
      </c>
    </row>
    <row r="762" spans="1:9">
      <c r="A762" s="1" t="s">
        <v>774</v>
      </c>
      <c r="B762">
        <f>HYPERLINK("https://www.suredividend.com/sure-analysis-research-database/","CVB Financial Corp.")</f>
        <v>0</v>
      </c>
      <c r="C762">
        <v>-0.03943910330775401</v>
      </c>
      <c r="D762">
        <v>-0.01806467749656</v>
      </c>
      <c r="E762">
        <v>0.157629832990162</v>
      </c>
      <c r="F762">
        <v>0.071827001379206</v>
      </c>
      <c r="G762">
        <v>0.067966174035805</v>
      </c>
      <c r="H762">
        <v>0.316398029738917</v>
      </c>
      <c r="I762">
        <v>0.313406319578233</v>
      </c>
    </row>
    <row r="763" spans="1:9">
      <c r="A763" s="1" t="s">
        <v>775</v>
      </c>
      <c r="B763">
        <f>HYPERLINK("https://www.suredividend.com/sure-analysis-research-database/","Cavco Industries Inc")</f>
        <v>0</v>
      </c>
      <c r="C763">
        <v>-0.168082930785233</v>
      </c>
      <c r="D763">
        <v>-0.168405470181869</v>
      </c>
      <c r="E763">
        <v>0.029676180501003</v>
      </c>
      <c r="F763">
        <v>-0.257232803399968</v>
      </c>
      <c r="G763">
        <v>0.05320953486295801</v>
      </c>
      <c r="H763">
        <v>0.8869161868202171</v>
      </c>
      <c r="I763">
        <v>1.055226480836236</v>
      </c>
    </row>
    <row r="764" spans="1:9">
      <c r="A764" s="1" t="s">
        <v>776</v>
      </c>
      <c r="B764">
        <f>HYPERLINK("https://www.suredividend.com/sure-analysis-research-database/","Central Valley Community Bancorp")</f>
        <v>0</v>
      </c>
      <c r="C764">
        <v>-0.08070025619128901</v>
      </c>
      <c r="D764">
        <v>-0.06062933035480501</v>
      </c>
      <c r="E764">
        <v>0.016045304388862</v>
      </c>
      <c r="F764">
        <v>0.042034702223943</v>
      </c>
      <c r="G764">
        <v>0.08664930450406801</v>
      </c>
      <c r="H764">
        <v>0.9364645356262701</v>
      </c>
      <c r="I764">
        <v>0.279445672585514</v>
      </c>
    </row>
    <row r="765" spans="1:9">
      <c r="A765" s="1" t="s">
        <v>777</v>
      </c>
      <c r="B765">
        <f>HYPERLINK("https://www.suredividend.com/sure-analysis-research-database/","Covetrus Inc")</f>
        <v>0</v>
      </c>
      <c r="C765">
        <v>-0.09310761789600901</v>
      </c>
      <c r="D765">
        <v>-0.07805777504609701</v>
      </c>
      <c r="E765">
        <v>-0.245472837022132</v>
      </c>
      <c r="F765">
        <v>-0.248873309964947</v>
      </c>
      <c r="G765">
        <v>-0.486477233824032</v>
      </c>
      <c r="H765">
        <v>0.861042183622828</v>
      </c>
      <c r="I765">
        <v>-0.6342355523043151</v>
      </c>
    </row>
    <row r="766" spans="1:9">
      <c r="A766" s="1" t="s">
        <v>778</v>
      </c>
      <c r="B766">
        <f>HYPERLINK("https://www.suredividend.com/sure-analysis-research-database/","Commercial Vehicle Group Inc")</f>
        <v>0</v>
      </c>
      <c r="C766">
        <v>-0.08484848484848401</v>
      </c>
      <c r="D766">
        <v>-0.107565011820331</v>
      </c>
      <c r="E766">
        <v>-0.250992063492063</v>
      </c>
      <c r="F766">
        <v>-0.063275434243176</v>
      </c>
      <c r="G766">
        <v>-0.228804902962206</v>
      </c>
      <c r="H766">
        <v>4.551470588235293</v>
      </c>
      <c r="I766">
        <v>0.08633093525179801</v>
      </c>
    </row>
    <row r="767" spans="1:9">
      <c r="A767" s="1" t="s">
        <v>779</v>
      </c>
      <c r="B767">
        <f>HYPERLINK("https://www.suredividend.com/sure-analysis-research-database/","Calavo Growers, Inc")</f>
        <v>0</v>
      </c>
      <c r="C767">
        <v>0.060071645081289</v>
      </c>
      <c r="D767">
        <v>-0.106387921022067</v>
      </c>
      <c r="E767">
        <v>0.025248783399871</v>
      </c>
      <c r="F767">
        <v>-0.09268867924528301</v>
      </c>
      <c r="G767">
        <v>-0.505636286065291</v>
      </c>
      <c r="H767">
        <v>-0.383311745771189</v>
      </c>
      <c r="I767">
        <v>-0.345687096582163</v>
      </c>
    </row>
    <row r="768" spans="1:9">
      <c r="A768" s="1" t="s">
        <v>780</v>
      </c>
      <c r="B768">
        <f>HYPERLINK("https://www.suredividend.com/sure-analysis-research-database/","CVR Energy Inc")</f>
        <v>0</v>
      </c>
      <c r="C768">
        <v>0.293170731707317</v>
      </c>
      <c r="D768">
        <v>0.193069306930693</v>
      </c>
      <c r="E768">
        <v>0.314328210213187</v>
      </c>
      <c r="F768">
        <v>0.5770374776918501</v>
      </c>
      <c r="G768">
        <v>0.55918247316571</v>
      </c>
      <c r="H768">
        <v>0.8737498321329361</v>
      </c>
      <c r="I768">
        <v>1.154986709154019</v>
      </c>
    </row>
    <row r="769" spans="1:9">
      <c r="A769" s="1" t="s">
        <v>781</v>
      </c>
      <c r="B769">
        <f>HYPERLINK("https://www.suredividend.com/sure-analysis-research-database/","Commvault Systems Inc")</f>
        <v>0</v>
      </c>
      <c r="C769">
        <v>0.010569490455907</v>
      </c>
      <c r="D769">
        <v>-0.080654420206659</v>
      </c>
      <c r="E769">
        <v>-0.151185901682787</v>
      </c>
      <c r="F769">
        <v>-0.070516540917005</v>
      </c>
      <c r="G769">
        <v>-0.059600704638872</v>
      </c>
      <c r="H769">
        <v>0.6035043804755941</v>
      </c>
      <c r="I769">
        <v>0.287638190954773</v>
      </c>
    </row>
    <row r="770" spans="1:9">
      <c r="A770" s="1" t="s">
        <v>782</v>
      </c>
      <c r="B770">
        <f>HYPERLINK("https://www.suredividend.com/sure-analysis-research-database/","Codorus Valley Bancorp, Inc.")</f>
        <v>0</v>
      </c>
      <c r="C770">
        <v>0.06196868008948501</v>
      </c>
      <c r="D770">
        <v>0.08104045874192101</v>
      </c>
      <c r="E770">
        <v>0.062277619889453</v>
      </c>
      <c r="F770">
        <v>0.110674359730274</v>
      </c>
      <c r="G770">
        <v>0.359922535695459</v>
      </c>
      <c r="H770">
        <v>0.912123677786818</v>
      </c>
      <c r="I770">
        <v>0.046516754850088</v>
      </c>
    </row>
    <row r="771" spans="1:9">
      <c r="A771" s="1" t="s">
        <v>783</v>
      </c>
      <c r="B771">
        <f>HYPERLINK("https://www.suredividend.com/sure-analysis-research-database/","Cel-Sci Corp.")</f>
        <v>0</v>
      </c>
      <c r="C771">
        <v>-0.1871921182266</v>
      </c>
      <c r="D771">
        <v>-0.500756429652042</v>
      </c>
      <c r="E771">
        <v>-0.682692307692307</v>
      </c>
      <c r="F771">
        <v>-0.5352112676056331</v>
      </c>
      <c r="G771">
        <v>-0.8111047510017171</v>
      </c>
      <c r="H771">
        <v>-0.721753794266441</v>
      </c>
      <c r="I771">
        <v>0.271676300578034</v>
      </c>
    </row>
    <row r="772" spans="1:9">
      <c r="A772" s="1" t="s">
        <v>784</v>
      </c>
      <c r="B772">
        <f>HYPERLINK("https://www.suredividend.com/sure-analysis-research-database/","Carvana Co.")</f>
        <v>0</v>
      </c>
      <c r="C772">
        <v>-0.215681730397836</v>
      </c>
      <c r="D772">
        <v>-0.350789692435577</v>
      </c>
      <c r="E772">
        <v>-0.646310875775099</v>
      </c>
      <c r="F772">
        <v>-0.561974200785193</v>
      </c>
      <c r="G772">
        <v>-0.63092078955978</v>
      </c>
      <c r="H772">
        <v>0.425582701488346</v>
      </c>
      <c r="I772">
        <v>8.146846846846847</v>
      </c>
    </row>
    <row r="773" spans="1:9">
      <c r="A773" s="1" t="s">
        <v>785</v>
      </c>
      <c r="B773">
        <f>HYPERLINK("https://www.suredividend.com/sure-analysis-research-database/","Chicago Rivet &amp; Machine Co.")</f>
        <v>0</v>
      </c>
      <c r="C773">
        <v>-0.07620350877192901</v>
      </c>
      <c r="D773">
        <v>0.032356977610477</v>
      </c>
      <c r="E773">
        <v>0.035560747479753</v>
      </c>
      <c r="F773">
        <v>0.010155965238743</v>
      </c>
      <c r="G773">
        <v>0.09096710300046801</v>
      </c>
      <c r="H773">
        <v>0.445349641519998</v>
      </c>
      <c r="I773">
        <v>-0.247993464836363</v>
      </c>
    </row>
    <row r="774" spans="1:9">
      <c r="A774" s="1" t="s">
        <v>786</v>
      </c>
      <c r="B774">
        <f>HYPERLINK("https://www.suredividend.com/sure-analysis-CVS/","CVS Health Corp")</f>
        <v>0</v>
      </c>
      <c r="C774">
        <v>-0.032023153767155</v>
      </c>
      <c r="D774">
        <v>-0.018695701966678</v>
      </c>
      <c r="E774">
        <v>0.221339515422238</v>
      </c>
      <c r="F774">
        <v>0.010413062863324</v>
      </c>
      <c r="G774">
        <v>0.399141190727451</v>
      </c>
      <c r="H774">
        <v>0.7508722275323301</v>
      </c>
      <c r="I774">
        <v>0.534331556500042</v>
      </c>
    </row>
    <row r="775" spans="1:9">
      <c r="A775" s="1" t="s">
        <v>787</v>
      </c>
      <c r="B775">
        <f>HYPERLINK("https://www.suredividend.com/sure-analysis-research-database/","CPI Aerostructures Inc")</f>
        <v>0</v>
      </c>
      <c r="C775">
        <v>-0.218649517684887</v>
      </c>
      <c r="D775">
        <v>-0.039525691699604</v>
      </c>
      <c r="E775">
        <v>-0.113138686131386</v>
      </c>
      <c r="F775">
        <v>-0.109890109890109</v>
      </c>
      <c r="G775">
        <v>-0.4439359267734551</v>
      </c>
      <c r="H775">
        <v>-0.141342756183745</v>
      </c>
      <c r="I775">
        <v>-0.6203124999999999</v>
      </c>
    </row>
    <row r="776" spans="1:9">
      <c r="A776" s="1" t="s">
        <v>788</v>
      </c>
      <c r="B776">
        <f>HYPERLINK("https://www.suredividend.com/sure-analysis-research-database/","CVD Equipment Corp.")</f>
        <v>0</v>
      </c>
      <c r="C776">
        <v>0.250620347394541</v>
      </c>
      <c r="D776">
        <v>0.001988071570576</v>
      </c>
      <c r="E776">
        <v>0.04564315352697</v>
      </c>
      <c r="F776">
        <v>0.220338983050847</v>
      </c>
      <c r="G776">
        <v>0.309090909090909</v>
      </c>
      <c r="H776">
        <v>0.292307692307692</v>
      </c>
      <c r="I776">
        <v>-0.51954242135367</v>
      </c>
    </row>
    <row r="777" spans="1:9">
      <c r="A777" s="1" t="s">
        <v>789</v>
      </c>
      <c r="B777">
        <f>HYPERLINK("https://www.suredividend.com/sure-analysis-CVX/","Chevron Corp.")</f>
        <v>0</v>
      </c>
      <c r="C777">
        <v>0.08800963794305901</v>
      </c>
      <c r="D777">
        <v>0.344537420045902</v>
      </c>
      <c r="E777">
        <v>0.600178305316146</v>
      </c>
      <c r="F777">
        <v>0.4775593361617551</v>
      </c>
      <c r="G777">
        <v>0.7476317496789201</v>
      </c>
      <c r="H777">
        <v>1.349482631847751</v>
      </c>
      <c r="I777">
        <v>0.9946156188899711</v>
      </c>
    </row>
    <row r="778" spans="1:9">
      <c r="A778" s="1" t="s">
        <v>790</v>
      </c>
      <c r="B778">
        <f>HYPERLINK("https://www.suredividend.com/sure-analysis-research-database/","Curtiss-Wright Corp.")</f>
        <v>0</v>
      </c>
      <c r="C778">
        <v>0.033197936062172</v>
      </c>
      <c r="D778">
        <v>0.087877058102067</v>
      </c>
      <c r="E778">
        <v>0.153994864524571</v>
      </c>
      <c r="F778">
        <v>0.09250559356799201</v>
      </c>
      <c r="G778">
        <v>0.211881435517288</v>
      </c>
      <c r="H778">
        <v>0.6857706563164591</v>
      </c>
      <c r="I778">
        <v>0.774296618963586</v>
      </c>
    </row>
    <row r="779" spans="1:9">
      <c r="A779" s="1" t="s">
        <v>791</v>
      </c>
      <c r="B779">
        <f>HYPERLINK("https://www.suredividend.com/sure-analysis-research-database/","Community West Bancshares")</f>
        <v>0</v>
      </c>
      <c r="C779">
        <v>0.01098901098901</v>
      </c>
      <c r="D779">
        <v>0.005142249479219</v>
      </c>
      <c r="E779">
        <v>0.05643506751998</v>
      </c>
      <c r="F779">
        <v>0.03437420360681701</v>
      </c>
      <c r="G779">
        <v>0.088611389399449</v>
      </c>
      <c r="H779">
        <v>1.494306474352022</v>
      </c>
      <c r="I779">
        <v>0.47819660014782</v>
      </c>
    </row>
    <row r="780" spans="1:9">
      <c r="A780" s="1" t="s">
        <v>792</v>
      </c>
      <c r="B780">
        <f>HYPERLINK("https://www.suredividend.com/sure-analysis-research-database/","CohBar Inc")</f>
        <v>0</v>
      </c>
      <c r="C780">
        <v>0</v>
      </c>
      <c r="D780">
        <v>-0.273972602739726</v>
      </c>
      <c r="E780">
        <v>-0.7241020301926081</v>
      </c>
      <c r="F780">
        <v>-0.242640754501286</v>
      </c>
      <c r="G780">
        <v>-0.765486725663716</v>
      </c>
      <c r="H780">
        <v>-0.8133802816901401</v>
      </c>
      <c r="I780">
        <v>-0.9518181818181811</v>
      </c>
    </row>
    <row r="781" spans="1:9">
      <c r="A781" s="1" t="s">
        <v>793</v>
      </c>
      <c r="B781">
        <f>HYPERLINK("https://www.suredividend.com/sure-analysis-CWEN/","Clearway Energy Inc")</f>
        <v>0</v>
      </c>
      <c r="C781">
        <v>-0.06088864509051001</v>
      </c>
      <c r="D781">
        <v>0.049894519943089</v>
      </c>
      <c r="E781">
        <v>0.118391397793267</v>
      </c>
      <c r="F781">
        <v>-0.039561968449161</v>
      </c>
      <c r="G781">
        <v>0.242389277135538</v>
      </c>
      <c r="H781">
        <v>0.9549962601561031</v>
      </c>
      <c r="I781">
        <v>1.160020691787</v>
      </c>
    </row>
    <row r="782" spans="1:9">
      <c r="A782" s="1" t="s">
        <v>794</v>
      </c>
      <c r="B782">
        <f>HYPERLINK("https://www.suredividend.com/sure-analysis-research-database/","Camping World Holdings Inc")</f>
        <v>0</v>
      </c>
      <c r="C782">
        <v>-0.126994464343861</v>
      </c>
      <c r="D782">
        <v>-0.262097229217757</v>
      </c>
      <c r="E782">
        <v>-0.25100224894886</v>
      </c>
      <c r="F782">
        <v>-0.322735230146239</v>
      </c>
      <c r="G782">
        <v>-0.3223158043739821</v>
      </c>
      <c r="H782">
        <v>3.181744447217369</v>
      </c>
      <c r="I782">
        <v>0.037843947910376</v>
      </c>
    </row>
    <row r="783" spans="1:9">
      <c r="A783" s="1" t="s">
        <v>795</v>
      </c>
      <c r="B783">
        <f>HYPERLINK("https://www.suredividend.com/sure-analysis-research-database/","Casella Waste Systems, Inc.")</f>
        <v>0</v>
      </c>
      <c r="C783">
        <v>0.007333562507161001</v>
      </c>
      <c r="D783">
        <v>0.152011531909317</v>
      </c>
      <c r="E783">
        <v>0.098875</v>
      </c>
      <c r="F783">
        <v>0.029150081948021</v>
      </c>
      <c r="G783">
        <v>0.309353589514447</v>
      </c>
      <c r="H783">
        <v>1.03213129912159</v>
      </c>
      <c r="I783">
        <v>5.319913731128684</v>
      </c>
    </row>
    <row r="784" spans="1:9">
      <c r="A784" s="1" t="s">
        <v>796</v>
      </c>
      <c r="B784">
        <f>HYPERLINK("https://www.suredividend.com/sure-analysis-CWT/","California Water Service Group")</f>
        <v>0</v>
      </c>
      <c r="C784">
        <v>-0.036985827860352</v>
      </c>
      <c r="D784">
        <v>-0.104924042234991</v>
      </c>
      <c r="E784">
        <v>-0.07953619989857001</v>
      </c>
      <c r="F784">
        <v>-0.221386440777439</v>
      </c>
      <c r="G784">
        <v>-0.061861259180189</v>
      </c>
      <c r="H784">
        <v>0.104212535150699</v>
      </c>
      <c r="I784">
        <v>0.668953040477802</v>
      </c>
    </row>
    <row r="785" spans="1:9">
      <c r="A785" s="1" t="s">
        <v>797</v>
      </c>
      <c r="B785">
        <f>HYPERLINK("https://www.suredividend.com/sure-analysis-research-database/","Concho Resources Inc")</f>
        <v>0</v>
      </c>
      <c r="C785">
        <v>0.101410342511752</v>
      </c>
      <c r="D785">
        <v>0.35593220338983</v>
      </c>
      <c r="E785">
        <v>0.311457056778493</v>
      </c>
      <c r="F785">
        <v>0.124250214224507</v>
      </c>
      <c r="G785">
        <v>-0.261109822058124</v>
      </c>
      <c r="H785">
        <v>-0.463728509287878</v>
      </c>
      <c r="I785">
        <v>-0.131124676986327</v>
      </c>
    </row>
    <row r="786" spans="1:9">
      <c r="A786" s="1" t="s">
        <v>798</v>
      </c>
      <c r="B786">
        <f>HYPERLINK("https://www.suredividend.com/sure-analysis-research-database/","Columbia Property Trust Inc")</f>
        <v>0</v>
      </c>
      <c r="C786">
        <v>0.005738132498695</v>
      </c>
      <c r="D786">
        <v>0.012073490813648</v>
      </c>
      <c r="E786">
        <v>0.039594083803792</v>
      </c>
      <c r="F786">
        <v>0.397759814405336</v>
      </c>
      <c r="G786">
        <v>0.39097310400554</v>
      </c>
      <c r="H786">
        <v>0.022079677684417</v>
      </c>
      <c r="I786">
        <v>0.114012989114105</v>
      </c>
    </row>
    <row r="787" spans="1:9">
      <c r="A787" s="1" t="s">
        <v>799</v>
      </c>
      <c r="B787">
        <f>HYPERLINK("https://www.suredividend.com/sure-analysis-research-database/","CoreCivic Inc")</f>
        <v>0</v>
      </c>
      <c r="C787">
        <v>0.4308510638297871</v>
      </c>
      <c r="D787">
        <v>0.228310502283105</v>
      </c>
      <c r="E787">
        <v>0.42933049946865</v>
      </c>
      <c r="F787">
        <v>0.349047141424272</v>
      </c>
      <c r="G787">
        <v>0.562137049941928</v>
      </c>
      <c r="H787">
        <v>0.180860403863037</v>
      </c>
      <c r="I787">
        <v>-0.471963002076814</v>
      </c>
    </row>
    <row r="788" spans="1:9">
      <c r="A788" s="1" t="s">
        <v>800</v>
      </c>
      <c r="B788">
        <f>HYPERLINK("https://www.suredividend.com/sure-analysis-research-database/","Cyanotech Corp.")</f>
        <v>0</v>
      </c>
      <c r="C788">
        <v>-0.006410256410256001</v>
      </c>
      <c r="D788">
        <v>0.03161397670549</v>
      </c>
      <c r="E788">
        <v>0.091549295774648</v>
      </c>
      <c r="F788">
        <v>-0.04320987654320901</v>
      </c>
      <c r="G788">
        <v>-0.012738853503184</v>
      </c>
      <c r="H788">
        <v>0.428571428571428</v>
      </c>
      <c r="I788">
        <v>-0.209466007038302</v>
      </c>
    </row>
    <row r="789" spans="1:9">
      <c r="A789" s="1" t="s">
        <v>801</v>
      </c>
      <c r="B789">
        <f>HYPERLINK("https://www.suredividend.com/sure-analysis-research-database/","Cyberoptics Corp.")</f>
        <v>0</v>
      </c>
      <c r="C789">
        <v>0.073482428115015</v>
      </c>
      <c r="D789">
        <v>-0.034944949736716</v>
      </c>
      <c r="E789">
        <v>0.092979127134724</v>
      </c>
      <c r="F789">
        <v>-0.132903225806451</v>
      </c>
      <c r="G789">
        <v>0.429787234042553</v>
      </c>
      <c r="H789">
        <v>1.068753206772704</v>
      </c>
      <c r="I789">
        <v>0.745454545454545</v>
      </c>
    </row>
    <row r="790" spans="1:9">
      <c r="A790" s="1" t="s">
        <v>802</v>
      </c>
      <c r="B790">
        <f>HYPERLINK("https://www.suredividend.com/sure-analysis-research-database/","Cyclacel Pharmaceuticals Inc")</f>
        <v>0</v>
      </c>
      <c r="C790">
        <v>-0.275618374558304</v>
      </c>
      <c r="D790">
        <v>-0.433701657458563</v>
      </c>
      <c r="E790">
        <v>-0.6319569120287251</v>
      </c>
      <c r="F790">
        <v>-0.4730077120822621</v>
      </c>
      <c r="G790">
        <v>-0.6855828220858891</v>
      </c>
      <c r="H790">
        <v>-0.6985294117647051</v>
      </c>
      <c r="I790">
        <v>-0.982538330494037</v>
      </c>
    </row>
    <row r="791" spans="1:9">
      <c r="A791" s="1" t="s">
        <v>803</v>
      </c>
      <c r="B791">
        <f>HYPERLINK("https://www.suredividend.com/sure-analysis-research-database/","Cyclerion Therapeutics Inc")</f>
        <v>0</v>
      </c>
      <c r="C791">
        <v>-0.065420560747663</v>
      </c>
      <c r="D791">
        <v>-0.280575539568345</v>
      </c>
      <c r="E791">
        <v>-0.628252788104089</v>
      </c>
      <c r="F791">
        <v>-0.4186046511627901</v>
      </c>
      <c r="G791">
        <v>-0.612403100775193</v>
      </c>
      <c r="H791">
        <v>-0.6753246753246751</v>
      </c>
      <c r="I791">
        <v>-0.9309868875086261</v>
      </c>
    </row>
    <row r="792" spans="1:9">
      <c r="A792" s="1" t="s">
        <v>804</v>
      </c>
      <c r="B792">
        <f>HYPERLINK("https://www.suredividend.com/sure-analysis-research-database/","Community Health Systems, Inc.")</f>
        <v>0</v>
      </c>
      <c r="C792">
        <v>-0.007792207792207</v>
      </c>
      <c r="D792">
        <v>-0.126524390243902</v>
      </c>
      <c r="E792">
        <v>0.107246376811594</v>
      </c>
      <c r="F792">
        <v>-0.138993238166791</v>
      </c>
      <c r="G792">
        <v>0.138033763654419</v>
      </c>
      <c r="H792">
        <v>2.360703812316716</v>
      </c>
      <c r="I792">
        <v>0.259340659340659</v>
      </c>
    </row>
    <row r="793" spans="1:9">
      <c r="A793" s="1" t="s">
        <v>805</v>
      </c>
      <c r="B793">
        <f>HYPERLINK("https://www.suredividend.com/sure-analysis-research-database/","CryoPort Inc")</f>
        <v>0</v>
      </c>
      <c r="C793">
        <v>-0.038860103626943</v>
      </c>
      <c r="D793">
        <v>-0.347692307692307</v>
      </c>
      <c r="E793">
        <v>-0.577569029319669</v>
      </c>
      <c r="F793">
        <v>-0.4983944566503291</v>
      </c>
      <c r="G793">
        <v>-0.424471592010859</v>
      </c>
      <c r="H793">
        <v>0.7008595988538681</v>
      </c>
      <c r="I793">
        <v>12.42986425339366</v>
      </c>
    </row>
    <row r="794" spans="1:9">
      <c r="A794" s="1" t="s">
        <v>806</v>
      </c>
      <c r="B794">
        <f>HYPERLINK("https://www.suredividend.com/sure-analysis-research-database/","Cytokinetics Inc")</f>
        <v>0</v>
      </c>
      <c r="C794">
        <v>0.139400921658986</v>
      </c>
      <c r="D794">
        <v>0.198787878787878</v>
      </c>
      <c r="E794">
        <v>0.07237733803198601</v>
      </c>
      <c r="F794">
        <v>-0.132075471698113</v>
      </c>
      <c r="G794">
        <v>0.6016194331983801</v>
      </c>
      <c r="H794">
        <v>1.827734095782702</v>
      </c>
      <c r="I794">
        <v>2.410344827586207</v>
      </c>
    </row>
    <row r="795" spans="1:9">
      <c r="A795" s="1" t="s">
        <v>807</v>
      </c>
      <c r="B795">
        <f>HYPERLINK("https://www.suredividend.com/sure-analysis-research-database/","CytRx Corporation")</f>
        <v>0</v>
      </c>
      <c r="C795">
        <v>-0.5609756097560971</v>
      </c>
      <c r="D795">
        <v>-0.7000000000000001</v>
      </c>
      <c r="E795">
        <v>-0.6727272727272721</v>
      </c>
      <c r="F795">
        <v>-0.643564356435643</v>
      </c>
      <c r="G795">
        <v>-0.9162790697674421</v>
      </c>
      <c r="H795">
        <v>-0.5909090909090901</v>
      </c>
      <c r="I795">
        <v>-0.581395348837209</v>
      </c>
    </row>
    <row r="796" spans="1:9">
      <c r="A796" s="1" t="s">
        <v>808</v>
      </c>
      <c r="B796">
        <f>HYPERLINK("https://www.suredividend.com/sure-analysis-research-database/","Citizens &amp; Northern Corp")</f>
        <v>0</v>
      </c>
      <c r="C796">
        <v>-0.015694164989939</v>
      </c>
      <c r="D796">
        <v>-0.085938930556022</v>
      </c>
      <c r="E796">
        <v>-0.044139197717813</v>
      </c>
      <c r="F796">
        <v>-0.053042767933534</v>
      </c>
      <c r="G796">
        <v>0.06250352937088101</v>
      </c>
      <c r="H796">
        <v>0.6069903422902571</v>
      </c>
      <c r="I796">
        <v>0.3392686038425941</v>
      </c>
    </row>
    <row r="797" spans="1:9">
      <c r="A797" s="1" t="s">
        <v>809</v>
      </c>
      <c r="B797">
        <f>HYPERLINK("https://www.suredividend.com/sure-analysis-research-database/","Caesars Entertainment Inc")</f>
        <v>0</v>
      </c>
      <c r="C797">
        <v>-0.131837660700781</v>
      </c>
      <c r="D797">
        <v>-0.168517624336069</v>
      </c>
      <c r="E797">
        <v>-0.377833980670219</v>
      </c>
      <c r="F797">
        <v>-0.263551801560996</v>
      </c>
      <c r="G797">
        <v>-0.264416915847928</v>
      </c>
      <c r="H797">
        <v>3.513761467889908</v>
      </c>
      <c r="I797">
        <v>2.723243243243243</v>
      </c>
    </row>
    <row r="798" spans="1:9">
      <c r="A798" s="1" t="s">
        <v>810</v>
      </c>
      <c r="B798">
        <f>HYPERLINK("https://www.suredividend.com/sure-analysis-research-database/","Citizens Community Bancorp Inc MD")</f>
        <v>0</v>
      </c>
      <c r="C798">
        <v>-0.08316961362148001</v>
      </c>
      <c r="D798">
        <v>0.020705745115193</v>
      </c>
      <c r="E798">
        <v>0.028821705198489</v>
      </c>
      <c r="F798">
        <v>0.033309468805125</v>
      </c>
      <c r="G798">
        <v>-0.009837967055894001</v>
      </c>
      <c r="H798">
        <v>1.458642127076674</v>
      </c>
      <c r="I798">
        <v>0.080046904894155</v>
      </c>
    </row>
    <row r="799" spans="1:9">
      <c r="A799" s="1" t="s">
        <v>811</v>
      </c>
      <c r="B799">
        <f>HYPERLINK("https://www.suredividend.com/sure-analysis-D/","Dominion Energy Inc")</f>
        <v>0</v>
      </c>
      <c r="C799">
        <v>0.08221892025755301</v>
      </c>
      <c r="D799">
        <v>0.113224057357786</v>
      </c>
      <c r="E799">
        <v>0.216478975373956</v>
      </c>
      <c r="F799">
        <v>0.121867691494086</v>
      </c>
      <c r="G799">
        <v>0.145709618979453</v>
      </c>
      <c r="H799">
        <v>0.20472959747696</v>
      </c>
      <c r="I799">
        <v>0.370614894851569</v>
      </c>
    </row>
    <row r="800" spans="1:9">
      <c r="A800" s="1" t="s">
        <v>812</v>
      </c>
      <c r="B800">
        <f>HYPERLINK("https://www.suredividend.com/sure-analysis-research-database/","Data io Corp.")</f>
        <v>0</v>
      </c>
      <c r="C800">
        <v>-0.199127516778523</v>
      </c>
      <c r="D800">
        <v>-0.246336842105263</v>
      </c>
      <c r="E800">
        <v>-0.4415132605304211</v>
      </c>
      <c r="F800">
        <v>-0.223449023861171</v>
      </c>
      <c r="G800">
        <v>-0.357289048473967</v>
      </c>
      <c r="H800">
        <v>0.201308724832214</v>
      </c>
      <c r="I800">
        <v>-0.2541875</v>
      </c>
    </row>
    <row r="801" spans="1:9">
      <c r="A801" s="1" t="s">
        <v>813</v>
      </c>
      <c r="B801">
        <f>HYPERLINK("https://www.suredividend.com/sure-analysis-research-database/","Daktronics Inc.")</f>
        <v>0</v>
      </c>
      <c r="C801">
        <v>-0.100985221674876</v>
      </c>
      <c r="D801">
        <v>-0.29126213592233</v>
      </c>
      <c r="E801">
        <v>-0.330275229357798</v>
      </c>
      <c r="F801">
        <v>-0.277227722772277</v>
      </c>
      <c r="G801">
        <v>-0.430577223088923</v>
      </c>
      <c r="H801">
        <v>-0.241164241164241</v>
      </c>
      <c r="I801">
        <v>-0.5515639973462411</v>
      </c>
    </row>
    <row r="802" spans="1:9">
      <c r="A802" s="1" t="s">
        <v>814</v>
      </c>
      <c r="B802">
        <f>HYPERLINK("https://www.suredividend.com/sure-analysis-research-database/","Delta Air Lines, Inc.")</f>
        <v>0</v>
      </c>
      <c r="C802">
        <v>0.147034930950446</v>
      </c>
      <c r="D802">
        <v>0.050855867030513</v>
      </c>
      <c r="E802">
        <v>0.033422786045376</v>
      </c>
      <c r="F802">
        <v>0.083930399181166</v>
      </c>
      <c r="G802">
        <v>-0.091766723842195</v>
      </c>
      <c r="H802">
        <v>0.8595258999122031</v>
      </c>
      <c r="I802">
        <v>0.037142227554293</v>
      </c>
    </row>
    <row r="803" spans="1:9">
      <c r="A803" s="1" t="s">
        <v>815</v>
      </c>
      <c r="B803">
        <f>HYPERLINK("https://www.suredividend.com/sure-analysis-research-database/","Dana Inc")</f>
        <v>0</v>
      </c>
      <c r="C803">
        <v>-0.133407448582545</v>
      </c>
      <c r="D803">
        <v>-0.381599511308914</v>
      </c>
      <c r="E803">
        <v>-0.37229733538407</v>
      </c>
      <c r="F803">
        <v>-0.31303730925659</v>
      </c>
      <c r="G803">
        <v>-0.405617467755033</v>
      </c>
      <c r="H803">
        <v>0.897055244585057</v>
      </c>
      <c r="I803">
        <v>-0.039024600723659</v>
      </c>
    </row>
    <row r="804" spans="1:9">
      <c r="A804" s="1" t="s">
        <v>816</v>
      </c>
      <c r="B804">
        <f>HYPERLINK("https://www.suredividend.com/sure-analysis-research-database/","Darling Ingredients Inc")</f>
        <v>0</v>
      </c>
      <c r="C804">
        <v>0.08755074424898501</v>
      </c>
      <c r="D804">
        <v>0.223287671232876</v>
      </c>
      <c r="E804">
        <v>0.082278481012658</v>
      </c>
      <c r="F804">
        <v>0.159907634579304</v>
      </c>
      <c r="G804">
        <v>0.10080810847829</v>
      </c>
      <c r="H804">
        <v>2.988585607940448</v>
      </c>
      <c r="I804">
        <v>4.434077079107506</v>
      </c>
    </row>
    <row r="805" spans="1:9">
      <c r="A805" s="1" t="s">
        <v>817</v>
      </c>
      <c r="B805">
        <f>HYPERLINK("https://www.suredividend.com/sure-analysis-research-database/","Dare Bioscience Inc")</f>
        <v>0</v>
      </c>
      <c r="C805">
        <v>-0.086666666666666</v>
      </c>
      <c r="D805">
        <v>-0.174698795180722</v>
      </c>
      <c r="E805">
        <v>-0.127388535031847</v>
      </c>
      <c r="F805">
        <v>-0.314999999999999</v>
      </c>
      <c r="G805">
        <v>-0.021428571428571</v>
      </c>
      <c r="H805">
        <v>0.304761904761904</v>
      </c>
      <c r="I805">
        <v>1.075757575757575</v>
      </c>
    </row>
    <row r="806" spans="1:9">
      <c r="A806" s="1" t="s">
        <v>818</v>
      </c>
      <c r="B806">
        <f>HYPERLINK("https://www.suredividend.com/sure-analysis-research-database/","Dave Inc")</f>
        <v>0</v>
      </c>
      <c r="C806">
        <v>-0.311320754716981</v>
      </c>
      <c r="D806">
        <v>-0.160919540229884</v>
      </c>
      <c r="E806">
        <v>-0.4859154929577461</v>
      </c>
      <c r="F806">
        <v>-0.501463414634146</v>
      </c>
      <c r="G806">
        <v>-0.478571428571428</v>
      </c>
      <c r="H806">
        <v>-0.478571428571428</v>
      </c>
      <c r="I806">
        <v>-0.478571428571428</v>
      </c>
    </row>
    <row r="807" spans="1:9">
      <c r="A807" s="1" t="s">
        <v>819</v>
      </c>
      <c r="B807">
        <f>HYPERLINK("https://www.suredividend.com/sure-analysis-research-database/","Diebold Nixdorf Inc")</f>
        <v>0</v>
      </c>
      <c r="C807">
        <v>-0.266846361185983</v>
      </c>
      <c r="D807">
        <v>-0.5036496350364961</v>
      </c>
      <c r="E807">
        <v>-0.493482309124767</v>
      </c>
      <c r="F807">
        <v>-0.398895027624309</v>
      </c>
      <c r="G807">
        <v>-0.6100358422939061</v>
      </c>
      <c r="H807">
        <v>0.478260869565217</v>
      </c>
      <c r="I807">
        <v>-0.8013307915361071</v>
      </c>
    </row>
    <row r="808" spans="1:9">
      <c r="A808" s="1" t="s">
        <v>820</v>
      </c>
      <c r="B808">
        <f>HYPERLINK("https://www.suredividend.com/sure-analysis-research-database/","Designer Brands Inc")</f>
        <v>0</v>
      </c>
      <c r="C808">
        <v>0.158754863813229</v>
      </c>
      <c r="D808">
        <v>0.077424023154847</v>
      </c>
      <c r="E808">
        <v>0.134044173648133</v>
      </c>
      <c r="F808">
        <v>0.047853624208304</v>
      </c>
      <c r="G808">
        <v>-0.132284382284382</v>
      </c>
      <c r="H808">
        <v>2.108559498956158</v>
      </c>
      <c r="I808">
        <v>-0.175265726170496</v>
      </c>
    </row>
    <row r="809" spans="1:9">
      <c r="A809" s="1" t="s">
        <v>821</v>
      </c>
      <c r="B809">
        <f>HYPERLINK("https://www.suredividend.com/sure-analysis-research-database/","Dropbox Inc")</f>
        <v>0</v>
      </c>
      <c r="C809">
        <v>0.063133640552995</v>
      </c>
      <c r="D809">
        <v>-0.041147132169576</v>
      </c>
      <c r="E809">
        <v>-0.238362495873225</v>
      </c>
      <c r="F809">
        <v>-0.05990220048899701</v>
      </c>
      <c r="G809">
        <v>-0.125473843821076</v>
      </c>
      <c r="H809">
        <v>0.231385108086469</v>
      </c>
      <c r="I809">
        <v>-0.189957865168539</v>
      </c>
    </row>
    <row r="810" spans="1:9">
      <c r="A810" s="1" t="s">
        <v>822</v>
      </c>
      <c r="B810">
        <f>HYPERLINK("https://www.suredividend.com/sure-analysis-DCI/","Donaldson Co. Inc.")</f>
        <v>0</v>
      </c>
      <c r="C810">
        <v>-0.039779215835553</v>
      </c>
      <c r="D810">
        <v>-0.145540892092569</v>
      </c>
      <c r="E810">
        <v>-0.134563756662315</v>
      </c>
      <c r="F810">
        <v>-0.145252806942343</v>
      </c>
      <c r="G810">
        <v>-0.158793731887803</v>
      </c>
      <c r="H810">
        <v>0.269048301814651</v>
      </c>
      <c r="I810">
        <v>0.238030733591491</v>
      </c>
    </row>
    <row r="811" spans="1:9">
      <c r="A811" s="1" t="s">
        <v>823</v>
      </c>
      <c r="B811">
        <f>HYPERLINK("https://www.suredividend.com/sure-analysis-research-database/","Ducommun Inc.")</f>
        <v>0</v>
      </c>
      <c r="C811">
        <v>0.07029741212823401</v>
      </c>
      <c r="D811">
        <v>0.21668496158068</v>
      </c>
      <c r="E811">
        <v>0.124365997159667</v>
      </c>
      <c r="F811">
        <v>0.184947615993158</v>
      </c>
      <c r="G811">
        <v>-0.110004817729243</v>
      </c>
      <c r="H811">
        <v>1.691597863040311</v>
      </c>
      <c r="I811">
        <v>0.9452439452439451</v>
      </c>
    </row>
    <row r="812" spans="1:9">
      <c r="A812" s="1" t="s">
        <v>824</v>
      </c>
      <c r="B812">
        <f>HYPERLINK("https://www.suredividend.com/sure-analysis-research-database/","Dime Community Bancshares Inc")</f>
        <v>0</v>
      </c>
      <c r="C812">
        <v>0.013312313890348</v>
      </c>
      <c r="D812">
        <v>-0.083179473363075</v>
      </c>
      <c r="E812">
        <v>0.011057255377158</v>
      </c>
      <c r="F812">
        <v>0.000417921632488</v>
      </c>
      <c r="G812">
        <v>0.08374937944341901</v>
      </c>
      <c r="H812">
        <v>1.021066606110363</v>
      </c>
      <c r="I812">
        <v>0.152706169518543</v>
      </c>
    </row>
    <row r="813" spans="1:9">
      <c r="A813" s="1" t="s">
        <v>825</v>
      </c>
      <c r="B813">
        <f>HYPERLINK("https://www.suredividend.com/sure-analysis-research-database/","Deciphera Pharmaceuticals Inc")</f>
        <v>0</v>
      </c>
      <c r="C813">
        <v>0.268203883495145</v>
      </c>
      <c r="D813">
        <v>0.178128523111612</v>
      </c>
      <c r="E813">
        <v>-0.6999712891185751</v>
      </c>
      <c r="F813">
        <v>0.06960081883316201</v>
      </c>
      <c r="G813">
        <v>-0.7776595744680851</v>
      </c>
      <c r="H813">
        <v>-0.7592165898617511</v>
      </c>
      <c r="I813">
        <v>-0.407932011331444</v>
      </c>
    </row>
    <row r="814" spans="1:9">
      <c r="A814" s="1" t="s">
        <v>826</v>
      </c>
      <c r="B814">
        <f>HYPERLINK("https://www.suredividend.com/sure-analysis-DD/","DuPont de Nemours Inc")</f>
        <v>0</v>
      </c>
      <c r="C814">
        <v>-0.07462284482758601</v>
      </c>
      <c r="D814">
        <v>-0.187933663518481</v>
      </c>
      <c r="E814">
        <v>-0.038832832463106</v>
      </c>
      <c r="F814">
        <v>-0.145811367298625</v>
      </c>
      <c r="G814">
        <v>-0.093703415432106</v>
      </c>
      <c r="H814">
        <v>0.9579120165068791</v>
      </c>
      <c r="I814">
        <v>-0.446146850897411</v>
      </c>
    </row>
    <row r="815" spans="1:9">
      <c r="A815" s="1" t="s">
        <v>827</v>
      </c>
      <c r="B815">
        <f>HYPERLINK("https://www.suredividend.com/sure-analysis-research-database/","3D Systems Corp.")</f>
        <v>0</v>
      </c>
      <c r="C815">
        <v>-0.027683997299122</v>
      </c>
      <c r="D815">
        <v>-0.275653923541247</v>
      </c>
      <c r="E815">
        <v>-0.448275862068965</v>
      </c>
      <c r="F815">
        <v>-0.331476323119777</v>
      </c>
      <c r="G815">
        <v>-0.324894514767932</v>
      </c>
      <c r="H815">
        <v>1.002781641168289</v>
      </c>
      <c r="I815">
        <v>-0.005524861878453</v>
      </c>
    </row>
    <row r="816" spans="1:9">
      <c r="A816" s="1" t="s">
        <v>828</v>
      </c>
      <c r="B816">
        <f>HYPERLINK("https://www.suredividend.com/sure-analysis-DDS/","Dillard`s Inc.")</f>
        <v>0</v>
      </c>
      <c r="C816">
        <v>0.06981064902830901</v>
      </c>
      <c r="D816">
        <v>0.187059061076225</v>
      </c>
      <c r="E816">
        <v>0.447993152405315</v>
      </c>
      <c r="F816">
        <v>0.212542250495406</v>
      </c>
      <c r="G816">
        <v>2.012408211803072</v>
      </c>
      <c r="H816">
        <v>10.79815689812073</v>
      </c>
      <c r="I816">
        <v>4.918328698581666</v>
      </c>
    </row>
    <row r="817" spans="1:9">
      <c r="A817" s="1" t="s">
        <v>829</v>
      </c>
      <c r="B817">
        <f>HYPERLINK("https://www.suredividend.com/sure-analysis-DE/","Deere &amp; Co.")</f>
        <v>0</v>
      </c>
      <c r="C817">
        <v>0.127932462993872</v>
      </c>
      <c r="D817">
        <v>0.153608026312035</v>
      </c>
      <c r="E817">
        <v>0.319862426062772</v>
      </c>
      <c r="F817">
        <v>0.276979200808378</v>
      </c>
      <c r="G817">
        <v>0.152896667726073</v>
      </c>
      <c r="H817">
        <v>2.445971428616514</v>
      </c>
      <c r="I817">
        <v>3.386008957801924</v>
      </c>
    </row>
    <row r="818" spans="1:9">
      <c r="A818" s="1" t="s">
        <v>830</v>
      </c>
      <c r="B818">
        <f>HYPERLINK("https://www.suredividend.com/sure-analysis-DEA/","Easterly Government Properties Inc")</f>
        <v>0</v>
      </c>
      <c r="C818">
        <v>-0.027079303675048</v>
      </c>
      <c r="D818">
        <v>-0.101332368560925</v>
      </c>
      <c r="E818">
        <v>-0.049068446276148</v>
      </c>
      <c r="F818">
        <v>-0.111134672816271</v>
      </c>
      <c r="G818">
        <v>-0.015973315856915</v>
      </c>
      <c r="H818">
        <v>-0.204884506708292</v>
      </c>
      <c r="I818">
        <v>0.236768665248767</v>
      </c>
    </row>
    <row r="819" spans="1:9">
      <c r="A819" s="1" t="s">
        <v>831</v>
      </c>
      <c r="B819">
        <f>HYPERLINK("https://www.suredividend.com/sure-analysis-research-database/","Deckers Outdoor Corp.")</f>
        <v>0</v>
      </c>
      <c r="C819">
        <v>-0.015605719677723</v>
      </c>
      <c r="D819">
        <v>-0.162374158483107</v>
      </c>
      <c r="E819">
        <v>-0.242917352834454</v>
      </c>
      <c r="F819">
        <v>-0.259534274248587</v>
      </c>
      <c r="G819">
        <v>-0.204714712953732</v>
      </c>
      <c r="H819">
        <v>0.947723682320838</v>
      </c>
      <c r="I819">
        <v>3.8401142041399</v>
      </c>
    </row>
    <row r="820" spans="1:9">
      <c r="A820" s="1" t="s">
        <v>832</v>
      </c>
      <c r="B820">
        <f>HYPERLINK("https://www.suredividend.com/sure-analysis-DEI/","Douglas Emmett Inc")</f>
        <v>0</v>
      </c>
      <c r="C820">
        <v>-0.03774246500529</v>
      </c>
      <c r="D820">
        <v>-0.114591958519161</v>
      </c>
      <c r="E820">
        <v>-0.063430604466297</v>
      </c>
      <c r="F820">
        <v>-0.066753741562111</v>
      </c>
      <c r="G820">
        <v>-0.014432321280443</v>
      </c>
      <c r="H820">
        <v>0.105005843952222</v>
      </c>
      <c r="I820">
        <v>-0.07257871566657001</v>
      </c>
    </row>
    <row r="821" spans="1:9">
      <c r="A821" s="1" t="s">
        <v>833</v>
      </c>
      <c r="B821">
        <f>HYPERLINK("https://www.suredividend.com/sure-analysis-research-database/","Dell Technologies Inc")</f>
        <v>0</v>
      </c>
      <c r="C821">
        <v>-0.09678660765826401</v>
      </c>
      <c r="D821">
        <v>-0.224516768544523</v>
      </c>
      <c r="E821">
        <v>-0.134867742030609</v>
      </c>
      <c r="F821">
        <v>-0.16432259213103</v>
      </c>
      <c r="G821">
        <v>-0.08121301804103001</v>
      </c>
      <c r="H821">
        <v>1.267238547885391</v>
      </c>
      <c r="I821">
        <v>0.04520151413939</v>
      </c>
    </row>
    <row r="822" spans="1:9">
      <c r="A822" s="1" t="s">
        <v>834</v>
      </c>
      <c r="B822">
        <f>HYPERLINK("https://www.suredividend.com/sure-analysis-research-database/","Denny`s Corp.")</f>
        <v>0</v>
      </c>
      <c r="C822">
        <v>-0.08978752570253601</v>
      </c>
      <c r="D822">
        <v>-0.162145110410094</v>
      </c>
      <c r="E822">
        <v>-0.126315789473684</v>
      </c>
      <c r="F822">
        <v>-0.17</v>
      </c>
      <c r="G822">
        <v>-0.245454545454545</v>
      </c>
      <c r="H822">
        <v>0.46094609460946</v>
      </c>
      <c r="I822">
        <v>0.09120788824979401</v>
      </c>
    </row>
    <row r="823" spans="1:9">
      <c r="A823" s="1" t="s">
        <v>835</v>
      </c>
      <c r="B823">
        <f>HYPERLINK("https://www.suredividend.com/sure-analysis-research-database/","Journey Medical Corp")</f>
        <v>0</v>
      </c>
      <c r="C823">
        <v>0.043956043956044</v>
      </c>
      <c r="D823">
        <v>-0.07045009784735801</v>
      </c>
      <c r="E823">
        <v>-0.5</v>
      </c>
      <c r="F823">
        <v>-0.117100371747211</v>
      </c>
      <c r="G823">
        <v>-0.5</v>
      </c>
      <c r="H823">
        <v>-0.5</v>
      </c>
      <c r="I823">
        <v>-0.5</v>
      </c>
    </row>
    <row r="824" spans="1:9">
      <c r="A824" s="1" t="s">
        <v>836</v>
      </c>
      <c r="B824">
        <f>HYPERLINK("https://www.suredividend.com/sure-analysis-research-database/","Donnelley Financial Solutions Inc")</f>
        <v>0</v>
      </c>
      <c r="C824">
        <v>-0.126611286164422</v>
      </c>
      <c r="D824">
        <v>-0.241919443063152</v>
      </c>
      <c r="E824">
        <v>-0.192531779661016</v>
      </c>
      <c r="F824">
        <v>-0.353203224437844</v>
      </c>
      <c r="G824">
        <v>0.040614334470989</v>
      </c>
      <c r="H824">
        <v>4.31184668989547</v>
      </c>
      <c r="I824">
        <v>0.5700308959835211</v>
      </c>
    </row>
    <row r="825" spans="1:9">
      <c r="A825" s="1" t="s">
        <v>837</v>
      </c>
      <c r="B825">
        <f>HYPERLINK("https://www.suredividend.com/sure-analysis-DFS/","Discover Financial Services")</f>
        <v>0</v>
      </c>
      <c r="C825">
        <v>-0.017257993867717</v>
      </c>
      <c r="D825">
        <v>-0.116971032745591</v>
      </c>
      <c r="E825">
        <v>-0.125022424322785</v>
      </c>
      <c r="F825">
        <v>-0.025427667672398</v>
      </c>
      <c r="G825">
        <v>0.114460165350998</v>
      </c>
      <c r="H825">
        <v>2.706591772674707</v>
      </c>
      <c r="I825">
        <v>0.9319827709434471</v>
      </c>
    </row>
    <row r="826" spans="1:9">
      <c r="A826" s="1" t="s">
        <v>838</v>
      </c>
      <c r="B826">
        <f>HYPERLINK("https://www.suredividend.com/sure-analysis-DG/","Dollar General Corp.")</f>
        <v>0</v>
      </c>
      <c r="C826">
        <v>0.17358954133911</v>
      </c>
      <c r="D826">
        <v>0.148775077071415</v>
      </c>
      <c r="E826">
        <v>0.173971129474712</v>
      </c>
      <c r="F826">
        <v>0.05932645454588</v>
      </c>
      <c r="G826">
        <v>0.157180103219144</v>
      </c>
      <c r="H826">
        <v>0.4000382693260091</v>
      </c>
      <c r="I826">
        <v>2.789037273513751</v>
      </c>
    </row>
    <row r="827" spans="1:9">
      <c r="A827" s="1" t="s">
        <v>839</v>
      </c>
      <c r="B827">
        <f>HYPERLINK("https://www.suredividend.com/sure-analysis-research-database/","Donegal Group Inc.")</f>
        <v>0</v>
      </c>
      <c r="C827">
        <v>-0.024246877296105</v>
      </c>
      <c r="D827">
        <v>-0.082048800718877</v>
      </c>
      <c r="E827">
        <v>-0.07918457911524</v>
      </c>
      <c r="F827">
        <v>-0.06020890536983001</v>
      </c>
      <c r="G827">
        <v>-0.154942124989659</v>
      </c>
      <c r="H827">
        <v>-0.05238971899930001</v>
      </c>
      <c r="I827">
        <v>-0.05633562617247401</v>
      </c>
    </row>
    <row r="828" spans="1:9">
      <c r="A828" s="1" t="s">
        <v>840</v>
      </c>
      <c r="B828">
        <f>HYPERLINK("https://www.suredividend.com/sure-analysis-research-database/","Digi International, Inc.")</f>
        <v>0</v>
      </c>
      <c r="C828">
        <v>-0.009837678307919</v>
      </c>
      <c r="D828">
        <v>-0.176350245499181</v>
      </c>
      <c r="E828">
        <v>-0.05492957746478801</v>
      </c>
      <c r="F828">
        <v>-0.18070818070818</v>
      </c>
      <c r="G828">
        <v>0.09760087241003201</v>
      </c>
      <c r="H828">
        <v>1.136942675159235</v>
      </c>
      <c r="I828">
        <v>0.7059322033898301</v>
      </c>
    </row>
    <row r="829" spans="1:9">
      <c r="A829" s="1" t="s">
        <v>841</v>
      </c>
      <c r="B829">
        <f>HYPERLINK("https://www.suredividend.com/sure-analysis-research-database/","Digital Ally Inc.")</f>
        <v>0</v>
      </c>
      <c r="C829">
        <v>0.05825242718446601</v>
      </c>
      <c r="D829">
        <v>0.018691588785046</v>
      </c>
      <c r="E829">
        <v>-0.026785714285714</v>
      </c>
      <c r="F829">
        <v>0.018691588785046</v>
      </c>
      <c r="G829">
        <v>-0.343373493975903</v>
      </c>
      <c r="H829">
        <v>0.184782608695652</v>
      </c>
      <c r="I829">
        <v>-0.716883116883116</v>
      </c>
    </row>
    <row r="830" spans="1:9">
      <c r="A830" s="1" t="s">
        <v>842</v>
      </c>
      <c r="B830">
        <f>HYPERLINK("https://www.suredividend.com/sure-analysis-DGX/","Quest Diagnostics, Inc.")</f>
        <v>0</v>
      </c>
      <c r="C830">
        <v>-0.046758086811499</v>
      </c>
      <c r="D830">
        <v>-0.040125874017227</v>
      </c>
      <c r="E830">
        <v>-0.041473614431492</v>
      </c>
      <c r="F830">
        <v>-0.210507820282491</v>
      </c>
      <c r="G830">
        <v>0.054365937588238</v>
      </c>
      <c r="H830">
        <v>0.5336634154927981</v>
      </c>
      <c r="I830">
        <v>0.5159220892779061</v>
      </c>
    </row>
    <row r="831" spans="1:9">
      <c r="A831" s="1" t="s">
        <v>843</v>
      </c>
      <c r="B831">
        <f>HYPERLINK("https://www.suredividend.com/sure-analysis-DHI/","D.R. Horton Inc.")</f>
        <v>0</v>
      </c>
      <c r="C831">
        <v>-0.112919011499877</v>
      </c>
      <c r="D831">
        <v>-0.26212442224678</v>
      </c>
      <c r="E831">
        <v>-0.162982373108312</v>
      </c>
      <c r="F831">
        <v>-0.329618545463622</v>
      </c>
      <c r="G831">
        <v>-0.240834736286654</v>
      </c>
      <c r="H831">
        <v>0.9077863784420931</v>
      </c>
      <c r="I831">
        <v>1.265923337979138</v>
      </c>
    </row>
    <row r="832" spans="1:9">
      <c r="A832" s="1" t="s">
        <v>844</v>
      </c>
      <c r="B832">
        <f>HYPERLINK("https://www.suredividend.com/sure-analysis-research-database/","Diamond Hill Investment Group, Inc.")</f>
        <v>0</v>
      </c>
      <c r="C832">
        <v>-0.032672362835187</v>
      </c>
      <c r="D832">
        <v>-0.019685794075745</v>
      </c>
      <c r="E832">
        <v>-0.041954729553522</v>
      </c>
      <c r="F832">
        <v>-0.06632170899279301</v>
      </c>
      <c r="G832">
        <v>0.12843157351668</v>
      </c>
      <c r="H832">
        <v>1.104658871287383</v>
      </c>
      <c r="I832">
        <v>0.222478777589134</v>
      </c>
    </row>
    <row r="833" spans="1:9">
      <c r="A833" s="1" t="s">
        <v>845</v>
      </c>
      <c r="B833">
        <f>HYPERLINK("https://www.suredividend.com/sure-analysis-research-database/","Danaher Corp.")</f>
        <v>0</v>
      </c>
      <c r="C833">
        <v>-0.002510469894708</v>
      </c>
      <c r="D833">
        <v>-0.05484899184006101</v>
      </c>
      <c r="E833">
        <v>-0.079559392810939</v>
      </c>
      <c r="F833">
        <v>-0.157404801922594</v>
      </c>
      <c r="G833">
        <v>0.142974572962944</v>
      </c>
      <c r="H833">
        <v>0.8005005362888811</v>
      </c>
      <c r="I833">
        <v>2.307555623489401</v>
      </c>
    </row>
    <row r="834" spans="1:9">
      <c r="A834" s="1" t="s">
        <v>846</v>
      </c>
      <c r="B834">
        <f>HYPERLINK("https://www.suredividend.com/sure-analysis-research-database/","DHI Group Inc")</f>
        <v>0</v>
      </c>
      <c r="C834">
        <v>-0.008431703204047</v>
      </c>
      <c r="D834">
        <v>0.03157894736842001</v>
      </c>
      <c r="E834">
        <v>0.190283400809716</v>
      </c>
      <c r="F834">
        <v>-0.057692307692307</v>
      </c>
      <c r="G834">
        <v>0.8092307692307691</v>
      </c>
      <c r="H834">
        <v>1.613333333333333</v>
      </c>
      <c r="I834">
        <v>0.434146341463414</v>
      </c>
    </row>
    <row r="835" spans="1:9">
      <c r="A835" s="1" t="s">
        <v>847</v>
      </c>
      <c r="B835">
        <f>HYPERLINK("https://www.suredividend.com/sure-analysis-research-database/","Dine Brands Global Inc")</f>
        <v>0</v>
      </c>
      <c r="C835">
        <v>-0.036879358529004</v>
      </c>
      <c r="D835">
        <v>0.026696903760564</v>
      </c>
      <c r="E835">
        <v>-0.068643793821098</v>
      </c>
      <c r="F835">
        <v>-0.02137970202173</v>
      </c>
      <c r="G835">
        <v>-0.192097785197697</v>
      </c>
      <c r="H835">
        <v>1.555723434337833</v>
      </c>
      <c r="I835">
        <v>0.6312979159201401</v>
      </c>
    </row>
    <row r="836" spans="1:9">
      <c r="A836" s="1" t="s">
        <v>848</v>
      </c>
      <c r="B836">
        <f>HYPERLINK("https://www.suredividend.com/sure-analysis-research-database/","Diodes, Inc.")</f>
        <v>0</v>
      </c>
      <c r="C836">
        <v>-0.207259158751696</v>
      </c>
      <c r="D836">
        <v>-0.284007352941176</v>
      </c>
      <c r="E836">
        <v>-0.19910897875257</v>
      </c>
      <c r="F836">
        <v>-0.361533557963755</v>
      </c>
      <c r="G836">
        <v>-0.138274336283185</v>
      </c>
      <c r="H836">
        <v>0.563210702341137</v>
      </c>
      <c r="I836">
        <v>2.044290056448111</v>
      </c>
    </row>
    <row r="837" spans="1:9">
      <c r="A837" s="1" t="s">
        <v>849</v>
      </c>
      <c r="B837">
        <f>HYPERLINK("https://www.suredividend.com/sure-analysis-research-database/","Walt Disney Co (The)")</f>
        <v>0</v>
      </c>
      <c r="C837">
        <v>-0.055523382076154</v>
      </c>
      <c r="D837">
        <v>-0.141305778596814</v>
      </c>
      <c r="E837">
        <v>-0.260625637538252</v>
      </c>
      <c r="F837">
        <v>-0.157660275033894</v>
      </c>
      <c r="G837">
        <v>-0.303268183274591</v>
      </c>
      <c r="H837">
        <v>0.278866888845324</v>
      </c>
      <c r="I837">
        <v>0.20356891808868</v>
      </c>
    </row>
    <row r="838" spans="1:9">
      <c r="A838" s="1" t="s">
        <v>850</v>
      </c>
      <c r="B838">
        <f>HYPERLINK("https://www.suredividend.com/sure-analysis-research-database/","Warner Bros.Discovery Inc")</f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851</v>
      </c>
      <c r="B839">
        <f>HYPERLINK("https://www.suredividend.com/sure-analysis-research-database/","Dish Network Corp")</f>
        <v>0</v>
      </c>
      <c r="C839">
        <v>0.078297595841455</v>
      </c>
      <c r="D839">
        <v>-0.082895827576678</v>
      </c>
      <c r="E839">
        <v>-0.233133086876155</v>
      </c>
      <c r="F839">
        <v>0.0231196054254</v>
      </c>
      <c r="G839">
        <v>-0.126808734543541</v>
      </c>
      <c r="H839">
        <v>0.5556597140848361</v>
      </c>
      <c r="I839">
        <v>-0.4658379295305201</v>
      </c>
    </row>
    <row r="840" spans="1:9">
      <c r="A840" s="1" t="s">
        <v>852</v>
      </c>
      <c r="B840">
        <f>HYPERLINK("https://www.suredividend.com/sure-analysis-research-database/","Amcon Distributing Company")</f>
        <v>0</v>
      </c>
      <c r="C840">
        <v>-0.065301506042026</v>
      </c>
      <c r="D840">
        <v>-0.238708626417421</v>
      </c>
      <c r="E840">
        <v>0.146719813159599</v>
      </c>
      <c r="F840">
        <v>-0.212074103773182</v>
      </c>
      <c r="G840">
        <v>0.340851391959503</v>
      </c>
      <c r="H840">
        <v>1.333440330979385</v>
      </c>
      <c r="I840">
        <v>0.8190348758406171</v>
      </c>
    </row>
    <row r="841" spans="1:9">
      <c r="A841" s="1" t="s">
        <v>853</v>
      </c>
      <c r="B841">
        <f>HYPERLINK("https://www.suredividend.com/sure-analysis-research-database/","Daily Journal Corporation")</f>
        <v>0</v>
      </c>
      <c r="C841">
        <v>-0.079446254071661</v>
      </c>
      <c r="D841">
        <v>-0.221460055096418</v>
      </c>
      <c r="E841">
        <v>-0.154874401913875</v>
      </c>
      <c r="F841">
        <v>-0.207776189274801</v>
      </c>
      <c r="G841">
        <v>-0.102853877654677</v>
      </c>
      <c r="H841">
        <v>0.205674061433447</v>
      </c>
      <c r="I841">
        <v>0.370828482731858</v>
      </c>
    </row>
    <row r="842" spans="1:9">
      <c r="A842" s="1" t="s">
        <v>854</v>
      </c>
      <c r="B842">
        <f>HYPERLINK("https://www.suredividend.com/sure-analysis-research-database/","Delek US Holdings Inc")</f>
        <v>0</v>
      </c>
      <c r="C842">
        <v>0.316704035874439</v>
      </c>
      <c r="D842">
        <v>0.275936990765888</v>
      </c>
      <c r="E842">
        <v>0.09715086408220401</v>
      </c>
      <c r="F842">
        <v>0.567044696464309</v>
      </c>
      <c r="G842">
        <v>0.07505720823798601</v>
      </c>
      <c r="H842">
        <v>0.7432540742719741</v>
      </c>
      <c r="I842">
        <v>0.191279167068154</v>
      </c>
    </row>
    <row r="843" spans="1:9">
      <c r="A843" s="1" t="s">
        <v>855</v>
      </c>
      <c r="B843">
        <f>HYPERLINK("https://www.suredividend.com/sure-analysis-DKS/","Dicks Sporting Goods, Inc.")</f>
        <v>0</v>
      </c>
      <c r="C843">
        <v>-0.04894978407831901</v>
      </c>
      <c r="D843">
        <v>-0.053636560802231</v>
      </c>
      <c r="E843">
        <v>-0.114379459262802</v>
      </c>
      <c r="F843">
        <v>-0.08145332322431201</v>
      </c>
      <c r="G843">
        <v>0.26592487995021</v>
      </c>
      <c r="H843">
        <v>3.417318104871399</v>
      </c>
      <c r="I843">
        <v>1.406352257385414</v>
      </c>
    </row>
    <row r="844" spans="1:9">
      <c r="A844" s="1" t="s">
        <v>856</v>
      </c>
      <c r="B844">
        <f>HYPERLINK("https://www.suredividend.com/sure-analysis-research-database/","Delta Apparel Inc.")</f>
        <v>0</v>
      </c>
      <c r="C844">
        <v>0.157649587961304</v>
      </c>
      <c r="D844">
        <v>0.005915317559153001</v>
      </c>
      <c r="E844">
        <v>0.252811167119038</v>
      </c>
      <c r="F844">
        <v>0.08641560188298601</v>
      </c>
      <c r="G844">
        <v>0.211019490254872</v>
      </c>
      <c r="H844">
        <v>2.4593147751606</v>
      </c>
      <c r="I844">
        <v>0.882867132867132</v>
      </c>
    </row>
    <row r="845" spans="1:9">
      <c r="A845" s="1" t="s">
        <v>857</v>
      </c>
      <c r="B845">
        <f>HYPERLINK("https://www.suredividend.com/sure-analysis-research-database/","Dolby Laboratories Inc")</f>
        <v>0</v>
      </c>
      <c r="C845">
        <v>0.064560251675557</v>
      </c>
      <c r="D845">
        <v>-0.150766034569485</v>
      </c>
      <c r="E845">
        <v>-0.127604268831944</v>
      </c>
      <c r="F845">
        <v>-0.179930584385069</v>
      </c>
      <c r="G845">
        <v>-0.229417384890323</v>
      </c>
      <c r="H845">
        <v>0.3922055806282541</v>
      </c>
      <c r="I845">
        <v>0.61683351579752</v>
      </c>
    </row>
    <row r="846" spans="1:9">
      <c r="A846" s="1" t="s">
        <v>858</v>
      </c>
      <c r="B846">
        <f>HYPERLINK("https://www.suredividend.com/sure-analysis-research-database/","DLH Holdings Corp")</f>
        <v>0</v>
      </c>
      <c r="C846">
        <v>0.060324825986079</v>
      </c>
      <c r="D846">
        <v>-0.088279301745635</v>
      </c>
      <c r="E846">
        <v>0.281009110021023</v>
      </c>
      <c r="F846">
        <v>-0.117760617760617</v>
      </c>
      <c r="G846">
        <v>0.7020484171322161</v>
      </c>
      <c r="H846">
        <v>2.816283924843424</v>
      </c>
      <c r="I846">
        <v>2.753593429158111</v>
      </c>
    </row>
    <row r="847" spans="1:9">
      <c r="A847" s="1" t="s">
        <v>859</v>
      </c>
      <c r="B847">
        <f>HYPERLINK("https://www.suredividend.com/sure-analysis-DLR/","Digital Realty Trust Inc")</f>
        <v>0</v>
      </c>
      <c r="C847">
        <v>0.06577496876607601</v>
      </c>
      <c r="D847">
        <v>-0.06122797750365001</v>
      </c>
      <c r="E847">
        <v>-0.00140403886688</v>
      </c>
      <c r="F847">
        <v>-0.172636176714232</v>
      </c>
      <c r="G847">
        <v>0.02435654558323</v>
      </c>
      <c r="H847">
        <v>0.08906169622373</v>
      </c>
      <c r="I847">
        <v>0.5651881096646211</v>
      </c>
    </row>
    <row r="848" spans="1:9">
      <c r="A848" s="1" t="s">
        <v>860</v>
      </c>
      <c r="B848">
        <f>HYPERLINK("https://www.suredividend.com/sure-analysis-research-database/","Duluth Holdings Inc")</f>
        <v>0</v>
      </c>
      <c r="C848">
        <v>-0.06857573474001501</v>
      </c>
      <c r="D848">
        <v>-0.149346180316586</v>
      </c>
      <c r="E848">
        <v>-0.148760330578512</v>
      </c>
      <c r="F848">
        <v>-0.185770750988142</v>
      </c>
      <c r="G848">
        <v>-0.236093943139678</v>
      </c>
      <c r="H848">
        <v>2.014634146341463</v>
      </c>
      <c r="I848">
        <v>-0.400581959262851</v>
      </c>
    </row>
    <row r="849" spans="1:9">
      <c r="A849" s="1" t="s">
        <v>861</v>
      </c>
      <c r="B849">
        <f>HYPERLINK("https://www.suredividend.com/sure-analysis-research-database/","Dollar Tree Inc")</f>
        <v>0</v>
      </c>
      <c r="C849">
        <v>0.137887953708574</v>
      </c>
      <c r="D849">
        <v>0.322911092424126</v>
      </c>
      <c r="E849">
        <v>0.7432255464893721</v>
      </c>
      <c r="F849">
        <v>0.23149729575861</v>
      </c>
      <c r="G849">
        <v>0.474522835719154</v>
      </c>
      <c r="H849">
        <v>1.151560363048613</v>
      </c>
      <c r="I849">
        <v>1.263274914988229</v>
      </c>
    </row>
    <row r="850" spans="1:9">
      <c r="A850" s="1" t="s">
        <v>862</v>
      </c>
      <c r="B850">
        <f>HYPERLINK("https://www.suredividend.com/sure-analysis-research-database/","Deluxe Corp.")</f>
        <v>0</v>
      </c>
      <c r="C850">
        <v>-0.089340727048675</v>
      </c>
      <c r="D850">
        <v>-0.101607138515402</v>
      </c>
      <c r="E850">
        <v>-0.200901823922663</v>
      </c>
      <c r="F850">
        <v>-0.07082886717190601</v>
      </c>
      <c r="G850">
        <v>-0.299964003561752</v>
      </c>
      <c r="H850">
        <v>0.327072091081321</v>
      </c>
      <c r="I850">
        <v>-0.498387917868657</v>
      </c>
    </row>
    <row r="851" spans="1:9">
      <c r="A851" s="1" t="s">
        <v>863</v>
      </c>
      <c r="B851">
        <f>HYPERLINK("https://www.suredividend.com/sure-analysis-research-database/","Digimarc Corporation")</f>
        <v>0</v>
      </c>
      <c r="C851">
        <v>0.028626692456479</v>
      </c>
      <c r="D851">
        <v>-0.277445652173913</v>
      </c>
      <c r="E851">
        <v>-0.267089305402425</v>
      </c>
      <c r="F851">
        <v>-0.326494427558257</v>
      </c>
      <c r="G851">
        <v>-0.232390300230946</v>
      </c>
      <c r="H851">
        <v>0.9872944693572491</v>
      </c>
      <c r="I851">
        <v>-0.020626151012891</v>
      </c>
    </row>
    <row r="852" spans="1:9">
      <c r="A852" s="1" t="s">
        <v>864</v>
      </c>
      <c r="B852">
        <f>HYPERLINK("https://www.suredividend.com/sure-analysis-research-database/","Dunkin Brands Group Inc")</f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865</v>
      </c>
      <c r="B853">
        <f>HYPERLINK("https://www.suredividend.com/sure-analysis-research-database/","Denali Therapeutics Inc")</f>
        <v>0</v>
      </c>
      <c r="C853">
        <v>-0.027140549273021</v>
      </c>
      <c r="D853">
        <v>-0.135763490241102</v>
      </c>
      <c r="E853">
        <v>-0.339113257243195</v>
      </c>
      <c r="F853">
        <v>-0.324887892376681</v>
      </c>
      <c r="G853">
        <v>-0.442510646176633</v>
      </c>
      <c r="H853">
        <v>0.556072351421188</v>
      </c>
      <c r="I853">
        <v>0.403729603729603</v>
      </c>
    </row>
    <row r="854" spans="1:9">
      <c r="A854" s="1" t="s">
        <v>866</v>
      </c>
      <c r="B854">
        <f>HYPERLINK("https://www.suredividend.com/sure-analysis-research-database/","NOW Inc")</f>
        <v>0</v>
      </c>
      <c r="C854">
        <v>0.073746312684365</v>
      </c>
      <c r="D854">
        <v>0.125773195876288</v>
      </c>
      <c r="E854">
        <v>0.190839694656488</v>
      </c>
      <c r="F854">
        <v>0.278688524590164</v>
      </c>
      <c r="G854">
        <v>0.118852459016393</v>
      </c>
      <c r="H854">
        <v>1.022222222222222</v>
      </c>
      <c r="I854">
        <v>-0.344144144144144</v>
      </c>
    </row>
    <row r="855" spans="1:9">
      <c r="A855" s="1" t="s">
        <v>867</v>
      </c>
      <c r="B855">
        <f>HYPERLINK("https://www.suredividend.com/sure-analysis-research-database/","Diamond Offshore Drilling, Inc.")</f>
        <v>0</v>
      </c>
      <c r="C855">
        <v>6.971014492753624</v>
      </c>
      <c r="D855">
        <v>6.971014492753624</v>
      </c>
      <c r="E855">
        <v>6.971014492753624</v>
      </c>
      <c r="F855">
        <v>6.971014492753624</v>
      </c>
      <c r="G855">
        <v>6.971014492753624</v>
      </c>
      <c r="H855">
        <v>7.410164155610525</v>
      </c>
      <c r="I855">
        <v>-0.508864084044648</v>
      </c>
    </row>
    <row r="856" spans="1:9">
      <c r="A856" s="1" t="s">
        <v>868</v>
      </c>
      <c r="B856">
        <f>HYPERLINK("https://www.suredividend.com/sure-analysis-DOC/","Physicians Realty Trust")</f>
        <v>0</v>
      </c>
      <c r="C856">
        <v>0.07114230890675401</v>
      </c>
      <c r="D856">
        <v>-0.048636054751965</v>
      </c>
      <c r="E856">
        <v>-0.025452054340439</v>
      </c>
      <c r="F856">
        <v>-0.039424961881942</v>
      </c>
      <c r="G856">
        <v>0.0009646484707480001</v>
      </c>
      <c r="H856">
        <v>0.284450431426803</v>
      </c>
      <c r="I856">
        <v>0.151466095720514</v>
      </c>
    </row>
    <row r="857" spans="1:9">
      <c r="A857" s="1" t="s">
        <v>869</v>
      </c>
      <c r="B857">
        <f>HYPERLINK("https://www.suredividend.com/sure-analysis-research-database/","DocuSign Inc")</f>
        <v>0</v>
      </c>
      <c r="C857">
        <v>0.196705542864013</v>
      </c>
      <c r="D857">
        <v>-0.236967187979147</v>
      </c>
      <c r="E857">
        <v>-0.6178830575498131</v>
      </c>
      <c r="F857">
        <v>-0.346530103079246</v>
      </c>
      <c r="G857">
        <v>-0.570861897986461</v>
      </c>
      <c r="H857">
        <v>-0.011422328168454</v>
      </c>
      <c r="I857">
        <v>1.505159828844702</v>
      </c>
    </row>
    <row r="858" spans="1:9">
      <c r="A858" s="1" t="s">
        <v>870</v>
      </c>
      <c r="B858">
        <f>HYPERLINK("https://www.suredividend.com/sure-analysis-research-database/","Domo Inc.")</f>
        <v>0</v>
      </c>
      <c r="C858">
        <v>0.056449834619624</v>
      </c>
      <c r="D858">
        <v>0.059252708379394</v>
      </c>
      <c r="E858">
        <v>-0.4533941814033081</v>
      </c>
      <c r="F858">
        <v>-0.03407258064516101</v>
      </c>
      <c r="G858">
        <v>-0.209797130133597</v>
      </c>
      <c r="H858">
        <v>2.297315898141775</v>
      </c>
      <c r="I858">
        <v>0.754945054945054</v>
      </c>
    </row>
    <row r="859" spans="1:9">
      <c r="A859" s="1" t="s">
        <v>871</v>
      </c>
      <c r="B859">
        <f>HYPERLINK("https://www.suredividend.com/sure-analysis-research-database/","Masonite International Corp")</f>
        <v>0</v>
      </c>
      <c r="C859">
        <v>-0.230706824865632</v>
      </c>
      <c r="D859">
        <v>-0.316699693748874</v>
      </c>
      <c r="E859">
        <v>-0.315528286565009</v>
      </c>
      <c r="F859">
        <v>-0.356846121237812</v>
      </c>
      <c r="G859">
        <v>-0.419586840091813</v>
      </c>
      <c r="H859">
        <v>0.718233295583238</v>
      </c>
      <c r="I859">
        <v>-0.010951760104302</v>
      </c>
    </row>
    <row r="860" spans="1:9">
      <c r="A860" s="1" t="s">
        <v>872</v>
      </c>
      <c r="B860">
        <f>HYPERLINK("https://www.suredividend.com/sure-analysis-research-database/","Dorman Products Inc")</f>
        <v>0</v>
      </c>
      <c r="C860">
        <v>-0.062749401436552</v>
      </c>
      <c r="D860">
        <v>-0.113260972156677</v>
      </c>
      <c r="E860">
        <v>-0.06647456279809201</v>
      </c>
      <c r="F860">
        <v>-0.168657640916733</v>
      </c>
      <c r="G860">
        <v>-0.123600746268656</v>
      </c>
      <c r="H860">
        <v>0.623185901865929</v>
      </c>
      <c r="I860">
        <v>0.21791547835105</v>
      </c>
    </row>
    <row r="861" spans="1:9">
      <c r="A861" s="1" t="s">
        <v>873</v>
      </c>
      <c r="B861">
        <f>HYPERLINK("https://www.suredividend.com/sure-analysis-DOV/","Dover Corp.")</f>
        <v>0</v>
      </c>
      <c r="C861">
        <v>-0.06039794608472401</v>
      </c>
      <c r="D861">
        <v>-0.177147880673795</v>
      </c>
      <c r="E861">
        <v>-0.107911669909645</v>
      </c>
      <c r="F861">
        <v>-0.191285171001836</v>
      </c>
      <c r="G861">
        <v>0.054339653081273</v>
      </c>
      <c r="H861">
        <v>0.785091516577852</v>
      </c>
      <c r="I861">
        <v>1.537330248117238</v>
      </c>
    </row>
    <row r="862" spans="1:9">
      <c r="A862" s="1" t="s">
        <v>874</v>
      </c>
      <c r="B862">
        <f>HYPERLINK("https://www.suredividend.com/sure-analysis-DOW/","Dow Inc")</f>
        <v>0</v>
      </c>
      <c r="C862">
        <v>0.09808853118712201</v>
      </c>
      <c r="D862">
        <v>0.09121082913028</v>
      </c>
      <c r="E862">
        <v>0.137982804278773</v>
      </c>
      <c r="F862">
        <v>0.168550312434203</v>
      </c>
      <c r="G862">
        <v>0.059230541551629</v>
      </c>
      <c r="H862">
        <v>1.263599223000297</v>
      </c>
      <c r="I862">
        <v>0.315060240963855</v>
      </c>
    </row>
    <row r="863" spans="1:9">
      <c r="A863" s="1" t="s">
        <v>875</v>
      </c>
      <c r="B863">
        <f>HYPERLINK("https://www.suredividend.com/sure-analysis-DPZ/","Dominos Pizza Inc")</f>
        <v>0</v>
      </c>
      <c r="C863">
        <v>-0.04496016967963101</v>
      </c>
      <c r="D863">
        <v>-0.17904264890823</v>
      </c>
      <c r="E863">
        <v>-0.144828402544579</v>
      </c>
      <c r="F863">
        <v>-0.311846514974588</v>
      </c>
      <c r="G863">
        <v>-0.010831451799745</v>
      </c>
      <c r="H863">
        <v>0.09290265224477701</v>
      </c>
      <c r="I863">
        <v>1.32781116380339</v>
      </c>
    </row>
    <row r="864" spans="1:9">
      <c r="A864" s="1" t="s">
        <v>876</v>
      </c>
      <c r="B864">
        <f>HYPERLINK("https://www.suredividend.com/sure-analysis-DRE/","Duke Realty Corp")</f>
        <v>0</v>
      </c>
      <c r="C864">
        <v>0.061600145799161</v>
      </c>
      <c r="D864">
        <v>-0.021057761793523</v>
      </c>
      <c r="E864">
        <v>0.105527065959635</v>
      </c>
      <c r="F864">
        <v>-0.108005592383822</v>
      </c>
      <c r="G864">
        <v>0.337100935626337</v>
      </c>
      <c r="H864">
        <v>0.793416851652868</v>
      </c>
      <c r="I864">
        <v>1.465358016540118</v>
      </c>
    </row>
    <row r="865" spans="1:9">
      <c r="A865" s="1" t="s">
        <v>877</v>
      </c>
      <c r="B865">
        <f>HYPERLINK("https://www.suredividend.com/sure-analysis-research-database/","Diamondrock Hospitality Co.")</f>
        <v>0</v>
      </c>
      <c r="C865">
        <v>-0.0009960159362540002</v>
      </c>
      <c r="D865">
        <v>0.008040201005025</v>
      </c>
      <c r="E865">
        <v>0.079655543595263</v>
      </c>
      <c r="F865">
        <v>0.04370447450572301</v>
      </c>
      <c r="G865">
        <v>0.005010020040079</v>
      </c>
      <c r="H865">
        <v>1.194748358862144</v>
      </c>
      <c r="I865">
        <v>0.03305146718027401</v>
      </c>
    </row>
    <row r="866" spans="1:9">
      <c r="A866" s="1" t="s">
        <v>878</v>
      </c>
      <c r="B866">
        <f>HYPERLINK("https://www.suredividend.com/sure-analysis-DRI/","Darden Restaurants, Inc.")</f>
        <v>0</v>
      </c>
      <c r="C866">
        <v>0.022401839312186</v>
      </c>
      <c r="D866">
        <v>-0.07283189373644801</v>
      </c>
      <c r="E866">
        <v>-0.104379173630524</v>
      </c>
      <c r="F866">
        <v>-0.113238349658652</v>
      </c>
      <c r="G866">
        <v>-0.080692728975348</v>
      </c>
      <c r="H866">
        <v>1.348353026508073</v>
      </c>
      <c r="I866">
        <v>0.7964571050595991</v>
      </c>
    </row>
    <row r="867" spans="1:9">
      <c r="A867" s="1" t="s">
        <v>879</v>
      </c>
      <c r="B867">
        <f>HYPERLINK("https://www.suredividend.com/sure-analysis-research-database/","Dicerna Pharmaceuticals Inc")</f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880</v>
      </c>
      <c r="B868">
        <f>HYPERLINK("https://www.suredividend.com/sure-analysis-research-database/","Dril-Quip, Inc.")</f>
        <v>0</v>
      </c>
      <c r="C868">
        <v>0.016604637847122</v>
      </c>
      <c r="D868">
        <v>0.3947368421052631</v>
      </c>
      <c r="E868">
        <v>0.39913317572892</v>
      </c>
      <c r="F868">
        <v>0.8043699186991861</v>
      </c>
      <c r="G868">
        <v>0.196025597844391</v>
      </c>
      <c r="H868">
        <v>0.067327923053801</v>
      </c>
      <c r="I868">
        <v>-0.332518796992481</v>
      </c>
    </row>
    <row r="869" spans="1:9">
      <c r="A869" s="1" t="s">
        <v>881</v>
      </c>
      <c r="B869">
        <f>HYPERLINK("https://www.suredividend.com/sure-analysis-research-database/","Durect Corp")</f>
        <v>0</v>
      </c>
      <c r="C869">
        <v>-0.257828322168562</v>
      </c>
      <c r="D869">
        <v>-0.365392300519515</v>
      </c>
      <c r="E869">
        <v>-0.596271186440678</v>
      </c>
      <c r="F869">
        <v>-0.516786692362308</v>
      </c>
      <c r="G869">
        <v>-0.721403508771929</v>
      </c>
      <c r="H869">
        <v>-0.7452406417112299</v>
      </c>
      <c r="I869">
        <v>-0.467828418230563</v>
      </c>
    </row>
    <row r="870" spans="1:9">
      <c r="A870" s="1" t="s">
        <v>882</v>
      </c>
      <c r="B870">
        <f>HYPERLINK("https://www.suredividend.com/sure-analysis-research-database/","Drive Shack Inc")</f>
        <v>0</v>
      </c>
      <c r="C870">
        <v>0</v>
      </c>
      <c r="D870">
        <v>-0.08965517241379301</v>
      </c>
      <c r="E870">
        <v>-0.530249110320284</v>
      </c>
      <c r="F870">
        <v>-0.07692307692307601</v>
      </c>
      <c r="G870">
        <v>-0.57556270096463</v>
      </c>
      <c r="H870">
        <v>0.222222222222222</v>
      </c>
      <c r="I870">
        <v>-0.6716417910447761</v>
      </c>
    </row>
    <row r="871" spans="1:9">
      <c r="A871" s="1" t="s">
        <v>883</v>
      </c>
      <c r="B871">
        <f>HYPERLINK("https://www.suredividend.com/sure-analysis-research-database/","Daseke Inc")</f>
        <v>0</v>
      </c>
      <c r="C871">
        <v>-0.306266548984995</v>
      </c>
      <c r="D871">
        <v>-0.17001055966209</v>
      </c>
      <c r="E871">
        <v>-0.229411764705882</v>
      </c>
      <c r="F871">
        <v>-0.217131474103585</v>
      </c>
      <c r="G871">
        <v>0.048</v>
      </c>
      <c r="H871">
        <v>5.238095238095238</v>
      </c>
      <c r="I871">
        <v>-0.20845921450151</v>
      </c>
    </row>
    <row r="872" spans="1:9">
      <c r="A872" s="1" t="s">
        <v>884</v>
      </c>
      <c r="B872">
        <f>HYPERLINK("https://www.suredividend.com/sure-analysis-research-database/","DSP Group, Inc.")</f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885</v>
      </c>
      <c r="B873">
        <f>HYPERLINK("https://www.suredividend.com/sure-analysis-research-database/","DSS Inc")</f>
        <v>0</v>
      </c>
      <c r="C873">
        <v>-0.084935017389712</v>
      </c>
      <c r="D873">
        <v>-0.256433139967276</v>
      </c>
      <c r="E873">
        <v>-0.583416666666666</v>
      </c>
      <c r="F873">
        <v>-0.25610119047619</v>
      </c>
      <c r="G873">
        <v>-0.831683501683501</v>
      </c>
      <c r="H873">
        <v>-0.9290921985815601</v>
      </c>
      <c r="I873">
        <v>-0.9851220238095241</v>
      </c>
    </row>
    <row r="874" spans="1:9">
      <c r="A874" s="1" t="s">
        <v>886</v>
      </c>
      <c r="B874">
        <f>HYPERLINK("https://www.suredividend.com/sure-analysis-DTE/","DTE Energy Co.")</f>
        <v>0</v>
      </c>
      <c r="C874">
        <v>0.080888129615168</v>
      </c>
      <c r="D874">
        <v>0.157033298131134</v>
      </c>
      <c r="E874">
        <v>0.209579993474599</v>
      </c>
      <c r="F874">
        <v>0.155484571496923</v>
      </c>
      <c r="G874">
        <v>0.181268832742426</v>
      </c>
      <c r="H874">
        <v>0.6958707889131071</v>
      </c>
      <c r="I874">
        <v>0.835239215277024</v>
      </c>
    </row>
    <row r="875" spans="1:9">
      <c r="A875" s="1" t="s">
        <v>887</v>
      </c>
      <c r="B875">
        <f>HYPERLINK("https://www.suredividend.com/sure-analysis-DUK/","Duke Energy Corp.")</f>
        <v>0</v>
      </c>
      <c r="C875">
        <v>0.08379730112295901</v>
      </c>
      <c r="D875">
        <v>0.114938132340292</v>
      </c>
      <c r="E875">
        <v>0.167212754886337</v>
      </c>
      <c r="F875">
        <v>0.105798485677093</v>
      </c>
      <c r="G875">
        <v>0.18560101248365</v>
      </c>
      <c r="H875">
        <v>0.423142263421959</v>
      </c>
      <c r="I875">
        <v>0.7164437855319551</v>
      </c>
    </row>
    <row r="876" spans="1:9">
      <c r="A876" s="1" t="s">
        <v>888</v>
      </c>
      <c r="B876">
        <f>HYPERLINK("https://www.suredividend.com/sure-analysis-research-database/","DaVita Inc")</f>
        <v>0</v>
      </c>
      <c r="C876">
        <v>0.081093110201174</v>
      </c>
      <c r="D876">
        <v>0.044102475928473</v>
      </c>
      <c r="E876">
        <v>0.08234560199625701</v>
      </c>
      <c r="F876">
        <v>0.06759845288326201</v>
      </c>
      <c r="G876">
        <v>0.07373353372822901</v>
      </c>
      <c r="H876">
        <v>0.584474885844748</v>
      </c>
      <c r="I876">
        <v>0.7918264974918851</v>
      </c>
    </row>
    <row r="877" spans="1:9">
      <c r="A877" s="1" t="s">
        <v>889</v>
      </c>
      <c r="B877">
        <f>HYPERLINK("https://www.suredividend.com/sure-analysis-research-database/","Dynavax Technologies Corp.")</f>
        <v>0</v>
      </c>
      <c r="C877">
        <v>-0.041932543299908</v>
      </c>
      <c r="D877">
        <v>-0.22320768662232</v>
      </c>
      <c r="E877">
        <v>-0.379574970484061</v>
      </c>
      <c r="F877">
        <v>-0.253020611229566</v>
      </c>
      <c r="G877">
        <v>-0.043676069153776</v>
      </c>
      <c r="H877">
        <v>2.12797619047619</v>
      </c>
      <c r="I877">
        <v>0.8767857142857141</v>
      </c>
    </row>
    <row r="878" spans="1:9">
      <c r="A878" s="1" t="s">
        <v>890</v>
      </c>
      <c r="B878">
        <f>HYPERLINK("https://www.suredividend.com/sure-analysis-research-database/","Dover Motorsports Inc")</f>
        <v>0</v>
      </c>
      <c r="C878">
        <v>0.005571030640668001</v>
      </c>
      <c r="D878">
        <v>0.5838195937349181</v>
      </c>
      <c r="E878">
        <v>0.6045870744066131</v>
      </c>
      <c r="F878">
        <v>0.6489288813776091</v>
      </c>
      <c r="G878">
        <v>0.8809920800333471</v>
      </c>
      <c r="H878">
        <v>1.059326868225898</v>
      </c>
      <c r="I878">
        <v>0.9317208904109581</v>
      </c>
    </row>
    <row r="879" spans="1:9">
      <c r="A879" s="1" t="s">
        <v>891</v>
      </c>
      <c r="B879">
        <f>HYPERLINK("https://www.suredividend.com/sure-analysis-research-database/","Devon Energy Corp.")</f>
        <v>0</v>
      </c>
      <c r="C879">
        <v>0.192527640106747</v>
      </c>
      <c r="D879">
        <v>0.262356708590522</v>
      </c>
      <c r="E879">
        <v>0.6165249364992</v>
      </c>
      <c r="F879">
        <v>0.444046654525226</v>
      </c>
      <c r="G879">
        <v>2.026432911490383</v>
      </c>
      <c r="H879">
        <v>7.667941363926069</v>
      </c>
      <c r="I879">
        <v>0.7923293118612891</v>
      </c>
    </row>
    <row r="880" spans="1:9">
      <c r="A880" s="1" t="s">
        <v>892</v>
      </c>
      <c r="B880">
        <f>HYPERLINK("https://www.suredividend.com/sure-analysis-research-database/","Dawson Geophysical Company")</f>
        <v>0</v>
      </c>
      <c r="C880">
        <v>-0.07725321888412001</v>
      </c>
      <c r="D880">
        <v>-0.07725321888412001</v>
      </c>
      <c r="E880">
        <v>-0.044444444444444</v>
      </c>
      <c r="F880">
        <v>-0.07327586206896501</v>
      </c>
      <c r="G880">
        <v>-0.107883817427385</v>
      </c>
      <c r="H880">
        <v>0.6538461538461531</v>
      </c>
      <c r="I880">
        <v>-0.5732518211230421</v>
      </c>
    </row>
    <row r="881" spans="1:9">
      <c r="A881" s="1" t="s">
        <v>893</v>
      </c>
      <c r="B881">
        <f>HYPERLINK("https://www.suredividend.com/sure-analysis-DX/","Dynex Capital, Inc.")</f>
        <v>0</v>
      </c>
      <c r="C881">
        <v>0.007523177465930001</v>
      </c>
      <c r="D881">
        <v>-0.03675001513592</v>
      </c>
      <c r="E881">
        <v>-0.06625427697797401</v>
      </c>
      <c r="F881">
        <v>-0.024650412883687</v>
      </c>
      <c r="G881">
        <v>-0.125074239457997</v>
      </c>
      <c r="H881">
        <v>0.4640520470042601</v>
      </c>
      <c r="I881">
        <v>0.291050286854982</v>
      </c>
    </row>
    <row r="882" spans="1:9">
      <c r="A882" s="1" t="s">
        <v>894</v>
      </c>
      <c r="B882">
        <f>HYPERLINK("https://www.suredividend.com/sure-analysis-research-database/","DXC Technology Co")</f>
        <v>0</v>
      </c>
      <c r="C882">
        <v>-0.04609279609279601</v>
      </c>
      <c r="D882">
        <v>-0.08061194468961401</v>
      </c>
      <c r="E882">
        <v>-0.105097365406643</v>
      </c>
      <c r="F882">
        <v>-0.029201615408511</v>
      </c>
      <c r="G882">
        <v>-0.012638230647709</v>
      </c>
      <c r="H882">
        <v>1.302873986735445</v>
      </c>
      <c r="I882">
        <v>-0.5005865112012451</v>
      </c>
    </row>
    <row r="883" spans="1:9">
      <c r="A883" s="1" t="s">
        <v>895</v>
      </c>
      <c r="B883">
        <f>HYPERLINK("https://www.suredividend.com/sure-analysis-research-database/","Dexcom Inc")</f>
        <v>0</v>
      </c>
      <c r="C883">
        <v>0.125285831885118</v>
      </c>
      <c r="D883">
        <v>0.100080475700809</v>
      </c>
      <c r="E883">
        <v>-0.09616691461421201</v>
      </c>
      <c r="F883">
        <v>-0.08350870658348</v>
      </c>
      <c r="G883">
        <v>0.230151984801519</v>
      </c>
      <c r="H883">
        <v>0.6067586319484121</v>
      </c>
      <c r="I883">
        <v>5.470023665527215</v>
      </c>
    </row>
    <row r="884" spans="1:9">
      <c r="A884" s="1" t="s">
        <v>896</v>
      </c>
      <c r="B884">
        <f>HYPERLINK("https://www.suredividend.com/sure-analysis-research-database/","Destination XL Group Inc")</f>
        <v>0</v>
      </c>
      <c r="C884">
        <v>0.155021834061135</v>
      </c>
      <c r="D884">
        <v>-0.067019400352733</v>
      </c>
      <c r="E884">
        <v>-0.137030995106035</v>
      </c>
      <c r="F884">
        <v>-0.06866197183098501</v>
      </c>
      <c r="G884">
        <v>23.88240827845719</v>
      </c>
      <c r="H884">
        <v>17.79218472468917</v>
      </c>
      <c r="I884">
        <v>1.034615384615384</v>
      </c>
    </row>
    <row r="885" spans="1:9">
      <c r="A885" s="1" t="s">
        <v>897</v>
      </c>
      <c r="B885">
        <f>HYPERLINK("https://www.suredividend.com/sure-analysis-research-database/","DXP Enterprises, Inc.")</f>
        <v>0</v>
      </c>
      <c r="C885">
        <v>-0.156428331654917</v>
      </c>
      <c r="D885">
        <v>-0.034575489819439</v>
      </c>
      <c r="E885">
        <v>-0.220533498759305</v>
      </c>
      <c r="F885">
        <v>-0.02103622906116</v>
      </c>
      <c r="G885">
        <v>-0.168706582864703</v>
      </c>
      <c r="H885">
        <v>1.002390438247011</v>
      </c>
      <c r="I885">
        <v>-0.29131415679639</v>
      </c>
    </row>
    <row r="886" spans="1:9">
      <c r="A886" s="1" t="s">
        <v>898</v>
      </c>
      <c r="B886">
        <f>HYPERLINK("https://www.suredividend.com/sure-analysis-research-database/","Dixie Group Inc.")</f>
        <v>0</v>
      </c>
      <c r="C886">
        <v>0</v>
      </c>
      <c r="D886">
        <v>-0.4402985074626861</v>
      </c>
      <c r="E886">
        <v>-0.368421052631579</v>
      </c>
      <c r="F886">
        <v>-0.476439790575916</v>
      </c>
      <c r="G886">
        <v>-0.214659685863874</v>
      </c>
      <c r="H886">
        <v>3.477611940298507</v>
      </c>
      <c r="I886">
        <v>-0.154929577464788</v>
      </c>
    </row>
    <row r="887" spans="1:9">
      <c r="A887" s="1" t="s">
        <v>899</v>
      </c>
      <c r="B887">
        <f>HYPERLINK("https://www.suredividend.com/sure-analysis-research-database/","Dycom Industries, Inc.")</f>
        <v>0</v>
      </c>
      <c r="C887">
        <v>-0.05252626313156501</v>
      </c>
      <c r="D887">
        <v>-0.017940474955926</v>
      </c>
      <c r="E887">
        <v>0.347850839738115</v>
      </c>
      <c r="F887">
        <v>0.010025597269624</v>
      </c>
      <c r="G887">
        <v>-0.011482254697285</v>
      </c>
      <c r="H887">
        <v>2.65919629057187</v>
      </c>
      <c r="I887">
        <v>-0.014978156854587</v>
      </c>
    </row>
    <row r="888" spans="1:9">
      <c r="A888" s="1" t="s">
        <v>900</v>
      </c>
      <c r="B888">
        <f>HYPERLINK("https://www.suredividend.com/sure-analysis-research-database/","Dyadic International Inc., DE")</f>
        <v>0</v>
      </c>
      <c r="C888">
        <v>-0.259365994236311</v>
      </c>
      <c r="D888">
        <v>-0.368550368550368</v>
      </c>
      <c r="E888">
        <v>-0.470103092783505</v>
      </c>
      <c r="F888">
        <v>-0.4314159292035391</v>
      </c>
      <c r="G888">
        <v>-0.487025948103792</v>
      </c>
      <c r="H888">
        <v>-0.535262206148282</v>
      </c>
      <c r="I888">
        <v>0.6163522012578611</v>
      </c>
    </row>
    <row r="889" spans="1:9">
      <c r="A889" s="1" t="s">
        <v>901</v>
      </c>
      <c r="B889">
        <f>HYPERLINK("https://www.suredividend.com/sure-analysis-research-database/","DZS Inc")</f>
        <v>0</v>
      </c>
      <c r="C889">
        <v>-0.096541786743516</v>
      </c>
      <c r="D889">
        <v>-0.162324649298597</v>
      </c>
      <c r="E889">
        <v>0.059121621621621</v>
      </c>
      <c r="F889">
        <v>-0.226880394574599</v>
      </c>
      <c r="G889">
        <v>-0.172823218997361</v>
      </c>
      <c r="H889">
        <v>1.370510396975425</v>
      </c>
      <c r="I889">
        <v>1.072727272727272</v>
      </c>
    </row>
    <row r="890" spans="1:9">
      <c r="A890" s="1" t="s">
        <v>902</v>
      </c>
      <c r="B890">
        <f>HYPERLINK("https://www.suredividend.com/sure-analysis-research-database/","Electronic Arts, Inc.")</f>
        <v>0</v>
      </c>
      <c r="C890">
        <v>-0.009693053311793001</v>
      </c>
      <c r="D890">
        <v>-0.05883725714777</v>
      </c>
      <c r="E890">
        <v>-0.087712770905032</v>
      </c>
      <c r="F890">
        <v>-0.069254735716931</v>
      </c>
      <c r="G890">
        <v>-0.1274244930379</v>
      </c>
      <c r="H890">
        <v>0.044822546350151</v>
      </c>
      <c r="I890">
        <v>0.386133016761355</v>
      </c>
    </row>
    <row r="891" spans="1:9">
      <c r="A891" s="1" t="s">
        <v>903</v>
      </c>
      <c r="B891">
        <f>HYPERLINK("https://www.suredividend.com/sure-analysis-EAF/","GrafTech International Ltd.")</f>
        <v>0</v>
      </c>
      <c r="C891">
        <v>-0.034653465346534</v>
      </c>
      <c r="D891">
        <v>-0.163657262457217</v>
      </c>
      <c r="E891">
        <v>-0.106291706387035</v>
      </c>
      <c r="F891">
        <v>-0.174966364013302</v>
      </c>
      <c r="G891">
        <v>-0.188027781941737</v>
      </c>
      <c r="H891">
        <v>0.330567572362405</v>
      </c>
      <c r="I891">
        <v>-0.284776373412753</v>
      </c>
    </row>
    <row r="892" spans="1:9">
      <c r="A892" s="1" t="s">
        <v>904</v>
      </c>
      <c r="B892">
        <f>HYPERLINK("https://www.suredividend.com/sure-analysis-EARN/","Ellington Residential Mortgage REIT")</f>
        <v>0</v>
      </c>
      <c r="C892">
        <v>-0.005107187224599</v>
      </c>
      <c r="D892">
        <v>-0.108654705960693</v>
      </c>
      <c r="E892">
        <v>-0.160898027170068</v>
      </c>
      <c r="F892">
        <v>-0.0709157974061</v>
      </c>
      <c r="G892">
        <v>-0.141493270296766</v>
      </c>
      <c r="H892">
        <v>0.505607867082302</v>
      </c>
      <c r="I892">
        <v>0.128154498169909</v>
      </c>
    </row>
    <row r="893" spans="1:9">
      <c r="A893" s="1" t="s">
        <v>905</v>
      </c>
      <c r="B893">
        <f>HYPERLINK("https://www.suredividend.com/sure-analysis-research-database/","Brinker International, Inc.")</f>
        <v>0</v>
      </c>
      <c r="C893">
        <v>0.006707657909446001</v>
      </c>
      <c r="D893">
        <v>-0.011254460609387</v>
      </c>
      <c r="E893">
        <v>-0.242322254943205</v>
      </c>
      <c r="F893">
        <v>-0.015578026783274</v>
      </c>
      <c r="G893">
        <v>-0.4766056378959601</v>
      </c>
      <c r="H893">
        <v>1.484137931034482</v>
      </c>
      <c r="I893">
        <v>-0.061010834089321</v>
      </c>
    </row>
    <row r="894" spans="1:9">
      <c r="A894" s="1" t="s">
        <v>906</v>
      </c>
      <c r="B894">
        <f>HYPERLINK("https://www.suredividend.com/sure-analysis-research-database/","Eventbrite Inc")</f>
        <v>0</v>
      </c>
      <c r="C894">
        <v>-0.103887399463806</v>
      </c>
      <c r="D894">
        <v>-0.176724137931034</v>
      </c>
      <c r="E894">
        <v>-0.3537941034316091</v>
      </c>
      <c r="F894">
        <v>-0.233371559633027</v>
      </c>
      <c r="G894">
        <v>-0.398830935251798</v>
      </c>
      <c r="H894">
        <v>0.677540777917189</v>
      </c>
      <c r="I894">
        <v>-0.633698630136986</v>
      </c>
    </row>
    <row r="895" spans="1:9">
      <c r="A895" s="1" t="s">
        <v>907</v>
      </c>
      <c r="B895">
        <f>HYPERLINK("https://www.suredividend.com/sure-analysis-EBAY/","EBay Inc.")</f>
        <v>0</v>
      </c>
      <c r="C895">
        <v>-0.011320065729414</v>
      </c>
      <c r="D895">
        <v>-0.143036199796797</v>
      </c>
      <c r="E895">
        <v>-0.272183288844444</v>
      </c>
      <c r="F895">
        <v>-0.182340363847213</v>
      </c>
      <c r="G895">
        <v>-0.155920171715298</v>
      </c>
      <c r="H895">
        <v>0.4915506342188981</v>
      </c>
      <c r="I895">
        <v>0.6426313650069461</v>
      </c>
    </row>
    <row r="896" spans="1:9">
      <c r="A896" s="1" t="s">
        <v>908</v>
      </c>
      <c r="B896">
        <f>HYPERLINK("https://www.suredividend.com/sure-analysis-research-database/","Ennis Inc.")</f>
        <v>0</v>
      </c>
      <c r="C896">
        <v>0.006978182139386</v>
      </c>
      <c r="D896">
        <v>-0.049455417166084</v>
      </c>
      <c r="E896">
        <v>-0.006687433289040001</v>
      </c>
      <c r="F896">
        <v>-0.041276615874651</v>
      </c>
      <c r="G896">
        <v>-0.08091384575073801</v>
      </c>
      <c r="H896">
        <v>0.186742833348514</v>
      </c>
      <c r="I896">
        <v>0.476432925101787</v>
      </c>
    </row>
    <row r="897" spans="1:9">
      <c r="A897" s="1" t="s">
        <v>909</v>
      </c>
      <c r="B897">
        <f>HYPERLINK("https://www.suredividend.com/sure-analysis-research-database/","Ebix Inc.")</f>
        <v>0</v>
      </c>
      <c r="C897">
        <v>-0.065483119906868</v>
      </c>
      <c r="D897">
        <v>0.006832413042728001</v>
      </c>
      <c r="E897">
        <v>0.06202124703983401</v>
      </c>
      <c r="F897">
        <v>0.05916269741789901</v>
      </c>
      <c r="G897">
        <v>0.113894015291326</v>
      </c>
      <c r="H897">
        <v>0.9856287721381221</v>
      </c>
      <c r="I897">
        <v>-0.444495383481565</v>
      </c>
    </row>
    <row r="898" spans="1:9">
      <c r="A898" s="1" t="s">
        <v>910</v>
      </c>
      <c r="B898">
        <f>HYPERLINK("https://www.suredividend.com/sure-analysis-research-database/","Eagle Bancorp Montana Inc")</f>
        <v>0</v>
      </c>
      <c r="C898">
        <v>-0.033632286995515</v>
      </c>
      <c r="D898">
        <v>-0.081062641251972</v>
      </c>
      <c r="E898">
        <v>-0.031582542421627</v>
      </c>
      <c r="F898">
        <v>-0.05707022310899901</v>
      </c>
      <c r="G898">
        <v>-0.06671170702976101</v>
      </c>
      <c r="H898">
        <v>0.440604318470486</v>
      </c>
      <c r="I898">
        <v>0.309369740495677</v>
      </c>
    </row>
    <row r="899" spans="1:9">
      <c r="A899" s="1" t="s">
        <v>911</v>
      </c>
      <c r="B899">
        <f>HYPERLINK("https://www.suredividend.com/sure-analysis-research-database/","Emergent Biosolutions Inc")</f>
        <v>0</v>
      </c>
      <c r="C899">
        <v>0.057741440981093</v>
      </c>
      <c r="D899">
        <v>-0.207200306396016</v>
      </c>
      <c r="E899">
        <v>-0.183270862102978</v>
      </c>
      <c r="F899">
        <v>-0.04761904761904701</v>
      </c>
      <c r="G899">
        <v>-0.466769706336939</v>
      </c>
      <c r="H899">
        <v>-0.34864694776589</v>
      </c>
      <c r="I899">
        <v>0.419753086419752</v>
      </c>
    </row>
    <row r="900" spans="1:9">
      <c r="A900" s="1" t="s">
        <v>912</v>
      </c>
      <c r="B900">
        <f>HYPERLINK("https://www.suredividend.com/sure-analysis-research-database/","Meridian Bancorp Inc")</f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913</v>
      </c>
      <c r="B901">
        <f>HYPERLINK("https://www.suredividend.com/sure-analysis-EBTC/","Enterprise Bancorp, Inc.")</f>
        <v>0</v>
      </c>
      <c r="C901">
        <v>-0.03450038333759201</v>
      </c>
      <c r="D901">
        <v>-0.140834468502191</v>
      </c>
      <c r="E901">
        <v>-0.01015780358785</v>
      </c>
      <c r="F901">
        <v>-0.154605587032213</v>
      </c>
      <c r="G901">
        <v>0.136787627128843</v>
      </c>
      <c r="H901">
        <v>0.82912363771926</v>
      </c>
      <c r="I901">
        <v>0.265216590479061</v>
      </c>
    </row>
    <row r="902" spans="1:9">
      <c r="A902" s="1" t="s">
        <v>914</v>
      </c>
      <c r="B902">
        <f>HYPERLINK("https://www.suredividend.com/sure-analysis-research-database/","Echo Global Logistics Inc")</f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915</v>
      </c>
      <c r="B903">
        <f>HYPERLINK("https://www.suredividend.com/sure-analysis-ECL/","Ecolab, Inc.")</f>
        <v>0</v>
      </c>
      <c r="C903">
        <v>0.034200046849379</v>
      </c>
      <c r="D903">
        <v>-0.179887840606604</v>
      </c>
      <c r="E903">
        <v>-0.193682783118475</v>
      </c>
      <c r="F903">
        <v>-0.244772422475846</v>
      </c>
      <c r="G903">
        <v>-0.200822889952949</v>
      </c>
      <c r="H903">
        <v>0.043269083081082</v>
      </c>
      <c r="I903">
        <v>0.493404412392719</v>
      </c>
    </row>
    <row r="904" spans="1:9">
      <c r="A904" s="1" t="s">
        <v>916</v>
      </c>
      <c r="B904">
        <f>HYPERLINK("https://www.suredividend.com/sure-analysis-research-database/","US Ecology Inc.")</f>
        <v>0</v>
      </c>
      <c r="C904">
        <v>0.008201892744479</v>
      </c>
      <c r="D904">
        <v>0.522388059701492</v>
      </c>
      <c r="E904">
        <v>0.526751592356687</v>
      </c>
      <c r="F904">
        <v>0.5009392611145891</v>
      </c>
      <c r="G904">
        <v>0.131460939343875</v>
      </c>
      <c r="H904">
        <v>0.540488431876606</v>
      </c>
      <c r="I904">
        <v>-0.214421606847018</v>
      </c>
    </row>
    <row r="905" spans="1:9">
      <c r="A905" s="1" t="s">
        <v>917</v>
      </c>
      <c r="B905">
        <f>HYPERLINK("https://www.suredividend.com/sure-analysis-research-database/","ChannelAdvisor Corp")</f>
        <v>0</v>
      </c>
      <c r="C905">
        <v>-0.094146047073023</v>
      </c>
      <c r="D905">
        <v>-0.325999101930848</v>
      </c>
      <c r="E905">
        <v>-0.42357910906298</v>
      </c>
      <c r="F905">
        <v>-0.3918152350081031</v>
      </c>
      <c r="G905">
        <v>-0.393044884755357</v>
      </c>
      <c r="H905">
        <v>0.878598247809762</v>
      </c>
      <c r="I905">
        <v>0.328318584070796</v>
      </c>
    </row>
    <row r="906" spans="1:9">
      <c r="A906" s="1" t="s">
        <v>918</v>
      </c>
      <c r="B906">
        <f>HYPERLINK("https://www.suredividend.com/sure-analysis-research-database/","Encore Capital Group, Inc.")</f>
        <v>0</v>
      </c>
      <c r="C906">
        <v>-0.06072106261859501</v>
      </c>
      <c r="D906">
        <v>-0.118955799466033</v>
      </c>
      <c r="E906">
        <v>0.161290322580645</v>
      </c>
      <c r="F906">
        <v>-0.043632265335694</v>
      </c>
      <c r="G906">
        <v>0.532903225806451</v>
      </c>
      <c r="H906">
        <v>1.448979591836734</v>
      </c>
      <c r="I906">
        <v>0.9411764705882351</v>
      </c>
    </row>
    <row r="907" spans="1:9">
      <c r="A907" s="1" t="s">
        <v>919</v>
      </c>
      <c r="B907">
        <f>HYPERLINK("https://www.suredividend.com/sure-analysis-ED/","Consolidated Edison, Inc.")</f>
        <v>0</v>
      </c>
      <c r="C907">
        <v>0.093596608656849</v>
      </c>
      <c r="D907">
        <v>0.185007712281142</v>
      </c>
      <c r="E907">
        <v>0.342222149198472</v>
      </c>
      <c r="F907">
        <v>0.160007147243873</v>
      </c>
      <c r="G907">
        <v>0.303654568110399</v>
      </c>
      <c r="H907">
        <v>0.18862422475098</v>
      </c>
      <c r="I907">
        <v>0.474048890365828</v>
      </c>
    </row>
    <row r="908" spans="1:9">
      <c r="A908" s="1" t="s">
        <v>920</v>
      </c>
      <c r="B908">
        <f>HYPERLINK("https://www.suredividend.com/sure-analysis-research-database/","Editas Medicine Inc")</f>
        <v>0</v>
      </c>
      <c r="C908">
        <v>0.031559405940594</v>
      </c>
      <c r="D908">
        <v>-0.245701357466063</v>
      </c>
      <c r="E908">
        <v>-0.561546554445028</v>
      </c>
      <c r="F908">
        <v>-0.372128060263653</v>
      </c>
      <c r="G908">
        <v>-0.519180847995385</v>
      </c>
      <c r="H908">
        <v>-0.283010752688172</v>
      </c>
      <c r="I908">
        <v>-0.186035156249999</v>
      </c>
    </row>
    <row r="909" spans="1:9">
      <c r="A909" s="1" t="s">
        <v>921</v>
      </c>
      <c r="B909">
        <f>HYPERLINK("https://www.suredividend.com/sure-analysis-research-database/","Educational Development Corp.")</f>
        <v>0</v>
      </c>
      <c r="C909">
        <v>-0.078455790784557</v>
      </c>
      <c r="D909">
        <v>-0.04339620202438001</v>
      </c>
      <c r="E909">
        <v>-0.248898723127829</v>
      </c>
      <c r="F909">
        <v>-0.171304747079969</v>
      </c>
      <c r="G909">
        <v>-0.558951496584854</v>
      </c>
      <c r="H909">
        <v>0.684574758696048</v>
      </c>
      <c r="I909">
        <v>1.121255553963021</v>
      </c>
    </row>
    <row r="910" spans="1:9">
      <c r="A910" s="1" t="s">
        <v>922</v>
      </c>
      <c r="B910">
        <f>HYPERLINK("https://www.suredividend.com/sure-analysis-research-database/","Excelerate Energy Inc")</f>
        <v>0</v>
      </c>
      <c r="C910">
        <v>0.042830540037243</v>
      </c>
      <c r="D910">
        <v>0.042830540037243</v>
      </c>
      <c r="E910">
        <v>0.042830540037243</v>
      </c>
      <c r="F910">
        <v>0.042830540037243</v>
      </c>
      <c r="G910">
        <v>0.042830540037243</v>
      </c>
      <c r="H910">
        <v>0.042830540037243</v>
      </c>
      <c r="I910">
        <v>0.042830540037243</v>
      </c>
    </row>
    <row r="911" spans="1:9">
      <c r="A911" s="1" t="s">
        <v>923</v>
      </c>
      <c r="B911">
        <f>HYPERLINK("https://www.suredividend.com/sure-analysis-research-database/","Euronet Worldwide Inc")</f>
        <v>0</v>
      </c>
      <c r="C911">
        <v>0.03431639561123601</v>
      </c>
      <c r="D911">
        <v>0.035202492211837</v>
      </c>
      <c r="E911">
        <v>-0.018606024808033</v>
      </c>
      <c r="F911">
        <v>0.115381387933204</v>
      </c>
      <c r="G911">
        <v>-0.107739813385245</v>
      </c>
      <c r="H911">
        <v>0.6233512457254511</v>
      </c>
      <c r="I911">
        <v>0.5715299125088671</v>
      </c>
    </row>
    <row r="912" spans="1:9">
      <c r="A912" s="1" t="s">
        <v>924</v>
      </c>
      <c r="B912">
        <f>HYPERLINK("https://www.suredividend.com/sure-analysis-research-database/","Emerald Holding Inc")</f>
        <v>0</v>
      </c>
      <c r="C912">
        <v>-0.163888888888888</v>
      </c>
      <c r="D912">
        <v>-0.112094395280236</v>
      </c>
      <c r="E912">
        <v>-0.298368298368298</v>
      </c>
      <c r="F912">
        <v>-0.241813602015113</v>
      </c>
      <c r="G912">
        <v>-0.433145009416195</v>
      </c>
      <c r="H912">
        <v>0.4198113207547161</v>
      </c>
      <c r="I912">
        <v>-0.8356565276026051</v>
      </c>
    </row>
    <row r="913" spans="1:9">
      <c r="A913" s="1" t="s">
        <v>925</v>
      </c>
      <c r="B913">
        <f>HYPERLINK("https://www.suredividend.com/sure-analysis-EFC/","Ellington Financial Inc")</f>
        <v>0</v>
      </c>
      <c r="C913">
        <v>-0.031779804884673</v>
      </c>
      <c r="D913">
        <v>-0.008242427052781</v>
      </c>
      <c r="E913">
        <v>-0.012119007615517</v>
      </c>
      <c r="F913">
        <v>0.027158774373259</v>
      </c>
      <c r="G913">
        <v>0.071591855651378</v>
      </c>
      <c r="H913">
        <v>1.219310988896959</v>
      </c>
      <c r="I913">
        <v>0.47464405143586</v>
      </c>
    </row>
    <row r="914" spans="1:9">
      <c r="A914" s="1" t="s">
        <v>926</v>
      </c>
      <c r="B914">
        <f>HYPERLINK("https://www.suredividend.com/sure-analysis-research-database/","Energy Focus Inc")</f>
        <v>0</v>
      </c>
      <c r="C914">
        <v>-0.223684210526315</v>
      </c>
      <c r="D914">
        <v>-0.4537037037037031</v>
      </c>
      <c r="E914">
        <v>-0.606666666666666</v>
      </c>
      <c r="F914">
        <v>-0.723653395784543</v>
      </c>
      <c r="G914">
        <v>-0.7197149643705461</v>
      </c>
      <c r="H914">
        <v>-0.44988344988345</v>
      </c>
      <c r="I914">
        <v>-0.9241157556270091</v>
      </c>
    </row>
    <row r="915" spans="1:9">
      <c r="A915" s="1" t="s">
        <v>927</v>
      </c>
      <c r="B915">
        <f>HYPERLINK("https://www.suredividend.com/sure-analysis-research-database/","Enterprise Financial Services Corp.")</f>
        <v>0</v>
      </c>
      <c r="C915">
        <v>-0.08400321543408301</v>
      </c>
      <c r="D915">
        <v>-0.08390379984966201</v>
      </c>
      <c r="E915">
        <v>-0.04103680794437201</v>
      </c>
      <c r="F915">
        <v>-0.02787553053085</v>
      </c>
      <c r="G915">
        <v>-0.07718783216075301</v>
      </c>
      <c r="H915">
        <v>0.8400846164404571</v>
      </c>
      <c r="I915">
        <v>0.226663652486563</v>
      </c>
    </row>
    <row r="916" spans="1:9">
      <c r="A916" s="1" t="s">
        <v>928</v>
      </c>
      <c r="B916">
        <f>HYPERLINK("https://www.suredividend.com/sure-analysis-research-database/","Equifax, Inc.")</f>
        <v>0</v>
      </c>
      <c r="C916">
        <v>-0.07462686567164101</v>
      </c>
      <c r="D916">
        <v>-0.131147080199645</v>
      </c>
      <c r="E916">
        <v>-0.177571940600306</v>
      </c>
      <c r="F916">
        <v>-0.25961004806136</v>
      </c>
      <c r="G916">
        <v>0.14013525867497</v>
      </c>
      <c r="H916">
        <v>0.8018813246550791</v>
      </c>
      <c r="I916">
        <v>0.6920868080101591</v>
      </c>
    </row>
    <row r="917" spans="1:9">
      <c r="A917" s="1" t="s">
        <v>929</v>
      </c>
      <c r="B917">
        <f>HYPERLINK("https://www.suredividend.com/sure-analysis-research-database/","eGain Corp")</f>
        <v>0</v>
      </c>
      <c r="C917">
        <v>-0.08753096614368201</v>
      </c>
      <c r="D917">
        <v>0.07385811467444101</v>
      </c>
      <c r="E917">
        <v>0.094059405940594</v>
      </c>
      <c r="F917">
        <v>0.107214428857715</v>
      </c>
      <c r="G917">
        <v>0.129856850715746</v>
      </c>
      <c r="H917">
        <v>0.3881909547738691</v>
      </c>
      <c r="I917">
        <v>7.185185185185185</v>
      </c>
    </row>
    <row r="918" spans="1:9">
      <c r="A918" s="1" t="s">
        <v>930</v>
      </c>
      <c r="B918">
        <f>HYPERLINK("https://www.suredividend.com/sure-analysis-research-database/","Eagle Bancorp Inc (MD)")</f>
        <v>0</v>
      </c>
      <c r="C918">
        <v>-0.092477148494139</v>
      </c>
      <c r="D918">
        <v>-0.136718637884243</v>
      </c>
      <c r="E918">
        <v>-0.05109105249320801</v>
      </c>
      <c r="F918">
        <v>-0.06509779001136201</v>
      </c>
      <c r="G918">
        <v>0.020346623847539</v>
      </c>
      <c r="H918">
        <v>1.014046991949764</v>
      </c>
      <c r="I918">
        <v>0.050434026767247</v>
      </c>
    </row>
    <row r="919" spans="1:9">
      <c r="A919" s="1" t="s">
        <v>931</v>
      </c>
      <c r="B919">
        <f>HYPERLINK("https://www.suredividend.com/sure-analysis-research-database/","8X8 Inc.")</f>
        <v>0</v>
      </c>
      <c r="C919">
        <v>-0.01080108010801</v>
      </c>
      <c r="D919">
        <v>-0.333535476046088</v>
      </c>
      <c r="E919">
        <v>-0.5430353430353431</v>
      </c>
      <c r="F919">
        <v>-0.3442720763723151</v>
      </c>
      <c r="G919">
        <v>-0.6759068121498081</v>
      </c>
      <c r="H919">
        <v>-0.355425219941349</v>
      </c>
      <c r="I919">
        <v>-0.257432432432432</v>
      </c>
    </row>
    <row r="920" spans="1:9">
      <c r="A920" s="1" t="s">
        <v>932</v>
      </c>
      <c r="B920">
        <f>HYPERLINK("https://www.suredividend.com/sure-analysis-research-database/","Eagle Bulk Shipping Inc")</f>
        <v>0</v>
      </c>
      <c r="C920">
        <v>0.141754739137728</v>
      </c>
      <c r="D920">
        <v>0.579268561510491</v>
      </c>
      <c r="E920">
        <v>0.6662790270654051</v>
      </c>
      <c r="F920">
        <v>0.5438637879330911</v>
      </c>
      <c r="G920">
        <v>0.9773962055841251</v>
      </c>
      <c r="H920">
        <v>5.674184849227752</v>
      </c>
      <c r="I920">
        <v>1.020148053166165</v>
      </c>
    </row>
    <row r="921" spans="1:9">
      <c r="A921" s="1" t="s">
        <v>933</v>
      </c>
      <c r="B921">
        <f>HYPERLINK("https://www.suredividend.com/sure-analysis-research-database/","NIC Inc")</f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 t="s">
        <v>934</v>
      </c>
      <c r="B922">
        <f>HYPERLINK("https://www.suredividend.com/sure-analysis-EGP/","Eastgroup Properties, Inc.")</f>
        <v>0</v>
      </c>
      <c r="C922">
        <v>0.044472555782124</v>
      </c>
      <c r="D922">
        <v>-0.035155419190208</v>
      </c>
      <c r="E922">
        <v>0.104673576307899</v>
      </c>
      <c r="F922">
        <v>-0.121286315054706</v>
      </c>
      <c r="G922">
        <v>0.337862966287062</v>
      </c>
      <c r="H922">
        <v>0.9670826036410041</v>
      </c>
      <c r="I922">
        <v>1.925153381442057</v>
      </c>
    </row>
    <row r="923" spans="1:9">
      <c r="A923" s="1" t="s">
        <v>935</v>
      </c>
      <c r="B923">
        <f>HYPERLINK("https://www.suredividend.com/sure-analysis-research-database/","Eagle Pharmaceuticals Inc")</f>
        <v>0</v>
      </c>
      <c r="C923">
        <v>-0.012915851272015</v>
      </c>
      <c r="D923">
        <v>0.06841770811268701</v>
      </c>
      <c r="E923">
        <v>-0.07245310776020601</v>
      </c>
      <c r="F923">
        <v>-0.009426551453260001</v>
      </c>
      <c r="G923">
        <v>0.13937203523831</v>
      </c>
      <c r="H923">
        <v>-0.020011657276083</v>
      </c>
      <c r="I923">
        <v>-0.422089825847846</v>
      </c>
    </row>
    <row r="924" spans="1:9">
      <c r="A924" s="1" t="s">
        <v>936</v>
      </c>
      <c r="B924">
        <f>HYPERLINK("https://www.suredividend.com/sure-analysis-research-database/","VAALCO Energy, Inc.")</f>
        <v>0</v>
      </c>
      <c r="C924">
        <v>0.393596986817325</v>
      </c>
      <c r="D924">
        <v>0.815594484518376</v>
      </c>
      <c r="E924">
        <v>1.297494489117948</v>
      </c>
      <c r="F924">
        <v>1.318949578515245</v>
      </c>
      <c r="G924">
        <v>2.194750248240729</v>
      </c>
      <c r="H924">
        <v>8.649237188681706</v>
      </c>
      <c r="I924">
        <v>5.892697466467958</v>
      </c>
    </row>
    <row r="925" spans="1:9">
      <c r="A925" s="1" t="s">
        <v>937</v>
      </c>
      <c r="B925">
        <f>HYPERLINK("https://www.suredividend.com/sure-analysis-research-database/","Encompass Health Corp")</f>
        <v>0</v>
      </c>
      <c r="C925">
        <v>0.077965275238145</v>
      </c>
      <c r="D925">
        <v>0.132304990647965</v>
      </c>
      <c r="E925">
        <v>0.107531002071029</v>
      </c>
      <c r="F925">
        <v>0.142714732066624</v>
      </c>
      <c r="G925">
        <v>-0.111806233140102</v>
      </c>
      <c r="H925">
        <v>0.09409383754739101</v>
      </c>
      <c r="I925">
        <v>0.732049918853881</v>
      </c>
    </row>
    <row r="926" spans="1:9">
      <c r="A926" s="1" t="s">
        <v>938</v>
      </c>
      <c r="B926">
        <f>HYPERLINK("https://www.suredividend.com/sure-analysis-research-database/","eHealth Inc")</f>
        <v>0</v>
      </c>
      <c r="C926">
        <v>-0.243156199677938</v>
      </c>
      <c r="D926">
        <v>-0.6272799365582871</v>
      </c>
      <c r="E926">
        <v>-0.793542719086316</v>
      </c>
      <c r="F926">
        <v>-0.631372549019607</v>
      </c>
      <c r="G926">
        <v>-0.8660014255167491</v>
      </c>
      <c r="H926">
        <v>-0.9248000000000001</v>
      </c>
      <c r="I926">
        <v>-0.124767225325884</v>
      </c>
    </row>
    <row r="927" spans="1:9">
      <c r="A927" s="1" t="s">
        <v>939</v>
      </c>
      <c r="B927">
        <f>HYPERLINK("https://www.suredividend.com/sure-analysis-research-database/","Eidos Therapeutics Inc")</f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940</v>
      </c>
      <c r="B928">
        <f>HYPERLINK("https://www.suredividend.com/sure-analysis-research-database/","Employers Holdings Inc")</f>
        <v>0</v>
      </c>
      <c r="C928">
        <v>0.012754476330635</v>
      </c>
      <c r="D928">
        <v>-0.005458057740759001</v>
      </c>
      <c r="E928">
        <v>0.04130413949289</v>
      </c>
      <c r="F928">
        <v>0.004156219372505</v>
      </c>
      <c r="G928">
        <v>0.062663427289011</v>
      </c>
      <c r="H928">
        <v>0.368714157854609</v>
      </c>
      <c r="I928">
        <v>0.2535292510398</v>
      </c>
    </row>
    <row r="929" spans="1:9">
      <c r="A929" s="1" t="s">
        <v>941</v>
      </c>
      <c r="B929">
        <f>HYPERLINK("https://www.suredividend.com/sure-analysis-research-database/","Endurance International Group Holdings Inc")</f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942</v>
      </c>
      <c r="B930">
        <f>HYPERLINK("https://www.suredividend.com/sure-analysis-research-database/","Eiger BioPharmaceuticals Inc")</f>
        <v>0</v>
      </c>
      <c r="C930">
        <v>0.239015817223198</v>
      </c>
      <c r="D930">
        <v>0.49364406779661</v>
      </c>
      <c r="E930">
        <v>0.07633587786259501</v>
      </c>
      <c r="F930">
        <v>0.358381502890173</v>
      </c>
      <c r="G930">
        <v>-0.150602409638554</v>
      </c>
      <c r="H930">
        <v>-0.09846547314578001</v>
      </c>
      <c r="I930">
        <v>-0.170588235294117</v>
      </c>
    </row>
    <row r="931" spans="1:9">
      <c r="A931" s="1" t="s">
        <v>943</v>
      </c>
      <c r="B931">
        <f>HYPERLINK("https://www.suredividend.com/sure-analysis-EIX/","Edison International")</f>
        <v>0</v>
      </c>
      <c r="C931">
        <v>0.094382909102542</v>
      </c>
      <c r="D931">
        <v>0.138329900174298</v>
      </c>
      <c r="E931">
        <v>0.278437402124085</v>
      </c>
      <c r="F931">
        <v>0.06327397805665301</v>
      </c>
      <c r="G931">
        <v>0.222900098049896</v>
      </c>
      <c r="H931">
        <v>0.313021466365704</v>
      </c>
      <c r="I931">
        <v>0.08108921544284101</v>
      </c>
    </row>
    <row r="932" spans="1:9">
      <c r="A932" s="1" t="s">
        <v>944</v>
      </c>
      <c r="B932">
        <f>HYPERLINK("https://www.suredividend.com/sure-analysis-research-database/","Ekso Bionics Holdings Inc")</f>
        <v>0</v>
      </c>
      <c r="C932">
        <v>0.022727272727272</v>
      </c>
      <c r="D932">
        <v>0.06719367588932801</v>
      </c>
      <c r="E932">
        <v>-0.344660194174757</v>
      </c>
      <c r="F932">
        <v>0.018867924528301</v>
      </c>
      <c r="G932">
        <v>-0.505494505494505</v>
      </c>
      <c r="H932">
        <v>-0.176829268292682</v>
      </c>
      <c r="I932">
        <v>-0.9400000000000001</v>
      </c>
    </row>
    <row r="933" spans="1:9">
      <c r="A933" s="1" t="s">
        <v>945</v>
      </c>
      <c r="B933">
        <f>HYPERLINK("https://www.suredividend.com/sure-analysis-research-database/","Estee Lauder Cos., Inc.")</f>
        <v>0</v>
      </c>
      <c r="C933">
        <v>-0.025878617838157</v>
      </c>
      <c r="D933">
        <v>-0.178974631507809</v>
      </c>
      <c r="E933">
        <v>-0.174345283689541</v>
      </c>
      <c r="F933">
        <v>-0.285761074398106</v>
      </c>
      <c r="G933">
        <v>-0.148997240941143</v>
      </c>
      <c r="H933">
        <v>0.6484271629710791</v>
      </c>
      <c r="I933">
        <v>2.247978552780421</v>
      </c>
    </row>
    <row r="934" spans="1:9">
      <c r="A934" s="1" t="s">
        <v>946</v>
      </c>
      <c r="B934">
        <f>HYPERLINK("https://www.suredividend.com/sure-analysis-research-database/","Elanco Animal Health Inc")</f>
        <v>0</v>
      </c>
      <c r="C934">
        <v>-0.006058311245740001</v>
      </c>
      <c r="D934">
        <v>-0.028856825749167</v>
      </c>
      <c r="E934">
        <v>-0.193300553165334</v>
      </c>
      <c r="F934">
        <v>-0.07505285412262101</v>
      </c>
      <c r="G934">
        <v>-0.124416277518345</v>
      </c>
      <c r="H934">
        <v>0.15791795324217</v>
      </c>
      <c r="I934">
        <v>-0.270833333333333</v>
      </c>
    </row>
    <row r="935" spans="1:9">
      <c r="A935" s="1" t="s">
        <v>947</v>
      </c>
      <c r="B935">
        <f>HYPERLINK("https://www.suredividend.com/sure-analysis-research-database/","e.l.f. Beauty Inc")</f>
        <v>0</v>
      </c>
      <c r="C935">
        <v>0.021548284118116</v>
      </c>
      <c r="D935">
        <v>-0.138047138047137</v>
      </c>
      <c r="E935">
        <v>-0.12087912087912</v>
      </c>
      <c r="F935">
        <v>-0.229147847034025</v>
      </c>
      <c r="G935">
        <v>-0.1438127090301</v>
      </c>
      <c r="H935">
        <v>1.572864321608041</v>
      </c>
      <c r="I935">
        <v>-0.07179115300942701</v>
      </c>
    </row>
    <row r="936" spans="1:9">
      <c r="A936" s="1" t="s">
        <v>948</v>
      </c>
      <c r="B936">
        <f>HYPERLINK("https://www.suredividend.com/sure-analysis-research-database/","Electromed Inc.")</f>
        <v>0</v>
      </c>
      <c r="C936">
        <v>0.02</v>
      </c>
      <c r="D936">
        <v>0.003147128245476</v>
      </c>
      <c r="E936">
        <v>0.160145586897179</v>
      </c>
      <c r="F936">
        <v>-0.019230769230769</v>
      </c>
      <c r="G936">
        <v>0.247553816046966</v>
      </c>
      <c r="H936">
        <v>-0.016203703703703</v>
      </c>
      <c r="I936">
        <v>1.820796460176991</v>
      </c>
    </row>
    <row r="937" spans="1:9">
      <c r="A937" s="1" t="s">
        <v>949</v>
      </c>
      <c r="B937">
        <f>HYPERLINK("https://www.suredividend.com/sure-analysis-research-database/","Eloxx Pharmaceuticals Inc")</f>
        <v>0</v>
      </c>
      <c r="C937">
        <v>0.05676243868255</v>
      </c>
      <c r="D937">
        <v>-0.146576117713638</v>
      </c>
      <c r="E937">
        <v>-0.7043137254901961</v>
      </c>
      <c r="F937">
        <v>-0.359388275276125</v>
      </c>
      <c r="G937">
        <v>-0.821889763779527</v>
      </c>
      <c r="H937">
        <v>-0.7697709923664121</v>
      </c>
      <c r="I937">
        <v>-0.816842105263157</v>
      </c>
    </row>
    <row r="938" spans="1:9">
      <c r="A938" s="1" t="s">
        <v>950</v>
      </c>
      <c r="B938">
        <f>HYPERLINK("https://www.suredividend.com/sure-analysis-ELS/","Equity Lifestyle Properties Inc.")</f>
        <v>0</v>
      </c>
      <c r="C938">
        <v>0.058168350095952</v>
      </c>
      <c r="D938">
        <v>-0.016852354297743</v>
      </c>
      <c r="E938">
        <v>-0.04855579614878901</v>
      </c>
      <c r="F938">
        <v>-0.09670654664052601</v>
      </c>
      <c r="G938">
        <v>0.190621999440525</v>
      </c>
      <c r="H938">
        <v>0.32631266886315</v>
      </c>
      <c r="I938">
        <v>1.212885547670905</v>
      </c>
    </row>
    <row r="939" spans="1:9">
      <c r="A939" s="1" t="s">
        <v>951</v>
      </c>
      <c r="B939">
        <f>HYPERLINK("https://www.suredividend.com/sure-analysis-research-database/","Electro-Sensors, Inc.")</f>
        <v>0</v>
      </c>
      <c r="C939">
        <v>-0.055347091932457</v>
      </c>
      <c r="D939">
        <v>-0.215732087227414</v>
      </c>
      <c r="E939">
        <v>-0.04095238095238</v>
      </c>
      <c r="F939">
        <v>-0.198809751129781</v>
      </c>
      <c r="G939">
        <v>0.1903073286052</v>
      </c>
      <c r="H939">
        <v>0.530395136778115</v>
      </c>
      <c r="I939">
        <v>0.249379652605459</v>
      </c>
    </row>
    <row r="940" spans="1:9">
      <c r="A940" s="1" t="s">
        <v>952</v>
      </c>
      <c r="B940">
        <f>HYPERLINK("https://www.suredividend.com/sure-analysis-research-database/","Elevate Credit Inc")</f>
        <v>0</v>
      </c>
      <c r="C940">
        <v>-0.009966777408637001</v>
      </c>
      <c r="D940">
        <v>0.006756756756756001</v>
      </c>
      <c r="E940">
        <v>-0.196765498652291</v>
      </c>
      <c r="F940">
        <v>0.003367003367003</v>
      </c>
      <c r="G940">
        <v>0</v>
      </c>
      <c r="H940">
        <v>1.223880597014925</v>
      </c>
      <c r="I940">
        <v>-0.6073781291172591</v>
      </c>
    </row>
    <row r="941" spans="1:9">
      <c r="A941" s="1" t="s">
        <v>953</v>
      </c>
      <c r="B941">
        <f>HYPERLINK("https://www.suredividend.com/sure-analysis-research-database/","Callaway Golf Co.")</f>
        <v>0</v>
      </c>
      <c r="C941">
        <v>-0.07005838198498701</v>
      </c>
      <c r="D941">
        <v>-0.13966049382716</v>
      </c>
      <c r="E941">
        <v>-0.186725018234865</v>
      </c>
      <c r="F941">
        <v>-0.187317784256559</v>
      </c>
      <c r="G941">
        <v>-0.234728894989704</v>
      </c>
      <c r="H941">
        <v>1.101216444138736</v>
      </c>
      <c r="I941">
        <v>0.9562089897891151</v>
      </c>
    </row>
    <row r="942" spans="1:9">
      <c r="A942" s="1" t="s">
        <v>954</v>
      </c>
      <c r="B942">
        <f>HYPERLINK("https://www.suredividend.com/sure-analysis-research-database/","EMagin Corp")</f>
        <v>0</v>
      </c>
      <c r="C942">
        <v>-0.061403508771929</v>
      </c>
      <c r="D942">
        <v>-0.218978102189781</v>
      </c>
      <c r="E942">
        <v>-0.515837104072398</v>
      </c>
      <c r="F942">
        <v>-0.170542635658914</v>
      </c>
      <c r="G942">
        <v>-0.588461538461538</v>
      </c>
      <c r="H942">
        <v>3.331983805668017</v>
      </c>
      <c r="I942">
        <v>-0.554166666666666</v>
      </c>
    </row>
    <row r="943" spans="1:9">
      <c r="A943" s="1" t="s">
        <v>955</v>
      </c>
      <c r="B943">
        <f>HYPERLINK("https://www.suredividend.com/sure-analysis-research-database/","Emclaire Financial Corp.")</f>
        <v>0</v>
      </c>
      <c r="C943">
        <v>0.415420023014959</v>
      </c>
      <c r="D943">
        <v>0.279472954230235</v>
      </c>
      <c r="E943">
        <v>0.4003635632231891</v>
      </c>
      <c r="F943">
        <v>0.29098167085915</v>
      </c>
      <c r="G943">
        <v>0.385743738804204</v>
      </c>
      <c r="H943">
        <v>0.8025411433679671</v>
      </c>
      <c r="I943">
        <v>0.599001599001599</v>
      </c>
    </row>
    <row r="944" spans="1:9">
      <c r="A944" s="1" t="s">
        <v>956</v>
      </c>
      <c r="B944">
        <f>HYPERLINK("https://www.suredividend.com/sure-analysis-research-database/","Emcor Group, Inc.")</f>
        <v>0</v>
      </c>
      <c r="C944">
        <v>-0.011153611806919</v>
      </c>
      <c r="D944">
        <v>-0.06152870027547701</v>
      </c>
      <c r="E944">
        <v>0.007505636772015001</v>
      </c>
      <c r="F944">
        <v>-0.08075654090692301</v>
      </c>
      <c r="G944">
        <v>-0.02143955997022</v>
      </c>
      <c r="H944">
        <v>0.995287126684083</v>
      </c>
      <c r="I944">
        <v>0.978154805638037</v>
      </c>
    </row>
    <row r="945" spans="1:9">
      <c r="A945" s="1" t="s">
        <v>957</v>
      </c>
      <c r="B945">
        <f>HYPERLINK("https://www.suredividend.com/sure-analysis-research-database/","Emcore Corp.")</f>
        <v>0</v>
      </c>
      <c r="C945">
        <v>-0.008086253369272</v>
      </c>
      <c r="D945">
        <v>-0.41025641025641</v>
      </c>
      <c r="E945">
        <v>-0.51578947368421</v>
      </c>
      <c r="F945">
        <v>-0.4727793696275071</v>
      </c>
      <c r="G945">
        <v>-0.379426644182124</v>
      </c>
      <c r="H945">
        <v>0.511293634496919</v>
      </c>
      <c r="I945">
        <v>-0.5670588235294111</v>
      </c>
    </row>
    <row r="946" spans="1:9">
      <c r="A946" s="1" t="s">
        <v>958</v>
      </c>
      <c r="B946">
        <f>HYPERLINK("https://www.suredividend.com/sure-analysis-research-database/","Eastern Co.")</f>
        <v>0</v>
      </c>
      <c r="C946">
        <v>-0.022673931265716</v>
      </c>
      <c r="D946">
        <v>-0.140949932031932</v>
      </c>
      <c r="E946">
        <v>-0.051352044033472</v>
      </c>
      <c r="F946">
        <v>-0.06556174890102601</v>
      </c>
      <c r="G946">
        <v>-0.073355851380886</v>
      </c>
      <c r="H946">
        <v>0.363923495350061</v>
      </c>
      <c r="I946">
        <v>0.017310729336625</v>
      </c>
    </row>
    <row r="947" spans="1:9">
      <c r="A947" s="1" t="s">
        <v>959</v>
      </c>
      <c r="B947">
        <f>HYPERLINK("https://www.suredividend.com/sure-analysis-research-database/","Emmis Communications Corp.")</f>
        <v>0</v>
      </c>
      <c r="C947">
        <v>-0.029850746268656</v>
      </c>
      <c r="D947">
        <v>-0.029899009999502</v>
      </c>
      <c r="E947">
        <v>0.9500000000000001</v>
      </c>
      <c r="F947">
        <v>-0.029899009999502</v>
      </c>
      <c r="G947">
        <v>-0.266917293233082</v>
      </c>
      <c r="H947">
        <v>0.455223880597014</v>
      </c>
      <c r="I947">
        <v>0.455223880597014</v>
      </c>
    </row>
    <row r="948" spans="1:9">
      <c r="A948" s="1" t="s">
        <v>960</v>
      </c>
      <c r="B948">
        <f>HYPERLINK("https://www.suredividend.com/sure-analysis-EMN/","Eastman Chemical Co")</f>
        <v>0</v>
      </c>
      <c r="C948">
        <v>0.007563025210084001</v>
      </c>
      <c r="D948">
        <v>-0.147768331352348</v>
      </c>
      <c r="E948">
        <v>0.019073512871339</v>
      </c>
      <c r="F948">
        <v>-0.101036919050003</v>
      </c>
      <c r="G948">
        <v>-0.036741470730009</v>
      </c>
      <c r="H948">
        <v>1.186258440829607</v>
      </c>
      <c r="I948">
        <v>0.605547926148663</v>
      </c>
    </row>
    <row r="949" spans="1:9">
      <c r="A949" s="1" t="s">
        <v>961</v>
      </c>
      <c r="B949">
        <f>HYPERLINK("https://www.suredividend.com/sure-analysis-EMR/","Emerson Electric Co.")</f>
        <v>0</v>
      </c>
      <c r="C949">
        <v>-0.009598976109215</v>
      </c>
      <c r="D949">
        <v>-0.04228547854785401</v>
      </c>
      <c r="E949">
        <v>-0.019699955978341</v>
      </c>
      <c r="F949">
        <v>0.004070996448015</v>
      </c>
      <c r="G949">
        <v>0.028348805815275</v>
      </c>
      <c r="H949">
        <v>1.061256109850788</v>
      </c>
      <c r="I949">
        <v>0.8435979344397041</v>
      </c>
    </row>
    <row r="950" spans="1:9">
      <c r="A950" s="1" t="s">
        <v>962</v>
      </c>
      <c r="B950">
        <f>HYPERLINK("https://www.suredividend.com/sure-analysis-research-database/","Endo International plc")</f>
        <v>0</v>
      </c>
      <c r="C950">
        <v>0.152173913043478</v>
      </c>
      <c r="D950">
        <v>-0.18960244648318</v>
      </c>
      <c r="E950">
        <v>-0.364508393285371</v>
      </c>
      <c r="F950">
        <v>-0.295212765957446</v>
      </c>
      <c r="G950">
        <v>-0.576677316293929</v>
      </c>
      <c r="H950">
        <v>-0.309895833333333</v>
      </c>
      <c r="I950">
        <v>-0.7534883720930231</v>
      </c>
    </row>
    <row r="951" spans="1:9">
      <c r="A951" s="1" t="s">
        <v>963</v>
      </c>
      <c r="B951">
        <f>HYPERLINK("https://www.suredividend.com/sure-analysis-research-database/","Englobal Corporation")</f>
        <v>0</v>
      </c>
      <c r="C951">
        <v>-0.13235294117647</v>
      </c>
      <c r="D951">
        <v>0.044247787610619</v>
      </c>
      <c r="E951">
        <v>-0.495726495726495</v>
      </c>
      <c r="F951">
        <v>-0.106060606060606</v>
      </c>
      <c r="G951">
        <v>-0.66189111747851</v>
      </c>
      <c r="H951">
        <v>0.363058796349774</v>
      </c>
      <c r="I951">
        <v>-0.208053691275167</v>
      </c>
    </row>
    <row r="952" spans="1:9">
      <c r="A952" s="1" t="s">
        <v>964</v>
      </c>
      <c r="B952">
        <f>HYPERLINK("https://www.suredividend.com/sure-analysis-research-database/","Enochian Biosciences Inc")</f>
        <v>0</v>
      </c>
      <c r="C952">
        <v>-0.028387096774193</v>
      </c>
      <c r="D952">
        <v>0.316433566433566</v>
      </c>
      <c r="E952">
        <v>-0.128472222222222</v>
      </c>
      <c r="F952">
        <v>0.032921810699588</v>
      </c>
      <c r="G952">
        <v>1.421221864951768</v>
      </c>
      <c r="H952">
        <v>1.254491017964071</v>
      </c>
      <c r="I952">
        <v>-0.103571428571428</v>
      </c>
    </row>
    <row r="953" spans="1:9">
      <c r="A953" s="1" t="s">
        <v>965</v>
      </c>
      <c r="B953">
        <f>HYPERLINK("https://www.suredividend.com/sure-analysis-research-database/","Enphase Energy Inc")</f>
        <v>0</v>
      </c>
      <c r="C953">
        <v>0.07505219795722501</v>
      </c>
      <c r="D953">
        <v>0.333730047605712</v>
      </c>
      <c r="E953">
        <v>0.101723340272958</v>
      </c>
      <c r="F953">
        <v>0.041379687329178</v>
      </c>
      <c r="G953">
        <v>0.26998200119992</v>
      </c>
      <c r="H953">
        <v>3.911317349832431</v>
      </c>
      <c r="I953">
        <v>144.4274809160305</v>
      </c>
    </row>
    <row r="954" spans="1:9">
      <c r="A954" s="1" t="s">
        <v>966</v>
      </c>
      <c r="B954">
        <f>HYPERLINK("https://www.suredividend.com/sure-analysis-research-database/","Energizer Holdings Inc")</f>
        <v>0</v>
      </c>
      <c r="C954">
        <v>-0.003611293499671</v>
      </c>
      <c r="D954">
        <v>-0.253158389479745</v>
      </c>
      <c r="E954">
        <v>-0.187257482720853</v>
      </c>
      <c r="F954">
        <v>-0.236581697077629</v>
      </c>
      <c r="G954">
        <v>-0.370062723902746</v>
      </c>
      <c r="H954">
        <v>-0.07788877546059901</v>
      </c>
      <c r="I954">
        <v>-0.403113642442455</v>
      </c>
    </row>
    <row r="955" spans="1:9">
      <c r="A955" s="1" t="s">
        <v>967</v>
      </c>
      <c r="B955">
        <f>HYPERLINK("https://www.suredividend.com/sure-analysis-research-database/","Enersys")</f>
        <v>0</v>
      </c>
      <c r="C955">
        <v>-0.07189542483660101</v>
      </c>
      <c r="D955">
        <v>-0.131900474223382</v>
      </c>
      <c r="E955">
        <v>-0.110963463639325</v>
      </c>
      <c r="F955">
        <v>-0.117735071996267</v>
      </c>
      <c r="G955">
        <v>-0.24540579230765</v>
      </c>
      <c r="H955">
        <v>0.468539733729558</v>
      </c>
      <c r="I955">
        <v>-0.038296743090608</v>
      </c>
    </row>
    <row r="956" spans="1:9">
      <c r="A956" s="1" t="s">
        <v>968</v>
      </c>
      <c r="B956">
        <f>HYPERLINK("https://www.suredividend.com/sure-analysis-research-database/","Ensign Group Inc")</f>
        <v>0</v>
      </c>
      <c r="C956">
        <v>-0.012798343675721</v>
      </c>
      <c r="D956">
        <v>0.06182865929669201</v>
      </c>
      <c r="E956">
        <v>0.173229742714222</v>
      </c>
      <c r="F956">
        <v>0.017184276607383</v>
      </c>
      <c r="G956">
        <v>-0.070620838346826</v>
      </c>
      <c r="H956">
        <v>1.352464506313204</v>
      </c>
      <c r="I956">
        <v>4.033111801718394</v>
      </c>
    </row>
    <row r="957" spans="1:9">
      <c r="A957" s="1" t="s">
        <v>969</v>
      </c>
      <c r="B957">
        <f>HYPERLINK("https://www.suredividend.com/sure-analysis-research-database/","Enservco Corp")</f>
        <v>0</v>
      </c>
      <c r="C957">
        <v>-0.033088235294117</v>
      </c>
      <c r="D957">
        <v>2.337139956858266</v>
      </c>
      <c r="E957">
        <v>0.8652482269503541</v>
      </c>
      <c r="F957">
        <v>2.083235638921453</v>
      </c>
      <c r="G957">
        <v>0.892086330935251</v>
      </c>
      <c r="H957">
        <v>0.677830940988835</v>
      </c>
      <c r="I957">
        <v>-0.320413436692506</v>
      </c>
    </row>
    <row r="958" spans="1:9">
      <c r="A958" s="1" t="s">
        <v>970</v>
      </c>
      <c r="B958">
        <f>HYPERLINK("https://www.suredividend.com/sure-analysis-research-database/","Enanta Pharmaceuticals Inc")</f>
        <v>0</v>
      </c>
      <c r="C958">
        <v>0.103432902362906</v>
      </c>
      <c r="D958">
        <v>0.2375</v>
      </c>
      <c r="E958">
        <v>0.038897439485098</v>
      </c>
      <c r="F958">
        <v>-0.007087456539181001</v>
      </c>
      <c r="G958">
        <v>0.46507498026835</v>
      </c>
      <c r="H958">
        <v>0.377806643161996</v>
      </c>
      <c r="I958">
        <v>1.419354838709677</v>
      </c>
    </row>
    <row r="959" spans="1:9">
      <c r="A959" s="1" t="s">
        <v>971</v>
      </c>
      <c r="B959">
        <f>HYPERLINK("https://www.suredividend.com/sure-analysis-research-database/","Entegris Inc")</f>
        <v>0</v>
      </c>
      <c r="C959">
        <v>-0.177362719462084</v>
      </c>
      <c r="D959">
        <v>-0.175258504140185</v>
      </c>
      <c r="E959">
        <v>-0.151663543798229</v>
      </c>
      <c r="F959">
        <v>-0.204777545708499</v>
      </c>
      <c r="G959">
        <v>-0.059314207507887</v>
      </c>
      <c r="H959">
        <v>1.16327829688249</v>
      </c>
      <c r="I959">
        <v>4.017429541363834</v>
      </c>
    </row>
    <row r="960" spans="1:9">
      <c r="A960" s="1" t="s">
        <v>972</v>
      </c>
      <c r="B960">
        <f>HYPERLINK("https://www.suredividend.com/sure-analysis-research-database/","Envestnet Inc.")</f>
        <v>0</v>
      </c>
      <c r="C960">
        <v>0.106385815224636</v>
      </c>
      <c r="D960">
        <v>0.09514383742412201</v>
      </c>
      <c r="E960">
        <v>-0.004677380666826001</v>
      </c>
      <c r="F960">
        <v>0.04600453743382801</v>
      </c>
      <c r="G960">
        <v>0.103443690998537</v>
      </c>
      <c r="H960">
        <v>0.546877912395153</v>
      </c>
      <c r="I960">
        <v>1.455325443786982</v>
      </c>
    </row>
    <row r="961" spans="1:9">
      <c r="A961" s="1" t="s">
        <v>973</v>
      </c>
      <c r="B961">
        <f>HYPERLINK("https://www.suredividend.com/sure-analysis-research-database/","Enova International Inc.")</f>
        <v>0</v>
      </c>
      <c r="C961">
        <v>0.018719479110146</v>
      </c>
      <c r="D961">
        <v>-0.14929768917082</v>
      </c>
      <c r="E961">
        <v>0.04160887656033201</v>
      </c>
      <c r="F961">
        <v>-0.083251953125</v>
      </c>
      <c r="G961">
        <v>0.136501210653752</v>
      </c>
      <c r="H961">
        <v>1.906346749226005</v>
      </c>
      <c r="I961">
        <v>1.781481481481481</v>
      </c>
    </row>
    <row r="962" spans="1:9">
      <c r="A962" s="1" t="s">
        <v>974</v>
      </c>
      <c r="B962">
        <f>HYPERLINK("https://www.suredividend.com/sure-analysis-research-database/","Enzo Biochem, Inc.")</f>
        <v>0</v>
      </c>
      <c r="C962">
        <v>-0.079872204472843</v>
      </c>
      <c r="D962">
        <v>-0.129909365558912</v>
      </c>
      <c r="E962">
        <v>-0.238095238095238</v>
      </c>
      <c r="F962">
        <v>-0.102803738317757</v>
      </c>
      <c r="G962">
        <v>-0.135135135135135</v>
      </c>
      <c r="H962">
        <v>0.315068493150684</v>
      </c>
      <c r="I962">
        <v>-0.6377358490566031</v>
      </c>
    </row>
    <row r="963" spans="1:9">
      <c r="A963" s="1" t="s">
        <v>975</v>
      </c>
      <c r="B963">
        <f>HYPERLINK("https://www.suredividend.com/sure-analysis-EOG/","EOG Resources, Inc.")</f>
        <v>0</v>
      </c>
      <c r="C963">
        <v>0.09455420554007801</v>
      </c>
      <c r="D963">
        <v>0.181045629823755</v>
      </c>
      <c r="E963">
        <v>0.434863901513294</v>
      </c>
      <c r="F963">
        <v>0.414736086242053</v>
      </c>
      <c r="G963">
        <v>0.841646006696077</v>
      </c>
      <c r="H963">
        <v>2.663082245045721</v>
      </c>
      <c r="I963">
        <v>0.444958980747984</v>
      </c>
    </row>
    <row r="964" spans="1:9">
      <c r="A964" s="1" t="s">
        <v>976</v>
      </c>
      <c r="B964">
        <f>HYPERLINK("https://www.suredividend.com/sure-analysis-research-database/","Evolus Inc")</f>
        <v>0</v>
      </c>
      <c r="C964">
        <v>0.070208728652751</v>
      </c>
      <c r="D964">
        <v>0.9617391304347821</v>
      </c>
      <c r="E964">
        <v>0.470664928292046</v>
      </c>
      <c r="F964">
        <v>0.7327188940092161</v>
      </c>
      <c r="G964">
        <v>0.028258887876025</v>
      </c>
      <c r="H964">
        <v>1.617169373549884</v>
      </c>
      <c r="I964">
        <v>-0.019130434782608</v>
      </c>
    </row>
    <row r="965" spans="1:9">
      <c r="A965" s="1" t="s">
        <v>977</v>
      </c>
      <c r="B965">
        <f>HYPERLINK("https://www.suredividend.com/sure-analysis-research-database/","EPAM Systems Inc")</f>
        <v>0</v>
      </c>
      <c r="C965">
        <v>0.029603861990628</v>
      </c>
      <c r="D965">
        <v>-0.465878540124479</v>
      </c>
      <c r="E965">
        <v>-0.53139792242201</v>
      </c>
      <c r="F965">
        <v>-0.566070760715087</v>
      </c>
      <c r="G965">
        <v>-0.349699578513137</v>
      </c>
      <c r="H965">
        <v>0.456636368201677</v>
      </c>
      <c r="I965">
        <v>2.882478918484808</v>
      </c>
    </row>
    <row r="966" spans="1:9">
      <c r="A966" s="1" t="s">
        <v>978</v>
      </c>
      <c r="B966">
        <f>HYPERLINK("https://www.suredividend.com/sure-analysis-research-database/","Bottomline Technologies (Delaware) Inc")</f>
        <v>0</v>
      </c>
      <c r="C966">
        <v>0.006020896051000001</v>
      </c>
      <c r="D966">
        <v>0.007984386089425</v>
      </c>
      <c r="E966">
        <v>0.392743319441039</v>
      </c>
      <c r="F966">
        <v>0.006020896051000001</v>
      </c>
      <c r="G966">
        <v>0.175460376577695</v>
      </c>
      <c r="H966">
        <v>0.5424925332609281</v>
      </c>
      <c r="I966">
        <v>1.613155473781049</v>
      </c>
    </row>
    <row r="967" spans="1:9">
      <c r="A967" s="1" t="s">
        <v>979</v>
      </c>
      <c r="B967">
        <f>HYPERLINK("https://www.suredividend.com/sure-analysis-research-database/","Edgewell Personal Care Co")</f>
        <v>0</v>
      </c>
      <c r="C967">
        <v>-0.034346103038309</v>
      </c>
      <c r="D967">
        <v>-0.291698238256821</v>
      </c>
      <c r="E967">
        <v>0.049485163639287</v>
      </c>
      <c r="F967">
        <v>-0.197020958741596</v>
      </c>
      <c r="G967">
        <v>-0.042368951269548</v>
      </c>
      <c r="H967">
        <v>0.4752239071032731</v>
      </c>
      <c r="I967">
        <v>-0.4682406549296491</v>
      </c>
    </row>
    <row r="968" spans="1:9">
      <c r="A968" s="1" t="s">
        <v>980</v>
      </c>
      <c r="B968">
        <f>HYPERLINK("https://www.suredividend.com/sure-analysis-research-database/","Evolution Petroleum Corporation")</f>
        <v>0</v>
      </c>
      <c r="C968">
        <v>0.041728763040238</v>
      </c>
      <c r="D968">
        <v>0.339491031733864</v>
      </c>
      <c r="E968">
        <v>0.205837703560585</v>
      </c>
      <c r="F968">
        <v>0.40313547584158</v>
      </c>
      <c r="G968">
        <v>1.278877188406742</v>
      </c>
      <c r="H968">
        <v>2.012152029647505</v>
      </c>
      <c r="I968">
        <v>0.141765080609594</v>
      </c>
    </row>
    <row r="969" spans="1:9">
      <c r="A969" s="1" t="s">
        <v>981</v>
      </c>
      <c r="B969">
        <f>HYPERLINK("https://www.suredividend.com/sure-analysis-EPR/","EPR Properties")</f>
        <v>0</v>
      </c>
      <c r="C969">
        <v>0.038153702696402</v>
      </c>
      <c r="D969">
        <v>0.140695773192795</v>
      </c>
      <c r="E969">
        <v>0.04727637592205</v>
      </c>
      <c r="F969">
        <v>0.143338831800394</v>
      </c>
      <c r="G969">
        <v>0.166799489088547</v>
      </c>
      <c r="H969">
        <v>1.47941169647621</v>
      </c>
      <c r="I969">
        <v>-0.07754555309291501</v>
      </c>
    </row>
    <row r="970" spans="1:9">
      <c r="A970" s="1" t="s">
        <v>982</v>
      </c>
      <c r="B970">
        <f>HYPERLINK("https://www.suredividend.com/sure-analysis-EPRT/","Essential Properties Realty Trust Inc")</f>
        <v>0</v>
      </c>
      <c r="C970">
        <v>0.04517965427104501</v>
      </c>
      <c r="D970">
        <v>-0.06198991355521501</v>
      </c>
      <c r="E970">
        <v>-0.100739617980997</v>
      </c>
      <c r="F970">
        <v>-0.102009354799152</v>
      </c>
      <c r="G970">
        <v>0.06060731459028101</v>
      </c>
      <c r="H970">
        <v>1.748260221533578</v>
      </c>
      <c r="I970">
        <v>1.237841613551034</v>
      </c>
    </row>
    <row r="971" spans="1:9">
      <c r="A971" s="1" t="s">
        <v>983</v>
      </c>
      <c r="B971">
        <f>HYPERLINK("https://www.suredividend.com/sure-analysis-research-database/","Epizyme Inc")</f>
        <v>0</v>
      </c>
      <c r="C971">
        <v>-0.416641221374045</v>
      </c>
      <c r="D971">
        <v>-0.6478341013824881</v>
      </c>
      <c r="E971">
        <v>-0.845616161616161</v>
      </c>
      <c r="F971">
        <v>-0.69432</v>
      </c>
      <c r="G971">
        <v>-0.905596046942557</v>
      </c>
      <c r="H971">
        <v>-0.9552314001171641</v>
      </c>
      <c r="I971">
        <v>-0.949390728476821</v>
      </c>
    </row>
    <row r="972" spans="1:9">
      <c r="A972" s="1" t="s">
        <v>984</v>
      </c>
      <c r="B972">
        <f>HYPERLINK("https://www.suredividend.com/sure-analysis-research-database/","Equity Bancshares Inc")</f>
        <v>0</v>
      </c>
      <c r="C972">
        <v>-0.041117193331674</v>
      </c>
      <c r="D972">
        <v>-0.111931742895165</v>
      </c>
      <c r="E972">
        <v>-0.101574793971255</v>
      </c>
      <c r="F972">
        <v>-0.089160627394904</v>
      </c>
      <c r="G972">
        <v>0.06921641661637901</v>
      </c>
      <c r="H972">
        <v>1.2005710206995</v>
      </c>
      <c r="I972">
        <v>0.048985549654137</v>
      </c>
    </row>
    <row r="973" spans="1:9">
      <c r="A973" s="1" t="s">
        <v>985</v>
      </c>
      <c r="B973">
        <f>HYPERLINK("https://www.suredividend.com/sure-analysis-research-database/","Equity Commonwealth")</f>
        <v>0</v>
      </c>
      <c r="C973">
        <v>-0.002190580503833</v>
      </c>
      <c r="D973">
        <v>0.020918939110945</v>
      </c>
      <c r="E973">
        <v>0.010724852071005</v>
      </c>
      <c r="F973">
        <v>0.05521235521235501</v>
      </c>
      <c r="G973">
        <v>-0.044405594405594</v>
      </c>
      <c r="H973">
        <v>-0.09268972843768601</v>
      </c>
      <c r="I973">
        <v>0.16763435485318</v>
      </c>
    </row>
    <row r="974" spans="1:9">
      <c r="A974" s="1" t="s">
        <v>986</v>
      </c>
      <c r="B974">
        <f>HYPERLINK("https://www.suredividend.com/sure-analysis-research-database/","Equitable Holdings Inc")</f>
        <v>0</v>
      </c>
      <c r="C974">
        <v>-0.02726696258719</v>
      </c>
      <c r="D974">
        <v>-0.142465830002515</v>
      </c>
      <c r="E974">
        <v>-0.036713522746182</v>
      </c>
      <c r="F974">
        <v>-0.059040024536114</v>
      </c>
      <c r="G974">
        <v>-0.074191426312517</v>
      </c>
      <c r="H974">
        <v>1.226140461626649</v>
      </c>
      <c r="I974">
        <v>0.6446345673453191</v>
      </c>
    </row>
    <row r="975" spans="1:9">
      <c r="A975" s="1" t="s">
        <v>987</v>
      </c>
      <c r="B975">
        <f>HYPERLINK("https://www.suredividend.com/sure-analysis-EQIX/","Equinix Inc")</f>
        <v>0</v>
      </c>
      <c r="C975">
        <v>0.044285998352413</v>
      </c>
      <c r="D975">
        <v>-0.011173986790906</v>
      </c>
      <c r="E975">
        <v>-0.051585669712813</v>
      </c>
      <c r="F975">
        <v>-0.127003096524433</v>
      </c>
      <c r="G975">
        <v>0.05441304211585801</v>
      </c>
      <c r="H975">
        <v>0.110517350285423</v>
      </c>
      <c r="I975">
        <v>1.01716914820942</v>
      </c>
    </row>
    <row r="976" spans="1:9">
      <c r="A976" s="1" t="s">
        <v>988</v>
      </c>
      <c r="B976">
        <f>HYPERLINK("https://www.suredividend.com/sure-analysis-EQR/","Equity Residential Properties Trust")</f>
        <v>0</v>
      </c>
      <c r="C976">
        <v>0.03237546821075801</v>
      </c>
      <c r="D976">
        <v>0.002709967001383</v>
      </c>
      <c r="E976">
        <v>0.084018311913892</v>
      </c>
      <c r="F976">
        <v>0.006365599056288001</v>
      </c>
      <c r="G976">
        <v>0.281680598901862</v>
      </c>
      <c r="H976">
        <v>0.48550552033761</v>
      </c>
      <c r="I976">
        <v>0.6858687546607011</v>
      </c>
    </row>
    <row r="977" spans="1:9">
      <c r="A977" s="1" t="s">
        <v>989</v>
      </c>
      <c r="B977">
        <f>HYPERLINK("https://www.suredividend.com/sure-analysis-research-database/","EQT Corp")</f>
        <v>0</v>
      </c>
      <c r="C977">
        <v>0.6248561565017261</v>
      </c>
      <c r="D977">
        <v>0.7909084759521071</v>
      </c>
      <c r="E977">
        <v>1.150723254314393</v>
      </c>
      <c r="F977">
        <v>0.9534960939301421</v>
      </c>
      <c r="G977">
        <v>1.427674109394342</v>
      </c>
      <c r="H977">
        <v>2.32597891034147</v>
      </c>
      <c r="I977">
        <v>0.281446255490616</v>
      </c>
    </row>
    <row r="978" spans="1:9">
      <c r="A978" s="1" t="s">
        <v>990</v>
      </c>
      <c r="B978">
        <f>HYPERLINK("https://www.suredividend.com/sure-analysis-ERIE/","Erie Indemnity Co.")</f>
        <v>0</v>
      </c>
      <c r="C978">
        <v>0.106205174256191</v>
      </c>
      <c r="D978">
        <v>0.026327287116089</v>
      </c>
      <c r="E978">
        <v>-0.028146541450655</v>
      </c>
      <c r="F978">
        <v>-0.019066613649865</v>
      </c>
      <c r="G978">
        <v>-0.159372980019409</v>
      </c>
      <c r="H978">
        <v>0.163702937017967</v>
      </c>
      <c r="I978">
        <v>0.748109374078556</v>
      </c>
    </row>
    <row r="979" spans="1:9">
      <c r="A979" s="1" t="s">
        <v>991</v>
      </c>
      <c r="B979">
        <f>HYPERLINK("https://www.suredividend.com/sure-analysis-research-database/","Energy Recovery Inc")</f>
        <v>0</v>
      </c>
      <c r="C979">
        <v>0.042585941508465</v>
      </c>
      <c r="D979">
        <v>0.030425963488843</v>
      </c>
      <c r="E979">
        <v>0.019057171514543</v>
      </c>
      <c r="F979">
        <v>-0.054443927408096</v>
      </c>
      <c r="G979">
        <v>0.112205801860974</v>
      </c>
      <c r="H979">
        <v>1.902857142857143</v>
      </c>
      <c r="I979">
        <v>1.524223602484471</v>
      </c>
    </row>
    <row r="980" spans="1:9">
      <c r="A980" s="1" t="s">
        <v>992</v>
      </c>
      <c r="B980">
        <f>HYPERLINK("https://www.suredividend.com/sure-analysis-ES/","Eversource Energy")</f>
        <v>0</v>
      </c>
      <c r="C980">
        <v>0.101987385457574</v>
      </c>
      <c r="D980">
        <v>0.06820475847152101</v>
      </c>
      <c r="E980">
        <v>0.08740582079176201</v>
      </c>
      <c r="F980">
        <v>0.025936471709192</v>
      </c>
      <c r="G980">
        <v>0.06254439220969001</v>
      </c>
      <c r="H980">
        <v>0.09164256840154501</v>
      </c>
      <c r="I980">
        <v>0.7983061742492651</v>
      </c>
    </row>
    <row r="981" spans="1:9">
      <c r="A981" s="1" t="s">
        <v>993</v>
      </c>
      <c r="B981">
        <f>HYPERLINK("https://www.suredividend.com/sure-analysis-research-database/","Elmira Savings Bank Elmira NY")</f>
        <v>0</v>
      </c>
      <c r="C981">
        <v>0.002182453077258</v>
      </c>
      <c r="D981">
        <v>0.013646256881625</v>
      </c>
      <c r="E981">
        <v>0.023031577634105</v>
      </c>
      <c r="F981">
        <v>0.011832624551043</v>
      </c>
      <c r="G981">
        <v>0.72549844810353</v>
      </c>
      <c r="H981">
        <v>1.269043760129659</v>
      </c>
      <c r="I981">
        <v>0.370140952653752</v>
      </c>
    </row>
    <row r="982" spans="1:9">
      <c r="A982" s="1" t="s">
        <v>994</v>
      </c>
      <c r="B982">
        <f>HYPERLINK("https://www.suredividend.com/sure-analysis-research-database/","Escalade, Inc.")</f>
        <v>0</v>
      </c>
      <c r="C982">
        <v>-0.03537906137184101</v>
      </c>
      <c r="D982">
        <v>-0.105103455667119</v>
      </c>
      <c r="E982">
        <v>-0.314467506478179</v>
      </c>
      <c r="F982">
        <v>-0.144204161115096</v>
      </c>
      <c r="G982">
        <v>-0.384135969501823</v>
      </c>
      <c r="H982">
        <v>1.051376541219463</v>
      </c>
      <c r="I982">
        <v>0.265690872057221</v>
      </c>
    </row>
    <row r="983" spans="1:9">
      <c r="A983" s="1" t="s">
        <v>995</v>
      </c>
      <c r="B983">
        <f>HYPERLINK("https://www.suredividend.com/sure-analysis-research-database/","Esco Technologies, Inc.")</f>
        <v>0</v>
      </c>
      <c r="C983">
        <v>-0.100306865595099</v>
      </c>
      <c r="D983">
        <v>-0.267438337620604</v>
      </c>
      <c r="E983">
        <v>-0.234511485291972</v>
      </c>
      <c r="F983">
        <v>-0.281125879802376</v>
      </c>
      <c r="G983">
        <v>-0.408958995157052</v>
      </c>
      <c r="H983">
        <v>-0.115383772170214</v>
      </c>
      <c r="I983">
        <v>0.163478035207105</v>
      </c>
    </row>
    <row r="984" spans="1:9">
      <c r="A984" s="1" t="s">
        <v>996</v>
      </c>
      <c r="B984">
        <f>HYPERLINK("https://www.suredividend.com/sure-analysis-research-database/","Enstar Group Limited")</f>
        <v>0</v>
      </c>
      <c r="C984">
        <v>-0.031608864308484</v>
      </c>
      <c r="D984">
        <v>-0.03730289030583001</v>
      </c>
      <c r="E984">
        <v>0.047484524947031</v>
      </c>
      <c r="F984">
        <v>0.018377155781735</v>
      </c>
      <c r="G984">
        <v>-0.019177655891391</v>
      </c>
      <c r="H984">
        <v>0.7618615051359091</v>
      </c>
      <c r="I984">
        <v>0.365872156013001</v>
      </c>
    </row>
    <row r="985" spans="1:9">
      <c r="A985" s="1" t="s">
        <v>997</v>
      </c>
      <c r="B985">
        <f>HYPERLINK("https://www.suredividend.com/sure-analysis-research-database/","Element Solutions Inc")</f>
        <v>0</v>
      </c>
      <c r="C985">
        <v>-0.07304900181488201</v>
      </c>
      <c r="D985">
        <v>-0.17019358088074</v>
      </c>
      <c r="E985">
        <v>-0.09002636830102601</v>
      </c>
      <c r="F985">
        <v>-0.15583744809206</v>
      </c>
      <c r="G985">
        <v>0.050358602606616</v>
      </c>
      <c r="H985">
        <v>1.456680415098423</v>
      </c>
      <c r="I985">
        <v>0.5960937499999991</v>
      </c>
    </row>
    <row r="986" spans="1:9">
      <c r="A986" s="1" t="s">
        <v>998</v>
      </c>
      <c r="B986">
        <f>HYPERLINK("https://www.suredividend.com/sure-analysis-research-database/","Essent Group Ltd")</f>
        <v>0</v>
      </c>
      <c r="C986">
        <v>-0.01091340450771</v>
      </c>
      <c r="D986">
        <v>-0.150755642107364</v>
      </c>
      <c r="E986">
        <v>-0.142916468791181</v>
      </c>
      <c r="F986">
        <v>-0.07969094922737301</v>
      </c>
      <c r="G986">
        <v>-0.137101331086912</v>
      </c>
      <c r="H986">
        <v>0.788986298313143</v>
      </c>
      <c r="I986">
        <v>0.178399310315586</v>
      </c>
    </row>
    <row r="987" spans="1:9">
      <c r="A987" s="1" t="s">
        <v>999</v>
      </c>
      <c r="B987">
        <f>HYPERLINK("https://www.suredividend.com/sure-analysis-research-database/","Espey Manufacturing &amp; Electronics Corp.")</f>
        <v>0</v>
      </c>
      <c r="C987">
        <v>0.011320754716981</v>
      </c>
      <c r="D987">
        <v>0.019011406844106</v>
      </c>
      <c r="E987">
        <v>-0.077134986225895</v>
      </c>
      <c r="F987">
        <v>-0.05699547498574901</v>
      </c>
      <c r="G987">
        <v>-0.153506001263423</v>
      </c>
      <c r="H987">
        <v>-0.263914218540572</v>
      </c>
      <c r="I987">
        <v>-0.323679787615264</v>
      </c>
    </row>
    <row r="988" spans="1:9">
      <c r="A988" s="1" t="s">
        <v>1000</v>
      </c>
      <c r="B988">
        <f>HYPERLINK("https://www.suredividend.com/sure-analysis-research-database/","Esperion Therapeutics Inc.")</f>
        <v>0</v>
      </c>
      <c r="C988">
        <v>0.272138228941684</v>
      </c>
      <c r="D988">
        <v>0.498727735368956</v>
      </c>
      <c r="E988">
        <v>-0.355579868708971</v>
      </c>
      <c r="F988">
        <v>0.177999999999999</v>
      </c>
      <c r="G988">
        <v>-0.7820133234641</v>
      </c>
      <c r="H988">
        <v>-0.8357501394311211</v>
      </c>
      <c r="I988">
        <v>-0.849090443248783</v>
      </c>
    </row>
    <row r="989" spans="1:9">
      <c r="A989" s="1" t="s">
        <v>1001</v>
      </c>
      <c r="B989">
        <f>HYPERLINK("https://www.suredividend.com/sure-analysis-research-database/","Esquire Financial Holdings Inc")</f>
        <v>0</v>
      </c>
      <c r="C989">
        <v>0.042390972857578</v>
      </c>
      <c r="D989">
        <v>-0.008125362739408001</v>
      </c>
      <c r="E989">
        <v>0.053962380511871</v>
      </c>
      <c r="F989">
        <v>0.085079365079365</v>
      </c>
      <c r="G989">
        <v>0.431922915793883</v>
      </c>
      <c r="H989">
        <v>1.405348346235045</v>
      </c>
      <c r="I989">
        <v>1.241311475409836</v>
      </c>
    </row>
    <row r="990" spans="1:9">
      <c r="A990" s="1" t="s">
        <v>1002</v>
      </c>
      <c r="B990">
        <f>HYPERLINK("https://www.suredividend.com/sure-analysis-ESRT/","Empire State Realty Trust Inc")</f>
        <v>0</v>
      </c>
      <c r="C990">
        <v>-0.08436213991769501</v>
      </c>
      <c r="D990">
        <v>-0.086514282195239</v>
      </c>
      <c r="E990">
        <v>-0.178648553867734</v>
      </c>
      <c r="F990">
        <v>0.003800909060148</v>
      </c>
      <c r="G990">
        <v>-0.206893786146484</v>
      </c>
      <c r="H990">
        <v>0.07027755062773501</v>
      </c>
      <c r="I990">
        <v>-0.5346064548515971</v>
      </c>
    </row>
    <row r="991" spans="1:9">
      <c r="A991" s="1" t="s">
        <v>1003</v>
      </c>
      <c r="B991">
        <f>HYPERLINK("https://www.suredividend.com/sure-analysis-ESS/","Essex Property Trust, Inc.")</f>
        <v>0</v>
      </c>
      <c r="C991">
        <v>0.015314794309934</v>
      </c>
      <c r="D991">
        <v>0.010739564964538</v>
      </c>
      <c r="E991">
        <v>0.049945574584698</v>
      </c>
      <c r="F991">
        <v>-0.01299156882092</v>
      </c>
      <c r="G991">
        <v>0.224400406680532</v>
      </c>
      <c r="H991">
        <v>0.492933938613024</v>
      </c>
      <c r="I991">
        <v>0.71628089961314</v>
      </c>
    </row>
    <row r="992" spans="1:9">
      <c r="A992" s="1" t="s">
        <v>1004</v>
      </c>
      <c r="B992">
        <f>HYPERLINK("https://www.suredividend.com/sure-analysis-research-database/","ESSA Bancorp Inc")</f>
        <v>0</v>
      </c>
      <c r="C992">
        <v>-0.06025428413488101</v>
      </c>
      <c r="D992">
        <v>-0.021622150474513</v>
      </c>
      <c r="E992">
        <v>0.061087427362323</v>
      </c>
      <c r="F992">
        <v>-0.012592351656521</v>
      </c>
      <c r="G992">
        <v>0.09299454788601901</v>
      </c>
      <c r="H992">
        <v>0.639866109755274</v>
      </c>
      <c r="I992">
        <v>0.330338766854218</v>
      </c>
    </row>
    <row r="993" spans="1:9">
      <c r="A993" s="1" t="s">
        <v>1005</v>
      </c>
      <c r="B993">
        <f>HYPERLINK("https://www.suredividend.com/sure-analysis-research-database/","Elastic N.V")</f>
        <v>0</v>
      </c>
      <c r="C993">
        <v>0.163391933815925</v>
      </c>
      <c r="D993">
        <v>-0.048022001269304</v>
      </c>
      <c r="E993">
        <v>-0.476348402862628</v>
      </c>
      <c r="F993">
        <v>-0.26882768705825</v>
      </c>
      <c r="G993">
        <v>-0.29933826391592</v>
      </c>
      <c r="H993">
        <v>0.538461538461538</v>
      </c>
      <c r="I993">
        <v>0.285714285714285</v>
      </c>
    </row>
    <row r="994" spans="1:9">
      <c r="A994" s="1" t="s">
        <v>1006</v>
      </c>
      <c r="B994">
        <f>HYPERLINK("https://www.suredividend.com/sure-analysis-research-database/","Earthstone Energy Inc")</f>
        <v>0</v>
      </c>
      <c r="C994">
        <v>0.121434392828035</v>
      </c>
      <c r="D994">
        <v>-0.046431046431046</v>
      </c>
      <c r="E994">
        <v>0.324350336862367</v>
      </c>
      <c r="F994">
        <v>0.257769652650822</v>
      </c>
      <c r="G994">
        <v>0.991316931982633</v>
      </c>
      <c r="H994">
        <v>7.239520958083833</v>
      </c>
      <c r="I994">
        <v>0.0169992609017</v>
      </c>
    </row>
    <row r="995" spans="1:9">
      <c r="A995" s="1" t="s">
        <v>1007</v>
      </c>
      <c r="B995">
        <f>HYPERLINK("https://www.suredividend.com/sure-analysis-research-database/","Community Bankers Trust Corp")</f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 t="s">
        <v>1008</v>
      </c>
      <c r="B996">
        <f>HYPERLINK("https://www.suredividend.com/sure-analysis-ETN/","Eaton Corporation plc")</f>
        <v>0</v>
      </c>
      <c r="C996">
        <v>-0.08758314855875801</v>
      </c>
      <c r="D996">
        <v>-0.176959332108174</v>
      </c>
      <c r="E996">
        <v>-0.124874979906088</v>
      </c>
      <c r="F996">
        <v>-0.186008018324273</v>
      </c>
      <c r="G996">
        <v>0.010909674198212</v>
      </c>
      <c r="H996">
        <v>0.9372213452964471</v>
      </c>
      <c r="I996">
        <v>1.230085674437139</v>
      </c>
    </row>
    <row r="997" spans="1:9">
      <c r="A997" s="1" t="s">
        <v>1009</v>
      </c>
      <c r="B997">
        <f>HYPERLINK("https://www.suredividend.com/sure-analysis-ETR/","Entergy Corp.")</f>
        <v>0</v>
      </c>
      <c r="C997">
        <v>0.123778501628664</v>
      </c>
      <c r="D997">
        <v>0.128438466486649</v>
      </c>
      <c r="E997">
        <v>0.237900074951759</v>
      </c>
      <c r="F997">
        <v>0.112611115540454</v>
      </c>
      <c r="G997">
        <v>0.207924451230779</v>
      </c>
      <c r="H997">
        <v>0.376436558686954</v>
      </c>
      <c r="I997">
        <v>0.9606326434284861</v>
      </c>
    </row>
    <row r="998" spans="1:9">
      <c r="A998" s="1" t="s">
        <v>1010</v>
      </c>
      <c r="B998">
        <f>HYPERLINK("https://www.suredividend.com/sure-analysis-research-database/","Equitrans Midstream Corporation")</f>
        <v>0</v>
      </c>
      <c r="C998">
        <v>0.06209573091849901</v>
      </c>
      <c r="D998">
        <v>-0.249007519072098</v>
      </c>
      <c r="E998">
        <v>-0.241325139768054</v>
      </c>
      <c r="F998">
        <v>-0.190901834021543</v>
      </c>
      <c r="G998">
        <v>0.10293129853032</v>
      </c>
      <c r="H998">
        <v>0.366374862696801</v>
      </c>
      <c r="I998">
        <v>-0.578974358974359</v>
      </c>
    </row>
    <row r="999" spans="1:9">
      <c r="A999" s="1" t="s">
        <v>1011</v>
      </c>
      <c r="B999">
        <f>HYPERLINK("https://www.suredividend.com/sure-analysis-research-database/","Etsy Inc")</f>
        <v>0</v>
      </c>
      <c r="C999">
        <v>-0.134668559898363</v>
      </c>
      <c r="D999">
        <v>-0.292669517409896</v>
      </c>
      <c r="E999">
        <v>-0.4762766294269301</v>
      </c>
      <c r="F999">
        <v>-0.4711336439207081</v>
      </c>
      <c r="G999">
        <v>-0.473657893540615</v>
      </c>
      <c r="H999">
        <v>0.9388814467515071</v>
      </c>
      <c r="I999">
        <v>10.25267249757046</v>
      </c>
    </row>
    <row r="1000" spans="1:9">
      <c r="A1000" s="1" t="s">
        <v>1012</v>
      </c>
      <c r="B1000">
        <f>HYPERLINK("https://www.suredividend.com/sure-analysis-research-database/","Eaton Vance Corp.")</f>
        <v>0</v>
      </c>
      <c r="C1000">
        <v>0.08832290735775901</v>
      </c>
      <c r="D1000">
        <v>0.168837608833705</v>
      </c>
      <c r="E1000">
        <v>0.9206556566949581</v>
      </c>
      <c r="F1000">
        <v>0.081648392478346</v>
      </c>
      <c r="G1000">
        <v>0.949495084241559</v>
      </c>
      <c r="H1000">
        <v>0.9852040220282391</v>
      </c>
      <c r="I1000">
        <v>2.114981924834595</v>
      </c>
    </row>
    <row r="1001" spans="1:9">
      <c r="A1001" s="1" t="s">
        <v>1013</v>
      </c>
      <c r="B1001">
        <f>HYPERLINK("https://www.suredividend.com/sure-analysis-research-database/","Everbridge Inc")</f>
        <v>0</v>
      </c>
      <c r="C1001">
        <v>0.3610276031702641</v>
      </c>
      <c r="D1001">
        <v>-0.084053706087916</v>
      </c>
      <c r="E1001">
        <v>-0.6624644164294421</v>
      </c>
      <c r="F1001">
        <v>-0.260359423733848</v>
      </c>
      <c r="G1001">
        <v>-0.628025097101882</v>
      </c>
      <c r="H1001">
        <v>-0.578680203045685</v>
      </c>
      <c r="I1001">
        <v>1.401157184185149</v>
      </c>
    </row>
    <row r="1002" spans="1:9">
      <c r="A1002" s="1" t="s">
        <v>1014</v>
      </c>
      <c r="B1002">
        <f>HYPERLINK("https://www.suredividend.com/sure-analysis-research-database/","Evans Bancorp Inc")</f>
        <v>0</v>
      </c>
      <c r="C1002">
        <v>-0.001288327750579</v>
      </c>
      <c r="D1002">
        <v>-0.03829930825037901</v>
      </c>
      <c r="E1002">
        <v>0.001822199821656</v>
      </c>
      <c r="F1002">
        <v>-0.022788984441772</v>
      </c>
      <c r="G1002">
        <v>0.137317269264851</v>
      </c>
      <c r="H1002">
        <v>0.736076896202667</v>
      </c>
      <c r="I1002">
        <v>0.240641574296057</v>
      </c>
    </row>
    <row r="1003" spans="1:9">
      <c r="A1003" s="1" t="s">
        <v>1015</v>
      </c>
      <c r="B1003">
        <f>HYPERLINK("https://www.suredividend.com/sure-analysis-research-database/","Entravision Communications Corp.")</f>
        <v>0</v>
      </c>
      <c r="C1003">
        <v>-0.159574468085106</v>
      </c>
      <c r="D1003">
        <v>-0.111546679947945</v>
      </c>
      <c r="E1003">
        <v>-0.264627659574468</v>
      </c>
      <c r="F1003">
        <v>-0.180995542127634</v>
      </c>
      <c r="G1003">
        <v>0.4986043738652061</v>
      </c>
      <c r="H1003">
        <v>3.209805115712545</v>
      </c>
      <c r="I1003">
        <v>0.133243165703512</v>
      </c>
    </row>
    <row r="1004" spans="1:9">
      <c r="A1004" s="1" t="s">
        <v>1016</v>
      </c>
      <c r="B1004">
        <f>HYPERLINK("https://www.suredividend.com/sure-analysis-research-database/","EverQuote Inc")</f>
        <v>0</v>
      </c>
      <c r="C1004">
        <v>0.047949965253648</v>
      </c>
      <c r="D1004">
        <v>-0.06798516687268201</v>
      </c>
      <c r="E1004">
        <v>-0.128323699421965</v>
      </c>
      <c r="F1004">
        <v>-0.037037037037037</v>
      </c>
      <c r="G1004">
        <v>-0.5784176684372381</v>
      </c>
      <c r="H1004">
        <v>-0.569019719919977</v>
      </c>
      <c r="I1004">
        <v>-0.162222222222222</v>
      </c>
    </row>
    <row r="1005" spans="1:9">
      <c r="A1005" s="1" t="s">
        <v>1017</v>
      </c>
      <c r="B1005">
        <f>HYPERLINK("https://www.suredividend.com/sure-analysis-research-database/","Evofem Biosciences Inc")</f>
        <v>0</v>
      </c>
      <c r="C1005">
        <v>-0.426250317339426</v>
      </c>
      <c r="D1005">
        <v>-0.4487804878048781</v>
      </c>
      <c r="E1005">
        <v>-0.6738816738816731</v>
      </c>
      <c r="F1005">
        <v>-0.3981358189081221</v>
      </c>
      <c r="G1005">
        <v>-0.8551282051282051</v>
      </c>
      <c r="H1005">
        <v>-0.9568702290076331</v>
      </c>
      <c r="I1005">
        <v>-0.8852791878172581</v>
      </c>
    </row>
    <row r="1006" spans="1:9">
      <c r="A1006" s="1" t="s">
        <v>1018</v>
      </c>
      <c r="B1006">
        <f>HYPERLINK("https://www.suredividend.com/sure-analysis-research-database/","Evolent Health Inc")</f>
        <v>0</v>
      </c>
      <c r="C1006">
        <v>0.01642091152815</v>
      </c>
      <c r="D1006">
        <v>0.195977917981072</v>
      </c>
      <c r="E1006">
        <v>0.013364517206815</v>
      </c>
      <c r="F1006">
        <v>0.09613299602457501</v>
      </c>
      <c r="G1006">
        <v>0.504464285714285</v>
      </c>
      <c r="H1006">
        <v>4.07190635451505</v>
      </c>
      <c r="I1006">
        <v>0.4442857142857141</v>
      </c>
    </row>
    <row r="1007" spans="1:9">
      <c r="A1007" s="1" t="s">
        <v>1019</v>
      </c>
      <c r="B1007">
        <f>HYPERLINK("https://www.suredividend.com/sure-analysis-research-database/","EVI Industries Inc")</f>
        <v>0</v>
      </c>
      <c r="C1007">
        <v>0.116849243609806</v>
      </c>
      <c r="D1007">
        <v>-0.171760154738878</v>
      </c>
      <c r="E1007">
        <v>-0.275710419485791</v>
      </c>
      <c r="F1007">
        <v>-0.314441242395132</v>
      </c>
      <c r="G1007">
        <v>-0.24185552407932</v>
      </c>
      <c r="H1007">
        <v>0.280502392344497</v>
      </c>
      <c r="I1007">
        <v>-0.000298836405745</v>
      </c>
    </row>
    <row r="1008" spans="1:9">
      <c r="A1008" s="1" t="s">
        <v>1020</v>
      </c>
      <c r="B1008">
        <f>HYPERLINK("https://www.suredividend.com/sure-analysis-research-database/","Evoke Pharma Inc")</f>
        <v>0</v>
      </c>
      <c r="C1008">
        <v>-0.207531553900269</v>
      </c>
      <c r="D1008">
        <v>-0.24695241840346</v>
      </c>
      <c r="E1008">
        <v>-0.722463768115942</v>
      </c>
      <c r="F1008">
        <v>-0.303636363636363</v>
      </c>
      <c r="G1008">
        <v>-0.7678787878787871</v>
      </c>
      <c r="H1008">
        <v>-0.718382352941176</v>
      </c>
      <c r="I1008">
        <v>-0.863214285714285</v>
      </c>
    </row>
    <row r="1009" spans="1:9">
      <c r="A1009" s="1" t="s">
        <v>1021</v>
      </c>
      <c r="B1009">
        <f>HYPERLINK("https://www.suredividend.com/sure-analysis-research-database/","Evolving Systems, Inc.")</f>
        <v>0</v>
      </c>
      <c r="C1009">
        <v>-0.198895027624309</v>
      </c>
      <c r="D1009">
        <v>-0.343891402714932</v>
      </c>
      <c r="E1009">
        <v>-0.352678571428571</v>
      </c>
      <c r="F1009">
        <v>-0.352678571428571</v>
      </c>
      <c r="G1009">
        <v>-0.364035087719298</v>
      </c>
      <c r="H1009">
        <v>0.8831168831168831</v>
      </c>
      <c r="I1009">
        <v>-0.6922554492009251</v>
      </c>
    </row>
    <row r="1010" spans="1:9">
      <c r="A1010" s="1" t="s">
        <v>1022</v>
      </c>
      <c r="B1010">
        <f>HYPERLINK("https://www.suredividend.com/sure-analysis-research-database/","EVO Payments Inc")</f>
        <v>0</v>
      </c>
      <c r="C1010">
        <v>-0.042201075713694</v>
      </c>
      <c r="D1010">
        <v>-0.03340292275574101</v>
      </c>
      <c r="E1010">
        <v>-0.004301075268817</v>
      </c>
      <c r="F1010">
        <v>-0.09570312500000001</v>
      </c>
      <c r="G1010">
        <v>-0.191125087351502</v>
      </c>
      <c r="H1010">
        <v>0.793183578621223</v>
      </c>
      <c r="I1010">
        <v>0.21713985278654</v>
      </c>
    </row>
    <row r="1011" spans="1:9">
      <c r="A1011" s="1" t="s">
        <v>1023</v>
      </c>
      <c r="B1011">
        <f>HYPERLINK("https://www.suredividend.com/sure-analysis-research-database/","Evercore Inc")</f>
        <v>0</v>
      </c>
      <c r="C1011">
        <v>-0.09299145299145201</v>
      </c>
      <c r="D1011">
        <v>-0.199044771072624</v>
      </c>
      <c r="E1011">
        <v>-0.306029214522116</v>
      </c>
      <c r="F1011">
        <v>-0.214491492051648</v>
      </c>
      <c r="G1011">
        <v>-0.21145573801189</v>
      </c>
      <c r="H1011">
        <v>1.189273549853835</v>
      </c>
      <c r="I1011">
        <v>0.6202021435769031</v>
      </c>
    </row>
    <row r="1012" spans="1:9">
      <c r="A1012" s="1" t="s">
        <v>1024</v>
      </c>
      <c r="B1012">
        <f>HYPERLINK("https://www.suredividend.com/sure-analysis-EVRG/","Evergy Inc")</f>
        <v>0</v>
      </c>
      <c r="C1012">
        <v>0.094774273345701</v>
      </c>
      <c r="D1012">
        <v>0.085443620087068</v>
      </c>
      <c r="E1012">
        <v>0.138742992412668</v>
      </c>
      <c r="F1012">
        <v>0.041620697669629</v>
      </c>
      <c r="G1012">
        <v>0.157890777917497</v>
      </c>
      <c r="H1012">
        <v>0.269339910979494</v>
      </c>
      <c r="I1012">
        <v>0.482416583972901</v>
      </c>
    </row>
    <row r="1013" spans="1:9">
      <c r="A1013" s="1" t="s">
        <v>1025</v>
      </c>
      <c r="B1013">
        <f>HYPERLINK("https://www.suredividend.com/sure-analysis-research-database/","Everi Holdings Inc")</f>
        <v>0</v>
      </c>
      <c r="C1013">
        <v>-0.119015047879616</v>
      </c>
      <c r="D1013">
        <v>-0.051546391752577</v>
      </c>
      <c r="E1013">
        <v>-0.192307692307692</v>
      </c>
      <c r="F1013">
        <v>-0.095081967213114</v>
      </c>
      <c r="G1013">
        <v>0.345403899721448</v>
      </c>
      <c r="H1013">
        <v>3.966580976863753</v>
      </c>
      <c r="I1013">
        <v>2.474820143884892</v>
      </c>
    </row>
    <row r="1014" spans="1:9">
      <c r="A1014" s="1" t="s">
        <v>1026</v>
      </c>
      <c r="B1014">
        <f>HYPERLINK("https://www.suredividend.com/sure-analysis-research-database/","Evertec Inc")</f>
        <v>0</v>
      </c>
      <c r="C1014">
        <v>0.000245639891918</v>
      </c>
      <c r="D1014">
        <v>-0.144215997192221</v>
      </c>
      <c r="E1014">
        <v>-0.148081509686597</v>
      </c>
      <c r="F1014">
        <v>-0.18428179938781</v>
      </c>
      <c r="G1014">
        <v>0.00419978446203</v>
      </c>
      <c r="H1014">
        <v>0.8137276736002851</v>
      </c>
      <c r="I1014">
        <v>1.729679906150494</v>
      </c>
    </row>
    <row r="1015" spans="1:9">
      <c r="A1015" s="1" t="s">
        <v>1027</v>
      </c>
      <c r="B1015">
        <f>HYPERLINK("https://www.suredividend.com/sure-analysis-research-database/","Edwards Lifesciences Corp")</f>
        <v>0</v>
      </c>
      <c r="C1015">
        <v>0.093177885053283</v>
      </c>
      <c r="D1015">
        <v>0.014882462371046</v>
      </c>
      <c r="E1015">
        <v>0.070078459343794</v>
      </c>
      <c r="F1015">
        <v>-0.073562331146275</v>
      </c>
      <c r="G1015">
        <v>0.3482363513817111</v>
      </c>
      <c r="H1015">
        <v>0.6552953037443431</v>
      </c>
      <c r="I1015">
        <v>2.818243709696404</v>
      </c>
    </row>
    <row r="1016" spans="1:9">
      <c r="A1016" s="1" t="s">
        <v>1028</v>
      </c>
      <c r="B1016">
        <f>HYPERLINK("https://www.suredividend.com/sure-analysis-research-database/","East West Bancorp, Inc.")</f>
        <v>0</v>
      </c>
      <c r="C1016">
        <v>-0.07491052696532101</v>
      </c>
      <c r="D1016">
        <v>-0.167745474005369</v>
      </c>
      <c r="E1016">
        <v>-0.08668789118232201</v>
      </c>
      <c r="F1016">
        <v>-0.04282270257017901</v>
      </c>
      <c r="G1016">
        <v>0.021987176078737</v>
      </c>
      <c r="H1016">
        <v>2.082464985072908</v>
      </c>
      <c r="I1016">
        <v>0.672885683169377</v>
      </c>
    </row>
    <row r="1017" spans="1:9">
      <c r="A1017" s="1" t="s">
        <v>1029</v>
      </c>
      <c r="B1017">
        <f>HYPERLINK("https://www.suredividend.com/sure-analysis-research-database/","Exact Sciences Corp.")</f>
        <v>0</v>
      </c>
      <c r="C1017">
        <v>0.133159693960605</v>
      </c>
      <c r="D1017">
        <v>-0.11245696799694</v>
      </c>
      <c r="E1017">
        <v>-0.296584478577202</v>
      </c>
      <c r="F1017">
        <v>-0.105614801490427</v>
      </c>
      <c r="G1017">
        <v>-0.4647031682559211</v>
      </c>
      <c r="H1017">
        <v>-0.025343041164939</v>
      </c>
      <c r="I1017">
        <v>1.991405242801891</v>
      </c>
    </row>
    <row r="1018" spans="1:9">
      <c r="A1018" s="1" t="s">
        <v>1030</v>
      </c>
      <c r="B1018">
        <f>HYPERLINK("https://www.suredividend.com/sure-analysis-EXC/","Exelon Corp.")</f>
        <v>0</v>
      </c>
      <c r="C1018">
        <v>0.128683241252302</v>
      </c>
      <c r="D1018">
        <v>0.232959732033063</v>
      </c>
      <c r="E1018">
        <v>0.401926612587316</v>
      </c>
      <c r="F1018">
        <v>0.200512231610958</v>
      </c>
      <c r="G1018">
        <v>0.538533952554286</v>
      </c>
      <c r="H1018">
        <v>0.99112259028683</v>
      </c>
      <c r="I1018">
        <v>1.248886564932414</v>
      </c>
    </row>
    <row r="1019" spans="1:9">
      <c r="A1019" s="1" t="s">
        <v>1031</v>
      </c>
      <c r="B1019">
        <f>HYPERLINK("https://www.suredividend.com/sure-analysis-research-database/","Exelixis Inc")</f>
        <v>0</v>
      </c>
      <c r="C1019">
        <v>0.118159806295399</v>
      </c>
      <c r="D1019">
        <v>0.274282560706401</v>
      </c>
      <c r="E1019">
        <v>0.05820348304307901</v>
      </c>
      <c r="F1019">
        <v>0.263129102844639</v>
      </c>
      <c r="G1019">
        <v>-0.021195421788893</v>
      </c>
      <c r="H1019">
        <v>0.246087425796006</v>
      </c>
      <c r="I1019">
        <v>0.084546735556599</v>
      </c>
    </row>
    <row r="1020" spans="1:9">
      <c r="A1020" s="1" t="s">
        <v>1032</v>
      </c>
      <c r="B1020">
        <f>HYPERLINK("https://www.suredividend.com/sure-analysis-research-database/","Exlservice Hldgs Inc")</f>
        <v>0</v>
      </c>
      <c r="C1020">
        <v>0.040265581494966</v>
      </c>
      <c r="D1020">
        <v>0.123265494912118</v>
      </c>
      <c r="E1020">
        <v>0.173660894079742</v>
      </c>
      <c r="F1020">
        <v>0.006493057953995</v>
      </c>
      <c r="G1020">
        <v>0.52257053291536</v>
      </c>
      <c r="H1020">
        <v>1.805892547660312</v>
      </c>
      <c r="I1020">
        <v>2.188402625820569</v>
      </c>
    </row>
    <row r="1021" spans="1:9">
      <c r="A1021" s="1" t="s">
        <v>1033</v>
      </c>
      <c r="B1021">
        <f>HYPERLINK("https://www.suredividend.com/sure-analysis-research-database/","Eagle Materials Inc.")</f>
        <v>0</v>
      </c>
      <c r="C1021">
        <v>-0.062054856796484</v>
      </c>
      <c r="D1021">
        <v>-0.219333340060137</v>
      </c>
      <c r="E1021">
        <v>-0.119845114354722</v>
      </c>
      <c r="F1021">
        <v>-0.254929269741605</v>
      </c>
      <c r="G1021">
        <v>-0.132584455470589</v>
      </c>
      <c r="H1021">
        <v>1.232626758696314</v>
      </c>
      <c r="I1021">
        <v>0.357086085455093</v>
      </c>
    </row>
    <row r="1022" spans="1:9">
      <c r="A1022" s="1" t="s">
        <v>1034</v>
      </c>
      <c r="B1022">
        <f>HYPERLINK("https://www.suredividend.com/sure-analysis-EXPD/","Expeditors International Of Washington, Inc.")</f>
        <v>0</v>
      </c>
      <c r="C1022">
        <v>-0.06089743589743501</v>
      </c>
      <c r="D1022">
        <v>-0.205440052592653</v>
      </c>
      <c r="E1022">
        <v>-0.16306728180803</v>
      </c>
      <c r="F1022">
        <v>-0.279991064114975</v>
      </c>
      <c r="G1022">
        <v>-0.122655787804107</v>
      </c>
      <c r="H1022">
        <v>0.413011867896762</v>
      </c>
      <c r="I1022">
        <v>0.832065407899349</v>
      </c>
    </row>
    <row r="1023" spans="1:9">
      <c r="A1023" s="1" t="s">
        <v>1035</v>
      </c>
      <c r="B1023">
        <f>HYPERLINK("https://www.suredividend.com/sure-analysis-research-database/","Expedia Group Inc")</f>
        <v>0</v>
      </c>
      <c r="C1023">
        <v>-0.006946964591217001</v>
      </c>
      <c r="D1023">
        <v>0.038774403470715</v>
      </c>
      <c r="E1023">
        <v>0.11372754229897</v>
      </c>
      <c r="F1023">
        <v>0.05992695883134101</v>
      </c>
      <c r="G1023">
        <v>0.101431775056063</v>
      </c>
      <c r="H1023">
        <v>2.290106492614222</v>
      </c>
      <c r="I1023">
        <v>0.543651366077062</v>
      </c>
    </row>
    <row r="1024" spans="1:9">
      <c r="A1024" s="1" t="s">
        <v>1036</v>
      </c>
      <c r="B1024">
        <f>HYPERLINK("https://www.suredividend.com/sure-analysis-research-database/","eXp World Holdings Inc")</f>
        <v>0</v>
      </c>
      <c r="C1024">
        <v>-0.346138455382152</v>
      </c>
      <c r="D1024">
        <v>-0.441789280577751</v>
      </c>
      <c r="E1024">
        <v>-0.662858522313442</v>
      </c>
      <c r="F1024">
        <v>-0.5141965214806</v>
      </c>
      <c r="G1024">
        <v>-0.553299270352357</v>
      </c>
      <c r="H1024">
        <v>1.112612321417027</v>
      </c>
      <c r="I1024">
        <v>39.98319538500125</v>
      </c>
    </row>
    <row r="1025" spans="1:9">
      <c r="A1025" s="1" t="s">
        <v>1037</v>
      </c>
      <c r="B1025">
        <f>HYPERLINK("https://www.suredividend.com/sure-analysis-EXPO/","Exponent Inc.")</f>
        <v>0</v>
      </c>
      <c r="C1025">
        <v>0.089494949494949</v>
      </c>
      <c r="D1025">
        <v>0.06857463279511601</v>
      </c>
      <c r="E1025">
        <v>-0.02343803050647</v>
      </c>
      <c r="F1025">
        <v>-0.073682040888186</v>
      </c>
      <c r="G1025">
        <v>0.078254958413307</v>
      </c>
      <c r="H1025">
        <v>0.572142784263996</v>
      </c>
      <c r="I1025">
        <v>2.897760576460937</v>
      </c>
    </row>
    <row r="1026" spans="1:9">
      <c r="A1026" s="1" t="s">
        <v>1038</v>
      </c>
      <c r="B1026">
        <f>HYPERLINK("https://www.suredividend.com/sure-analysis-research-database/","Express Inc.")</f>
        <v>0</v>
      </c>
      <c r="C1026">
        <v>0.006079027355623001</v>
      </c>
      <c r="D1026">
        <v>0.05079365079365</v>
      </c>
      <c r="E1026">
        <v>-0.240825688073394</v>
      </c>
      <c r="F1026">
        <v>0.07467532467532401</v>
      </c>
      <c r="G1026">
        <v>0.044164037854889</v>
      </c>
      <c r="H1026">
        <v>0.671717171717171</v>
      </c>
      <c r="I1026">
        <v>-0.596341463414634</v>
      </c>
    </row>
    <row r="1027" spans="1:9">
      <c r="A1027" s="1" t="s">
        <v>1039</v>
      </c>
      <c r="B1027">
        <f>HYPERLINK("https://www.suredividend.com/sure-analysis-EXR/","Extra Space Storage Inc.")</f>
        <v>0</v>
      </c>
      <c r="C1027">
        <v>0.09896075694121201</v>
      </c>
      <c r="D1027">
        <v>0.05193713815688501</v>
      </c>
      <c r="E1027">
        <v>0.177516661403712</v>
      </c>
      <c r="F1027">
        <v>-0.05533039436122601</v>
      </c>
      <c r="G1027">
        <v>0.530560442195509</v>
      </c>
      <c r="H1027">
        <v>1.470457374585497</v>
      </c>
      <c r="I1027">
        <v>2.221987430383546</v>
      </c>
    </row>
    <row r="1028" spans="1:9">
      <c r="A1028" s="1" t="s">
        <v>1040</v>
      </c>
      <c r="B1028">
        <f>HYPERLINK("https://www.suredividend.com/sure-analysis-research-database/","Exterran Corp")</f>
        <v>0</v>
      </c>
      <c r="C1028">
        <v>0.284734133790737</v>
      </c>
      <c r="D1028">
        <v>1.115819209039548</v>
      </c>
      <c r="E1028">
        <v>0.443159922928709</v>
      </c>
      <c r="F1028">
        <v>1.513422818791946</v>
      </c>
      <c r="G1028">
        <v>1.400641025641025</v>
      </c>
      <c r="H1028">
        <v>0.741860465116279</v>
      </c>
      <c r="I1028">
        <v>-0.7358024691358021</v>
      </c>
    </row>
    <row r="1029" spans="1:9">
      <c r="A1029" s="1" t="s">
        <v>1041</v>
      </c>
      <c r="B1029">
        <f>HYPERLINK("https://www.suredividend.com/sure-analysis-research-database/","Extreme Networks Inc.")</f>
        <v>0</v>
      </c>
      <c r="C1029">
        <v>0.012259194395796</v>
      </c>
      <c r="D1029">
        <v>-0.191042687193841</v>
      </c>
      <c r="E1029">
        <v>0.136676499508358</v>
      </c>
      <c r="F1029">
        <v>-0.263694267515923</v>
      </c>
      <c r="G1029">
        <v>0.205422314911366</v>
      </c>
      <c r="H1029">
        <v>3.18840579710145</v>
      </c>
      <c r="I1029">
        <v>0.6397163120567371</v>
      </c>
    </row>
    <row r="1030" spans="1:9">
      <c r="A1030" s="1" t="s">
        <v>1042</v>
      </c>
      <c r="B1030">
        <f>HYPERLINK("https://www.suredividend.com/sure-analysis-research-database/","National Vision Holdings Inc")</f>
        <v>0</v>
      </c>
      <c r="C1030">
        <v>-0.005830223880597001</v>
      </c>
      <c r="D1030">
        <v>0.080882352941176</v>
      </c>
      <c r="E1030">
        <v>-0.328978435384857</v>
      </c>
      <c r="F1030">
        <v>-0.111689935403209</v>
      </c>
      <c r="G1030">
        <v>-0.104035308953341</v>
      </c>
      <c r="H1030">
        <v>0.7740324594257181</v>
      </c>
      <c r="I1030">
        <v>0.531800215594682</v>
      </c>
    </row>
    <row r="1031" spans="1:9">
      <c r="A1031" s="1" t="s">
        <v>1043</v>
      </c>
      <c r="B1031">
        <f>HYPERLINK("https://www.suredividend.com/sure-analysis-research-database/","Eyegate Pharmaceuticals Inc")</f>
        <v>0</v>
      </c>
      <c r="C1031">
        <v>0.04838709677419301</v>
      </c>
      <c r="D1031">
        <v>-0.129464285714285</v>
      </c>
      <c r="E1031">
        <v>-0.5038167938931291</v>
      </c>
      <c r="F1031">
        <v>-0.60446247464503</v>
      </c>
      <c r="G1031">
        <v>-0.409090909090909</v>
      </c>
      <c r="H1031">
        <v>-0.481382978723404</v>
      </c>
      <c r="I1031">
        <v>-0.9037037037037031</v>
      </c>
    </row>
    <row r="1032" spans="1:9">
      <c r="A1032" s="1" t="s">
        <v>1044</v>
      </c>
      <c r="B1032">
        <f>HYPERLINK("https://www.suredividend.com/sure-analysis-research-database/","Second Sight Medical Products Inc")</f>
        <v>0</v>
      </c>
      <c r="C1032">
        <v>0.129032258064516</v>
      </c>
      <c r="D1032">
        <v>-0.09090909090909001</v>
      </c>
      <c r="E1032">
        <v>-0.5205479452054791</v>
      </c>
      <c r="F1032">
        <v>-0.141104294478527</v>
      </c>
      <c r="G1032">
        <v>-0.8097826086956521</v>
      </c>
      <c r="H1032">
        <v>-0.09677419354838701</v>
      </c>
      <c r="I1032">
        <v>-0.861111111111111</v>
      </c>
    </row>
    <row r="1033" spans="1:9">
      <c r="A1033" s="1" t="s">
        <v>1045</v>
      </c>
      <c r="B1033">
        <f>HYPERLINK("https://www.suredividend.com/sure-analysis-research-database/","EyePoint Pharmaceuticals Inc")</f>
        <v>0</v>
      </c>
      <c r="C1033">
        <v>-0.029816513761467</v>
      </c>
      <c r="D1033">
        <v>0.277945619335347</v>
      </c>
      <c r="E1033">
        <v>0.109265734265734</v>
      </c>
      <c r="F1033">
        <v>0.03676470588235201</v>
      </c>
      <c r="G1033">
        <v>0.354322305229455</v>
      </c>
      <c r="H1033">
        <v>0.409999999999999</v>
      </c>
      <c r="I1033">
        <v>6.508875739644971</v>
      </c>
    </row>
    <row r="1034" spans="1:9">
      <c r="A1034" s="1" t="s">
        <v>1046</v>
      </c>
      <c r="B1034">
        <f>HYPERLINK("https://www.suredividend.com/sure-analysis-research-database/","EZCorp, Inc.")</f>
        <v>0</v>
      </c>
      <c r="C1034">
        <v>0.202020202020202</v>
      </c>
      <c r="D1034">
        <v>0.153473344103392</v>
      </c>
      <c r="E1034">
        <v>-0.1075</v>
      </c>
      <c r="F1034">
        <v>-0.031207598371777</v>
      </c>
      <c r="G1034">
        <v>0.365200764818355</v>
      </c>
      <c r="H1034">
        <v>0.4691358024691351</v>
      </c>
      <c r="I1034">
        <v>-0.155029585798816</v>
      </c>
    </row>
    <row r="1035" spans="1:9">
      <c r="A1035" s="1" t="s">
        <v>1047</v>
      </c>
      <c r="B1035">
        <f>HYPERLINK("https://www.suredividend.com/sure-analysis-F/","Ford Motor Co.")</f>
        <v>0</v>
      </c>
      <c r="C1035">
        <v>-0.06634499396863601</v>
      </c>
      <c r="D1035">
        <v>-0.38231209997925</v>
      </c>
      <c r="E1035">
        <v>-0.003950738028748</v>
      </c>
      <c r="F1035">
        <v>-0.25086382949893</v>
      </c>
      <c r="G1035">
        <v>0.278651963821087</v>
      </c>
      <c r="H1035">
        <v>2.165579436003353</v>
      </c>
      <c r="I1035">
        <v>0.681256380737233</v>
      </c>
    </row>
    <row r="1036" spans="1:9">
      <c r="A1036" s="1" t="s">
        <v>1048</v>
      </c>
      <c r="B1036">
        <f>HYPERLINK("https://www.suredividend.com/sure-analysis-FAF/","First American Financial Corp")</f>
        <v>0</v>
      </c>
      <c r="C1036">
        <v>-0.143739885243489</v>
      </c>
      <c r="D1036">
        <v>-0.262576118109458</v>
      </c>
      <c r="E1036">
        <v>-0.19287623131446</v>
      </c>
      <c r="F1036">
        <v>-0.250228023436171</v>
      </c>
      <c r="G1036">
        <v>-0.033595026501414</v>
      </c>
      <c r="H1036">
        <v>0.4749673707819601</v>
      </c>
      <c r="I1036">
        <v>0.7595201528545341</v>
      </c>
    </row>
    <row r="1037" spans="1:9">
      <c r="A1037" s="1" t="s">
        <v>1049</v>
      </c>
      <c r="B1037">
        <f>HYPERLINK("https://www.suredividend.com/sure-analysis-research-database/","Diamondback Energy Inc")</f>
        <v>0</v>
      </c>
      <c r="C1037">
        <v>0.101966090901854</v>
      </c>
      <c r="D1037">
        <v>0.076158168199075</v>
      </c>
      <c r="E1037">
        <v>0.289747975568946</v>
      </c>
      <c r="F1037">
        <v>0.289295143723254</v>
      </c>
      <c r="G1037">
        <v>0.8206183316434351</v>
      </c>
      <c r="H1037">
        <v>4.215707401979437</v>
      </c>
      <c r="I1037">
        <v>0.415000807462176</v>
      </c>
    </row>
    <row r="1038" spans="1:9">
      <c r="A1038" s="1" t="s">
        <v>1050</v>
      </c>
      <c r="B1038">
        <f>HYPERLINK("https://www.suredividend.com/sure-analysis-research-database/","Farmer Bros. Co.")</f>
        <v>0</v>
      </c>
      <c r="C1038">
        <v>-0.023564064801178</v>
      </c>
      <c r="D1038">
        <v>-0.101626016260162</v>
      </c>
      <c r="E1038">
        <v>-0.147814910025707</v>
      </c>
      <c r="F1038">
        <v>-0.110067114093959</v>
      </c>
      <c r="G1038">
        <v>-0.354430379746835</v>
      </c>
      <c r="H1038">
        <v>-0.17639751552795</v>
      </c>
      <c r="I1038">
        <v>-0.8165975103734441</v>
      </c>
    </row>
    <row r="1039" spans="1:9">
      <c r="A1039" s="1" t="s">
        <v>1051</v>
      </c>
      <c r="B1039">
        <f>HYPERLINK("https://www.suredividend.com/sure-analysis-research-database/","Faro Technologies Inc.")</f>
        <v>0</v>
      </c>
      <c r="C1039">
        <v>-0.154934893376108</v>
      </c>
      <c r="D1039">
        <v>-0.275990299110751</v>
      </c>
      <c r="E1039">
        <v>-0.361653599429793</v>
      </c>
      <c r="F1039">
        <v>-0.36046843758926</v>
      </c>
      <c r="G1039">
        <v>-0.483565909353015</v>
      </c>
      <c r="H1039">
        <v>-0.007975188303057001</v>
      </c>
      <c r="I1039">
        <v>0.399375</v>
      </c>
    </row>
    <row r="1040" spans="1:9">
      <c r="A1040" s="1" t="s">
        <v>1052</v>
      </c>
      <c r="B1040">
        <f>HYPERLINK("https://www.suredividend.com/sure-analysis-FAST/","Fastenal Co.")</f>
        <v>0</v>
      </c>
      <c r="C1040">
        <v>0.0007146685724490001</v>
      </c>
      <c r="D1040">
        <v>-0.048681810307051</v>
      </c>
      <c r="E1040">
        <v>0.015442853465123</v>
      </c>
      <c r="F1040">
        <v>-0.120854627873978</v>
      </c>
      <c r="G1040">
        <v>0.13181239517449</v>
      </c>
      <c r="H1040">
        <v>0.667311642306432</v>
      </c>
      <c r="I1040">
        <v>1.818822345244086</v>
      </c>
    </row>
    <row r="1041" spans="1:9">
      <c r="A1041" s="1" t="s">
        <v>1053</v>
      </c>
      <c r="B1041">
        <f>HYPERLINK("https://www.suredividend.com/sure-analysis-research-database/","Fate Therapeutics Inc")</f>
        <v>0</v>
      </c>
      <c r="C1041">
        <v>0.109251101321586</v>
      </c>
      <c r="D1041">
        <v>-0.127310536044362</v>
      </c>
      <c r="E1041">
        <v>-0.383246244284781</v>
      </c>
      <c r="F1041">
        <v>-0.354469321483507</v>
      </c>
      <c r="G1041">
        <v>-0.534680300603671</v>
      </c>
      <c r="H1041">
        <v>0.309639389736477</v>
      </c>
      <c r="I1041">
        <v>7.992857142857144</v>
      </c>
    </row>
    <row r="1042" spans="1:9">
      <c r="A1042" s="1" t="s">
        <v>1054</v>
      </c>
      <c r="B1042">
        <f>HYPERLINK("https://www.suredividend.com/sure-analysis-research-database/","Meta Platforms Inc")</f>
        <v>0</v>
      </c>
      <c r="C1042">
        <v>0.032166183764671</v>
      </c>
      <c r="D1042">
        <v>-0.3667369689665561</v>
      </c>
      <c r="E1042">
        <v>-0.352814386008129</v>
      </c>
      <c r="F1042">
        <v>-0.375115207373271</v>
      </c>
      <c r="G1042">
        <v>-0.313541054281795</v>
      </c>
      <c r="H1042">
        <v>0.192510638297872</v>
      </c>
      <c r="I1042">
        <v>0.5078556567903001</v>
      </c>
    </row>
    <row r="1043" spans="1:9">
      <c r="A1043" s="1" t="s">
        <v>1055</v>
      </c>
      <c r="B1043">
        <f>HYPERLINK("https://www.suredividend.com/sure-analysis-research-database/","Flagstar Bancorp, Inc.")</f>
        <v>0</v>
      </c>
      <c r="C1043">
        <v>-0.111160914388166</v>
      </c>
      <c r="D1043">
        <v>-0.237012768397015</v>
      </c>
      <c r="E1043">
        <v>-0.271351013696616</v>
      </c>
      <c r="F1043">
        <v>-0.171599610655994</v>
      </c>
      <c r="G1043">
        <v>-0.090085232812912</v>
      </c>
      <c r="H1043">
        <v>1.079106707556813</v>
      </c>
      <c r="I1043">
        <v>0.461085609448795</v>
      </c>
    </row>
    <row r="1044" spans="1:9">
      <c r="A1044" s="1" t="s">
        <v>1056</v>
      </c>
      <c r="B1044">
        <f>HYPERLINK("https://www.suredividend.com/sure-analysis-research-database/","Fortune Brands Home &amp; Security Inc")</f>
        <v>0</v>
      </c>
      <c r="C1044">
        <v>-0.185687558465855</v>
      </c>
      <c r="D1044">
        <v>-0.311467176046492</v>
      </c>
      <c r="E1044">
        <v>-0.260747765736444</v>
      </c>
      <c r="F1044">
        <v>-0.346377010191037</v>
      </c>
      <c r="G1044">
        <v>-0.317997749510092</v>
      </c>
      <c r="H1044">
        <v>0.6276009713253351</v>
      </c>
      <c r="I1044">
        <v>0.21095984739541</v>
      </c>
    </row>
    <row r="1045" spans="1:9">
      <c r="A1045" s="1" t="s">
        <v>1057</v>
      </c>
      <c r="B1045">
        <f>HYPERLINK("https://www.suredividend.com/sure-analysis-research-database/","Fortress Biotech Inc")</f>
        <v>0</v>
      </c>
      <c r="C1045">
        <v>-0.169230769230769</v>
      </c>
      <c r="D1045">
        <v>-0.5324675324675321</v>
      </c>
      <c r="E1045">
        <v>-0.649350649350649</v>
      </c>
      <c r="F1045">
        <v>-0.5680000000000001</v>
      </c>
      <c r="G1045">
        <v>-0.737864077669902</v>
      </c>
      <c r="H1045">
        <v>-0.5045871559633021</v>
      </c>
      <c r="I1045">
        <v>-0.6707317073170731</v>
      </c>
    </row>
    <row r="1046" spans="1:9">
      <c r="A1046" s="1" t="s">
        <v>1058</v>
      </c>
      <c r="B1046">
        <f>HYPERLINK("https://www.suredividend.com/sure-analysis-research-database/","First Business Financial Services Inc")</f>
        <v>0</v>
      </c>
      <c r="C1046">
        <v>0.011703110563597</v>
      </c>
      <c r="D1046">
        <v>0.09049625048549401</v>
      </c>
      <c r="E1046">
        <v>0.158084735843868</v>
      </c>
      <c r="F1046">
        <v>0.132739090705332</v>
      </c>
      <c r="G1046">
        <v>0.390434992402341</v>
      </c>
      <c r="H1046">
        <v>1.472769426483096</v>
      </c>
      <c r="I1046">
        <v>0.485289529726137</v>
      </c>
    </row>
    <row r="1047" spans="1:9">
      <c r="A1047" s="1" t="s">
        <v>1059</v>
      </c>
      <c r="B1047">
        <f>HYPERLINK("https://www.suredividend.com/sure-analysis-research-database/","FB Financial Corp")</f>
        <v>0</v>
      </c>
      <c r="C1047">
        <v>-0.122848034006376</v>
      </c>
      <c r="D1047">
        <v>-0.117868349278819</v>
      </c>
      <c r="E1047">
        <v>-0.07989753353680901</v>
      </c>
      <c r="F1047">
        <v>-0.05546375425121301</v>
      </c>
      <c r="G1047">
        <v>-0.024907735999735</v>
      </c>
      <c r="H1047">
        <v>1.323852854560709</v>
      </c>
      <c r="I1047">
        <v>0.302283018570234</v>
      </c>
    </row>
    <row r="1048" spans="1:9">
      <c r="A1048" s="1" t="s">
        <v>1060</v>
      </c>
      <c r="B1048">
        <f>HYPERLINK("https://www.suredividend.com/sure-analysis-research-database/","Foundation Building Materials Inc")</f>
        <v>0</v>
      </c>
      <c r="C1048">
        <v>0.001040582726326</v>
      </c>
      <c r="D1048">
        <v>0.30264048747461</v>
      </c>
      <c r="E1048">
        <v>0.3742857142857141</v>
      </c>
      <c r="F1048">
        <v>0.001561686621551</v>
      </c>
      <c r="G1048">
        <v>0.043383947939262</v>
      </c>
      <c r="H1048">
        <v>1.035978835978836</v>
      </c>
      <c r="I1048">
        <v>0.241290322580645</v>
      </c>
    </row>
    <row r="1049" spans="1:9">
      <c r="A1049" s="1" t="s">
        <v>1061</v>
      </c>
      <c r="B1049">
        <f>HYPERLINK("https://www.suredividend.com/sure-analysis-research-database/","First Bancshares Inc Miss")</f>
        <v>0</v>
      </c>
      <c r="C1049">
        <v>-0.06898517673888201</v>
      </c>
      <c r="D1049">
        <v>-0.169024405137495</v>
      </c>
      <c r="E1049">
        <v>-0.149720522039316</v>
      </c>
      <c r="F1049">
        <v>-0.150521105623051</v>
      </c>
      <c r="G1049">
        <v>-0.131107983643759</v>
      </c>
      <c r="H1049">
        <v>0.959290432111726</v>
      </c>
      <c r="I1049">
        <v>0.247965274009766</v>
      </c>
    </row>
    <row r="1050" spans="1:9">
      <c r="A1050" s="1" t="s">
        <v>1062</v>
      </c>
      <c r="B1050">
        <f>HYPERLINK("https://www.suredividend.com/sure-analysis-research-database/","First Bancorp")</f>
        <v>0</v>
      </c>
      <c r="C1050">
        <v>-0.13088542449539</v>
      </c>
      <c r="D1050">
        <v>-0.198840241630113</v>
      </c>
      <c r="E1050">
        <v>-0.147623510981443</v>
      </c>
      <c r="F1050">
        <v>-0.148374899702129</v>
      </c>
      <c r="G1050">
        <v>-0.086107369409366</v>
      </c>
      <c r="H1050">
        <v>0.96221445575647</v>
      </c>
      <c r="I1050">
        <v>0.4763156891886741</v>
      </c>
    </row>
    <row r="1051" spans="1:9">
      <c r="A1051" s="1" t="s">
        <v>1063</v>
      </c>
      <c r="B1051">
        <f>HYPERLINK("https://www.suredividend.com/sure-analysis-research-database/","First Bancorp PR")</f>
        <v>0</v>
      </c>
      <c r="C1051">
        <v>-0.023916292974588</v>
      </c>
      <c r="D1051">
        <v>-0.197379499376217</v>
      </c>
      <c r="E1051">
        <v>-0.013043543974729</v>
      </c>
      <c r="F1051">
        <v>-0.045363507448503</v>
      </c>
      <c r="G1051">
        <v>0.115057545848843</v>
      </c>
      <c r="H1051">
        <v>1.74750704758699</v>
      </c>
      <c r="I1051">
        <v>1.648012976480129</v>
      </c>
    </row>
    <row r="1052" spans="1:9">
      <c r="A1052" s="1" t="s">
        <v>1064</v>
      </c>
      <c r="B1052">
        <f>HYPERLINK("https://www.suredividend.com/sure-analysis-research-database/","Fauquier Bankshares, Inc.")</f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 t="s">
        <v>1065</v>
      </c>
      <c r="B1053">
        <f>HYPERLINK("https://www.suredividend.com/sure-analysis-research-database/","Franklin Covey Co.")</f>
        <v>0</v>
      </c>
      <c r="C1053">
        <v>-0.03941637630662</v>
      </c>
      <c r="D1053">
        <v>-0.113901165126556</v>
      </c>
      <c r="E1053">
        <v>0.060081711127133</v>
      </c>
      <c r="F1053">
        <v>-0.04853321829163</v>
      </c>
      <c r="G1053">
        <v>0.4586640211640211</v>
      </c>
      <c r="H1053">
        <v>1.454646633277685</v>
      </c>
      <c r="I1053">
        <v>1.136077481840193</v>
      </c>
    </row>
    <row r="1054" spans="1:9">
      <c r="A1054" s="1" t="s">
        <v>1066</v>
      </c>
      <c r="B1054">
        <f>HYPERLINK("https://www.suredividend.com/sure-analysis-research-database/","First Capital Inc.")</f>
        <v>0</v>
      </c>
      <c r="C1054">
        <v>-0.008962868117797</v>
      </c>
      <c r="D1054">
        <v>-0.06143820649814501</v>
      </c>
      <c r="E1054">
        <v>-0.04478879218849401</v>
      </c>
      <c r="F1054">
        <v>-0.03803131991051401</v>
      </c>
      <c r="G1054">
        <v>-0.140364867356299</v>
      </c>
      <c r="H1054">
        <v>-0.182859905870528</v>
      </c>
      <c r="I1054">
        <v>0.303688731682668</v>
      </c>
    </row>
    <row r="1055" spans="1:9">
      <c r="A1055" s="1" t="s">
        <v>1067</v>
      </c>
      <c r="B1055">
        <f>HYPERLINK("https://www.suredividend.com/sure-analysis-research-database/","First Community Bankshares Inc.")</f>
        <v>0</v>
      </c>
      <c r="C1055">
        <v>-0.07822553335590901</v>
      </c>
      <c r="D1055">
        <v>-0.212773772236538</v>
      </c>
      <c r="E1055">
        <v>-0.149433476448494</v>
      </c>
      <c r="F1055">
        <v>-0.178147540934109</v>
      </c>
      <c r="G1055">
        <v>-0.043445563899733</v>
      </c>
      <c r="H1055">
        <v>0.4121626529151141</v>
      </c>
      <c r="I1055">
        <v>0.340193495974988</v>
      </c>
    </row>
    <row r="1056" spans="1:9">
      <c r="A1056" s="1" t="s">
        <v>1068</v>
      </c>
      <c r="B1056">
        <f>HYPERLINK("https://www.suredividend.com/sure-analysis-research-database/","First Choice Bancorp")</f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1069</v>
      </c>
      <c r="B1057">
        <f>HYPERLINK("https://www.suredividend.com/sure-analysis-research-database/","First Community Corp.")</f>
        <v>0</v>
      </c>
      <c r="C1057">
        <v>-0.043723554301833</v>
      </c>
      <c r="D1057">
        <v>-0.043629131225932</v>
      </c>
      <c r="E1057">
        <v>0.058536991548357</v>
      </c>
      <c r="F1057">
        <v>-0.019603117604245</v>
      </c>
      <c r="G1057">
        <v>0.06629480902104201</v>
      </c>
      <c r="H1057">
        <v>0.562908207957461</v>
      </c>
      <c r="I1057">
        <v>0.130069059775875</v>
      </c>
    </row>
    <row r="1058" spans="1:9">
      <c r="A1058" s="1" t="s">
        <v>1070</v>
      </c>
      <c r="B1058">
        <f>HYPERLINK("https://www.suredividend.com/sure-analysis-research-database/","1st Constitution Bancorp")</f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1071</v>
      </c>
      <c r="B1059">
        <f>HYPERLINK("https://www.suredividend.com/sure-analysis-research-database/","Fuelcell Energy Inc")</f>
        <v>0</v>
      </c>
      <c r="C1059">
        <v>-0.151612903225806</v>
      </c>
      <c r="D1059">
        <v>0.08902691511387101</v>
      </c>
      <c r="E1059">
        <v>-0.288227334235453</v>
      </c>
      <c r="F1059">
        <v>0.011538461538461</v>
      </c>
      <c r="G1059">
        <v>-0.466531440162271</v>
      </c>
      <c r="H1059">
        <v>2.267080745341614</v>
      </c>
      <c r="I1059">
        <v>-0.7343434343434341</v>
      </c>
    </row>
    <row r="1060" spans="1:9">
      <c r="A1060" s="1" t="s">
        <v>1072</v>
      </c>
      <c r="B1060">
        <f>HYPERLINK("https://www.suredividend.com/sure-analysis-research-database/","First Commonwealth Financial Corp.")</f>
        <v>0</v>
      </c>
      <c r="C1060">
        <v>-0.09574468085106301</v>
      </c>
      <c r="D1060">
        <v>-0.170902998519674</v>
      </c>
      <c r="E1060">
        <v>0.04024188323374801</v>
      </c>
      <c r="F1060">
        <v>-0.095671112168073</v>
      </c>
      <c r="G1060">
        <v>0.034122463000601</v>
      </c>
      <c r="H1060">
        <v>0.8852662204652491</v>
      </c>
      <c r="I1060">
        <v>0.379172114953279</v>
      </c>
    </row>
    <row r="1061" spans="1:9">
      <c r="A1061" s="1" t="s">
        <v>1073</v>
      </c>
      <c r="B1061">
        <f>HYPERLINK("https://www.suredividend.com/sure-analysis-research-database/","FirstCash Holdings Inc")</f>
        <v>0</v>
      </c>
      <c r="C1061">
        <v>0.087415664417717</v>
      </c>
      <c r="D1061">
        <v>0.007871018610404</v>
      </c>
      <c r="E1061">
        <v>0.13966157554293</v>
      </c>
      <c r="F1061">
        <v>-0.005061918590607</v>
      </c>
      <c r="G1061">
        <v>0.13966157554293</v>
      </c>
      <c r="H1061">
        <v>0.13966157554293</v>
      </c>
      <c r="I1061">
        <v>0.13966157554293</v>
      </c>
    </row>
    <row r="1062" spans="1:9">
      <c r="A1062" s="1" t="s">
        <v>1074</v>
      </c>
      <c r="B1062">
        <f>HYPERLINK("https://www.suredividend.com/sure-analysis-research-database/","FTI Consulting Inc.")</f>
        <v>0</v>
      </c>
      <c r="C1062">
        <v>0.060251154922245</v>
      </c>
      <c r="D1062">
        <v>0.07699933906146701</v>
      </c>
      <c r="E1062">
        <v>0.134196422356789</v>
      </c>
      <c r="F1062">
        <v>0.06211706426802201</v>
      </c>
      <c r="G1062">
        <v>0.116401753905179</v>
      </c>
      <c r="H1062">
        <v>0.202050752434346</v>
      </c>
      <c r="I1062">
        <v>3.00861008610086</v>
      </c>
    </row>
    <row r="1063" spans="1:9">
      <c r="A1063" s="1" t="s">
        <v>1075</v>
      </c>
      <c r="B1063">
        <f>HYPERLINK("https://www.suredividend.com/sure-analysis-research-database/","First Citizens Bancshares, Inc (NC)")</f>
        <v>0</v>
      </c>
      <c r="C1063">
        <v>-0.158640338728186</v>
      </c>
      <c r="D1063">
        <v>-0.295530351800784</v>
      </c>
      <c r="E1063">
        <v>-0.252442518026183</v>
      </c>
      <c r="F1063">
        <v>-0.23085948130946</v>
      </c>
      <c r="G1063">
        <v>-0.25394702446082</v>
      </c>
      <c r="H1063">
        <v>1.063186168055256</v>
      </c>
      <c r="I1063">
        <v>1.007781704338673</v>
      </c>
    </row>
    <row r="1064" spans="1:9">
      <c r="A1064" s="1" t="s">
        <v>1076</v>
      </c>
      <c r="B1064">
        <f>HYPERLINK("https://www.suredividend.com/sure-analysis-FCPT/","Four Corners Property Trust Inc")</f>
        <v>0</v>
      </c>
      <c r="C1064">
        <v>0.106145762634312</v>
      </c>
      <c r="D1064">
        <v>0.046993817647674</v>
      </c>
      <c r="E1064">
        <v>0.032685694757901</v>
      </c>
      <c r="F1064">
        <v>-0.001421623128741</v>
      </c>
      <c r="G1064">
        <v>0.065333867040751</v>
      </c>
      <c r="H1064">
        <v>0.707947460451096</v>
      </c>
      <c r="I1064">
        <v>0.565586244859631</v>
      </c>
    </row>
    <row r="1065" spans="1:9">
      <c r="A1065" s="1" t="s">
        <v>1077</v>
      </c>
      <c r="B1065">
        <f>HYPERLINK("https://www.suredividend.com/sure-analysis-FCX/","Freeport-McMoRan Inc")</f>
        <v>0</v>
      </c>
      <c r="C1065">
        <v>0.06133016883327001</v>
      </c>
      <c r="D1065">
        <v>0.117672587142789</v>
      </c>
      <c r="E1065">
        <v>0.277148161129934</v>
      </c>
      <c r="F1065">
        <v>0.182577003336891</v>
      </c>
      <c r="G1065">
        <v>0.299332503915959</v>
      </c>
      <c r="H1065">
        <v>5.552376385336743</v>
      </c>
      <c r="I1065">
        <v>3.028830009418895</v>
      </c>
    </row>
    <row r="1066" spans="1:9">
      <c r="A1066" s="1" t="s">
        <v>1078</v>
      </c>
      <c r="B1066">
        <f>HYPERLINK("https://www.suredividend.com/sure-analysis-research-database/","Fidelity D&amp;D Bancorp, Inc.")</f>
        <v>0</v>
      </c>
      <c r="C1066">
        <v>-0.134583333333333</v>
      </c>
      <c r="D1066">
        <v>-0.209959756255277</v>
      </c>
      <c r="E1066">
        <v>-0.171455298677001</v>
      </c>
      <c r="F1066">
        <v>-0.291239971745146</v>
      </c>
      <c r="G1066">
        <v>-0.237910031555001</v>
      </c>
      <c r="H1066">
        <v>0.138465839173201</v>
      </c>
      <c r="I1066">
        <v>0.6168394175641531</v>
      </c>
    </row>
    <row r="1067" spans="1:9">
      <c r="A1067" s="1" t="s">
        <v>1079</v>
      </c>
      <c r="B1067">
        <f>HYPERLINK("https://www.suredividend.com/sure-analysis-research-database/","Fresh Del Monte Produce Inc")</f>
        <v>0</v>
      </c>
      <c r="C1067">
        <v>0.019953952417498</v>
      </c>
      <c r="D1067">
        <v>-0.07797014676855901</v>
      </c>
      <c r="E1067">
        <v>-0.198439097354366</v>
      </c>
      <c r="F1067">
        <v>-0.031535224353719</v>
      </c>
      <c r="G1067">
        <v>-0.07623333970493601</v>
      </c>
      <c r="H1067">
        <v>-0.124376142708899</v>
      </c>
      <c r="I1067">
        <v>-0.515633485069921</v>
      </c>
    </row>
    <row r="1068" spans="1:9">
      <c r="A1068" s="1" t="s">
        <v>1080</v>
      </c>
      <c r="B1068">
        <f>HYPERLINK("https://www.suredividend.com/sure-analysis-research-database/","Factset Research Systems Inc.")</f>
        <v>0</v>
      </c>
      <c r="C1068">
        <v>0.003148479427549</v>
      </c>
      <c r="D1068">
        <v>-0.013252360761525</v>
      </c>
      <c r="E1068">
        <v>0.017630754675664</v>
      </c>
      <c r="F1068">
        <v>-0.132837314985396</v>
      </c>
      <c r="G1068">
        <v>0.331873635888036</v>
      </c>
      <c r="H1068">
        <v>0.520528050609791</v>
      </c>
      <c r="I1068">
        <v>1.814849221477372</v>
      </c>
    </row>
    <row r="1069" spans="1:9">
      <c r="A1069" s="1" t="s">
        <v>1081</v>
      </c>
      <c r="B1069">
        <f>HYPERLINK("https://www.suredividend.com/sure-analysis-FDX/","Fedex Corp")</f>
        <v>0</v>
      </c>
      <c r="C1069">
        <v>-0.08936396228920401</v>
      </c>
      <c r="D1069">
        <v>-0.194287721601226</v>
      </c>
      <c r="E1069">
        <v>-0.09622517847949301</v>
      </c>
      <c r="F1069">
        <v>-0.201826480475319</v>
      </c>
      <c r="G1069">
        <v>-0.276147814458256</v>
      </c>
      <c r="H1069">
        <v>0.7701292622826701</v>
      </c>
      <c r="I1069">
        <v>0.191745709941351</v>
      </c>
    </row>
    <row r="1070" spans="1:9">
      <c r="A1070" s="1" t="s">
        <v>1082</v>
      </c>
      <c r="B1070">
        <f>HYPERLINK("https://www.suredividend.com/sure-analysis-FE/","Firstenergy Corp.")</f>
        <v>0</v>
      </c>
      <c r="C1070">
        <v>0.08021877848678201</v>
      </c>
      <c r="D1070">
        <v>0.150781511748168</v>
      </c>
      <c r="E1070">
        <v>0.319444831060956</v>
      </c>
      <c r="F1070">
        <v>0.150228589732389</v>
      </c>
      <c r="G1070">
        <v>0.3820773146879241</v>
      </c>
      <c r="H1070">
        <v>0.154309788498301</v>
      </c>
      <c r="I1070">
        <v>0.866553255835932</v>
      </c>
    </row>
    <row r="1071" spans="1:9">
      <c r="A1071" s="1" t="s">
        <v>1083</v>
      </c>
      <c r="B1071">
        <f>HYPERLINK("https://www.suredividend.com/sure-analysis-research-database/","Frequency Electronics, Inc.")</f>
        <v>0</v>
      </c>
      <c r="C1071">
        <v>-0.024647887323943</v>
      </c>
      <c r="D1071">
        <v>-0.107411385606874</v>
      </c>
      <c r="E1071">
        <v>-0.164824120603015</v>
      </c>
      <c r="F1071">
        <v>-0.167334669338677</v>
      </c>
      <c r="G1071">
        <v>-0.226976744186046</v>
      </c>
      <c r="H1071">
        <v>-0.156345177664974</v>
      </c>
      <c r="I1071">
        <v>-0.218984962406015</v>
      </c>
    </row>
    <row r="1072" spans="1:9">
      <c r="A1072" s="1" t="s">
        <v>1084</v>
      </c>
      <c r="B1072">
        <f>HYPERLINK("https://www.suredividend.com/sure-analysis-FELE/","Franklin Electric Co., Inc.")</f>
        <v>0</v>
      </c>
      <c r="C1072">
        <v>-0.059463986599665</v>
      </c>
      <c r="D1072">
        <v>-0.128947079739958</v>
      </c>
      <c r="E1072">
        <v>-0.05685504770314601</v>
      </c>
      <c r="F1072">
        <v>-0.166806221236743</v>
      </c>
      <c r="G1072">
        <v>-0.026406298572863</v>
      </c>
      <c r="H1072">
        <v>0.644144473888409</v>
      </c>
      <c r="I1072">
        <v>0.980265362108185</v>
      </c>
    </row>
    <row r="1073" spans="1:9">
      <c r="A1073" s="1" t="s">
        <v>1085</v>
      </c>
      <c r="B1073">
        <f>HYPERLINK("https://www.suredividend.com/sure-analysis-research-database/","Forum Energy Technologies Inc")</f>
        <v>0</v>
      </c>
      <c r="C1073">
        <v>-0.014175257731958</v>
      </c>
      <c r="D1073">
        <v>0.214285714285714</v>
      </c>
      <c r="E1073">
        <v>-0.01964972234088</v>
      </c>
      <c r="F1073">
        <v>0.429906542056074</v>
      </c>
      <c r="G1073">
        <v>0.1953125</v>
      </c>
      <c r="H1073">
        <v>5.033123028391167</v>
      </c>
      <c r="I1073">
        <v>-0.9434729064039401</v>
      </c>
    </row>
    <row r="1074" spans="1:9">
      <c r="A1074" s="1" t="s">
        <v>1086</v>
      </c>
      <c r="B1074">
        <f>HYPERLINK("https://www.suredividend.com/sure-analysis-research-database/","Futurefuel Corp")</f>
        <v>0</v>
      </c>
      <c r="C1074">
        <v>0.116150442477876</v>
      </c>
      <c r="D1074">
        <v>0.254366662937132</v>
      </c>
      <c r="E1074">
        <v>0.309250392515603</v>
      </c>
      <c r="F1074">
        <v>0.331538593504625</v>
      </c>
      <c r="G1074">
        <v>-0.09422241373119301</v>
      </c>
      <c r="H1074">
        <v>0.436687502669761</v>
      </c>
      <c r="I1074">
        <v>0.229378365864951</v>
      </c>
    </row>
    <row r="1075" spans="1:9">
      <c r="A1075" s="1" t="s">
        <v>1087</v>
      </c>
      <c r="B1075">
        <f>HYPERLINK("https://www.suredividend.com/sure-analysis-research-database/","First Financial Bancorp")</f>
        <v>0</v>
      </c>
      <c r="C1075">
        <v>-0.112469437652811</v>
      </c>
      <c r="D1075">
        <v>-0.177632199966017</v>
      </c>
      <c r="E1075">
        <v>-0.058166234956821</v>
      </c>
      <c r="F1075">
        <v>-0.09836438829115601</v>
      </c>
      <c r="G1075">
        <v>-0.077771238149275</v>
      </c>
      <c r="H1075">
        <v>0.8271812080536911</v>
      </c>
      <c r="I1075">
        <v>0.001904446468493</v>
      </c>
    </row>
    <row r="1076" spans="1:9">
      <c r="A1076" s="1" t="s">
        <v>1088</v>
      </c>
      <c r="B1076">
        <f>HYPERLINK("https://www.suredividend.com/sure-analysis-research-database/","FBL Financial Group, Inc.")</f>
        <v>0</v>
      </c>
      <c r="C1076">
        <v>0.08080808080808001</v>
      </c>
      <c r="D1076">
        <v>0.07497316532801701</v>
      </c>
      <c r="E1076">
        <v>0.173385560758631</v>
      </c>
      <c r="F1076">
        <v>0.172010115529182</v>
      </c>
      <c r="G1076">
        <v>0.772408662396689</v>
      </c>
      <c r="H1076">
        <v>0.041718262948887</v>
      </c>
      <c r="I1076">
        <v>0.230237333537734</v>
      </c>
    </row>
    <row r="1077" spans="1:9">
      <c r="A1077" s="1" t="s">
        <v>1089</v>
      </c>
      <c r="B1077">
        <f>HYPERLINK("https://www.suredividend.com/sure-analysis-research-database/","Flushing Financial Corp.")</f>
        <v>0</v>
      </c>
      <c r="C1077">
        <v>-0.09700854700854701</v>
      </c>
      <c r="D1077">
        <v>-0.175655905588608</v>
      </c>
      <c r="E1077">
        <v>-0.072798279871868</v>
      </c>
      <c r="F1077">
        <v>-0.12205620834649</v>
      </c>
      <c r="G1077">
        <v>-0.002982088594454</v>
      </c>
      <c r="H1077">
        <v>1.135206143896523</v>
      </c>
      <c r="I1077">
        <v>0.032736727891222</v>
      </c>
    </row>
    <row r="1078" spans="1:9">
      <c r="A1078" s="1" t="s">
        <v>1090</v>
      </c>
      <c r="B1078">
        <f>HYPERLINK("https://www.suredividend.com/sure-analysis-research-database/","First Financial Bankshares, Inc.")</f>
        <v>0</v>
      </c>
      <c r="C1078">
        <v>-0.10146173688736</v>
      </c>
      <c r="D1078">
        <v>-0.205889337449536</v>
      </c>
      <c r="E1078">
        <v>-0.118197409863109</v>
      </c>
      <c r="F1078">
        <v>-0.175117762793075</v>
      </c>
      <c r="G1078">
        <v>-0.10310822351058</v>
      </c>
      <c r="H1078">
        <v>0.7890695554290551</v>
      </c>
      <c r="I1078">
        <v>1.439793142897166</v>
      </c>
    </row>
    <row r="1079" spans="1:9">
      <c r="A1079" s="1" t="s">
        <v>1091</v>
      </c>
      <c r="B1079">
        <f>HYPERLINK("https://www.suredividend.com/sure-analysis-research-database/","F5 Inc")</f>
        <v>0</v>
      </c>
      <c r="C1079">
        <v>0.011507654871742</v>
      </c>
      <c r="D1079">
        <v>-0.154999364756701</v>
      </c>
      <c r="E1079">
        <v>-0.02349141095287</v>
      </c>
      <c r="F1079">
        <v>-0.184626700993012</v>
      </c>
      <c r="G1079">
        <v>-0.04881536921390001</v>
      </c>
      <c r="H1079">
        <v>0.631279892081919</v>
      </c>
      <c r="I1079">
        <v>0.48426690470877</v>
      </c>
    </row>
    <row r="1080" spans="1:9">
      <c r="A1080" s="1" t="s">
        <v>1092</v>
      </c>
      <c r="B1080">
        <f>HYPERLINK("https://www.suredividend.com/sure-analysis-research-database/","First Financial Northwest Inc")</f>
        <v>0</v>
      </c>
      <c r="C1080">
        <v>-0.015285126396237</v>
      </c>
      <c r="D1080">
        <v>0.012488363939698</v>
      </c>
      <c r="E1080">
        <v>0.022907010119145</v>
      </c>
      <c r="F1080">
        <v>0.043165243602439</v>
      </c>
      <c r="G1080">
        <v>0.253648678991093</v>
      </c>
      <c r="H1080">
        <v>1.147573562407846</v>
      </c>
      <c r="I1080">
        <v>0.137513497361647</v>
      </c>
    </row>
    <row r="1081" spans="1:9">
      <c r="A1081" s="1" t="s">
        <v>1093</v>
      </c>
      <c r="B1081">
        <f>HYPERLINK("https://www.suredividend.com/sure-analysis-research-database/","First Foundation Inc")</f>
        <v>0</v>
      </c>
      <c r="C1081">
        <v>-0.120500189465706</v>
      </c>
      <c r="D1081">
        <v>-0.154404129976209</v>
      </c>
      <c r="E1081">
        <v>-0.116391863647957</v>
      </c>
      <c r="F1081">
        <v>-0.06256310836463501</v>
      </c>
      <c r="G1081">
        <v>-0.005744492184320001</v>
      </c>
      <c r="H1081">
        <v>1.306240063593005</v>
      </c>
      <c r="I1081">
        <v>0.5899656112564901</v>
      </c>
    </row>
    <row r="1082" spans="1:9">
      <c r="A1082" s="1" t="s">
        <v>1094</v>
      </c>
      <c r="B1082">
        <f>HYPERLINK("https://www.suredividend.com/sure-analysis-research-database/","First Guaranty Bancshares Inc")</f>
        <v>0</v>
      </c>
      <c r="C1082">
        <v>0.05205244159364401</v>
      </c>
      <c r="D1082">
        <v>0.13364148588009</v>
      </c>
      <c r="E1082">
        <v>0.283625587373315</v>
      </c>
      <c r="F1082">
        <v>0.162009406742816</v>
      </c>
      <c r="G1082">
        <v>0.555483542428591</v>
      </c>
      <c r="H1082">
        <v>1.323330106485963</v>
      </c>
      <c r="I1082">
        <v>0.5370138017565871</v>
      </c>
    </row>
    <row r="1083" spans="1:9">
      <c r="A1083" s="1" t="s">
        <v>1095</v>
      </c>
      <c r="B1083">
        <f>HYPERLINK("https://www.suredividend.com/sure-analysis-research-database/","FibroGen Inc")</f>
        <v>0</v>
      </c>
      <c r="C1083">
        <v>-0.06264869151467001</v>
      </c>
      <c r="D1083">
        <v>-0.175732217573221</v>
      </c>
      <c r="E1083">
        <v>0.070652173913043</v>
      </c>
      <c r="F1083">
        <v>-0.161702127659574</v>
      </c>
      <c r="G1083">
        <v>-0.406328478151682</v>
      </c>
      <c r="H1083">
        <v>-0.6818304172274561</v>
      </c>
      <c r="I1083">
        <v>-0.531881188118811</v>
      </c>
    </row>
    <row r="1084" spans="1:9">
      <c r="A1084" s="1" t="s">
        <v>1096</v>
      </c>
      <c r="B1084">
        <f>HYPERLINK("https://www.suredividend.com/sure-analysis-research-database/","First Hawaiian INC")</f>
        <v>0</v>
      </c>
      <c r="C1084">
        <v>-0.06931034482758601</v>
      </c>
      <c r="D1084">
        <v>-0.120222177311576</v>
      </c>
      <c r="E1084">
        <v>-0.039706824165658</v>
      </c>
      <c r="F1084">
        <v>-0.003691399040236</v>
      </c>
      <c r="G1084">
        <v>-1.4820084178e-05</v>
      </c>
      <c r="H1084">
        <v>0.91757074550092</v>
      </c>
      <c r="I1084">
        <v>0.135617752495077</v>
      </c>
    </row>
    <row r="1085" spans="1:9">
      <c r="A1085" s="1" t="s">
        <v>1097</v>
      </c>
      <c r="B1085">
        <f>HYPERLINK("https://www.suredividend.com/sure-analysis-research-database/","First Horizon Corporation")</f>
        <v>0</v>
      </c>
      <c r="C1085">
        <v>-0.000433839479392</v>
      </c>
      <c r="D1085">
        <v>0.244672058084695</v>
      </c>
      <c r="E1085">
        <v>0.392725668103318</v>
      </c>
      <c r="F1085">
        <v>0.419978305886993</v>
      </c>
      <c r="G1085">
        <v>0.3541231993511491</v>
      </c>
      <c r="H1085">
        <v>2.477893338566274</v>
      </c>
      <c r="I1085">
        <v>0.5629345724654881</v>
      </c>
    </row>
    <row r="1086" spans="1:9">
      <c r="A1086" s="1" t="s">
        <v>1098</v>
      </c>
      <c r="B1086">
        <f>HYPERLINK("https://www.suredividend.com/sure-analysis-research-database/","First Interstate BancSystem Inc.")</f>
        <v>0</v>
      </c>
      <c r="C1086">
        <v>-0.137801204819277</v>
      </c>
      <c r="D1086">
        <v>-0.215862631003444</v>
      </c>
      <c r="E1086">
        <v>-0.138866813907488</v>
      </c>
      <c r="F1086">
        <v>-0.146259323419834</v>
      </c>
      <c r="G1086">
        <v>-0.250237370264872</v>
      </c>
      <c r="H1086">
        <v>0.410492255637862</v>
      </c>
      <c r="I1086">
        <v>0.112885824718052</v>
      </c>
    </row>
    <row r="1087" spans="1:9">
      <c r="A1087" s="1" t="s">
        <v>1099</v>
      </c>
      <c r="B1087">
        <f>HYPERLINK("https://www.suredividend.com/sure-analysis-research-database/","Fair, Isaac Corp.")</f>
        <v>0</v>
      </c>
      <c r="C1087">
        <v>-0.144711816753493</v>
      </c>
      <c r="D1087">
        <v>-0.05205755659426201</v>
      </c>
      <c r="E1087">
        <v>0.009565641776476001</v>
      </c>
      <c r="F1087">
        <v>-0.04600272096294401</v>
      </c>
      <c r="G1087">
        <v>-0.223717046627263</v>
      </c>
      <c r="H1087">
        <v>0.372114619262404</v>
      </c>
      <c r="I1087">
        <v>2.28271046576212</v>
      </c>
    </row>
    <row r="1088" spans="1:9">
      <c r="A1088" s="1" t="s">
        <v>1100</v>
      </c>
      <c r="B1088">
        <f>HYPERLINK("https://www.suredividend.com/sure-analysis-research-database/","Fidelity National Information Services, Inc.")</f>
        <v>0</v>
      </c>
      <c r="C1088">
        <v>0.074124554413923</v>
      </c>
      <c r="D1088">
        <v>-0.127615875091964</v>
      </c>
      <c r="E1088">
        <v>-0.171793945243817</v>
      </c>
      <c r="F1088">
        <v>-0.056562942308064</v>
      </c>
      <c r="G1088">
        <v>-0.318893476136341</v>
      </c>
      <c r="H1088">
        <v>-0.146395824046725</v>
      </c>
      <c r="I1088">
        <v>0.357394121271141</v>
      </c>
    </row>
    <row r="1089" spans="1:9">
      <c r="A1089" s="1" t="s">
        <v>1101</v>
      </c>
      <c r="B1089">
        <f>HYPERLINK("https://www.suredividend.com/sure-analysis-research-database/","Financial Institutions Inc.")</f>
        <v>0</v>
      </c>
      <c r="C1089">
        <v>-0.101934295363831</v>
      </c>
      <c r="D1089">
        <v>-0.120927339009487</v>
      </c>
      <c r="E1089">
        <v>-0.059028660217661</v>
      </c>
      <c r="F1089">
        <v>-0.07200010152477501</v>
      </c>
      <c r="G1089">
        <v>-0.024066356814686</v>
      </c>
      <c r="H1089">
        <v>1.063987129187953</v>
      </c>
      <c r="I1089">
        <v>0.116169382996828</v>
      </c>
    </row>
    <row r="1090" spans="1:9">
      <c r="A1090" s="1" t="s">
        <v>1102</v>
      </c>
      <c r="B1090">
        <f>HYPERLINK("https://www.suredividend.com/sure-analysis-research-database/","Fiserv, Inc.")</f>
        <v>0</v>
      </c>
      <c r="C1090">
        <v>0.013936927772126</v>
      </c>
      <c r="D1090">
        <v>-0.08651819264961901</v>
      </c>
      <c r="E1090">
        <v>-0.09225865209471701</v>
      </c>
      <c r="F1090">
        <v>-0.03969553906927401</v>
      </c>
      <c r="G1090">
        <v>-0.203213686145974</v>
      </c>
      <c r="H1090">
        <v>0.041157421915804</v>
      </c>
      <c r="I1090">
        <v>0.730532164250369</v>
      </c>
    </row>
    <row r="1091" spans="1:9">
      <c r="A1091" s="1" t="s">
        <v>1103</v>
      </c>
      <c r="B1091">
        <f>HYPERLINK("https://www.suredividend.com/sure-analysis-research-database/","Fitbit Inc")</f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1104</v>
      </c>
      <c r="B1092">
        <f>HYPERLINK("https://www.suredividend.com/sure-analysis-FITB/","Fifth Third Bancorp")</f>
        <v>0</v>
      </c>
      <c r="C1092">
        <v>-0.173362830358202</v>
      </c>
      <c r="D1092">
        <v>-0.221699054307489</v>
      </c>
      <c r="E1092">
        <v>-0.093222998338001</v>
      </c>
      <c r="F1092">
        <v>-0.098384904823097</v>
      </c>
      <c r="G1092">
        <v>0.04945993570342801</v>
      </c>
      <c r="H1092">
        <v>1.837689403583301</v>
      </c>
      <c r="I1092">
        <v>0.9238830776211111</v>
      </c>
    </row>
    <row r="1093" spans="1:9">
      <c r="A1093" s="1" t="s">
        <v>1105</v>
      </c>
      <c r="B1093">
        <f>HYPERLINK("https://www.suredividend.com/sure-analysis-research-database/","Five Below Inc")</f>
        <v>0</v>
      </c>
      <c r="C1093">
        <v>0.129111376642978</v>
      </c>
      <c r="D1093">
        <v>0.03594714673129</v>
      </c>
      <c r="E1093">
        <v>-0.05535094180785</v>
      </c>
      <c r="F1093">
        <v>-0.132195852868674</v>
      </c>
      <c r="G1093">
        <v>-0.104583312552989</v>
      </c>
      <c r="H1093">
        <v>1.208092485549132</v>
      </c>
      <c r="I1093">
        <v>2.979166666666666</v>
      </c>
    </row>
    <row r="1094" spans="1:9">
      <c r="A1094" s="1" t="s">
        <v>1106</v>
      </c>
      <c r="B1094">
        <f>HYPERLINK("https://www.suredividend.com/sure-analysis-research-database/","Five9 Inc")</f>
        <v>0</v>
      </c>
      <c r="C1094">
        <v>0.216920437486596</v>
      </c>
      <c r="D1094">
        <v>-0.115846057961982</v>
      </c>
      <c r="E1094">
        <v>-0.2628604832424</v>
      </c>
      <c r="F1094">
        <v>-0.173536265656859</v>
      </c>
      <c r="G1094">
        <v>-0.3603674688609591</v>
      </c>
      <c r="H1094">
        <v>0.248652216965562</v>
      </c>
      <c r="I1094">
        <v>5.894896719319562</v>
      </c>
    </row>
    <row r="1095" spans="1:9">
      <c r="A1095" s="1" t="s">
        <v>1107</v>
      </c>
      <c r="B1095">
        <f>HYPERLINK("https://www.suredividend.com/sure-analysis-research-database/","Comfort Systems USA, Inc.")</f>
        <v>0</v>
      </c>
      <c r="C1095">
        <v>-0.036444734551784</v>
      </c>
      <c r="D1095">
        <v>-0.085012154038622</v>
      </c>
      <c r="E1095">
        <v>0.10494549501109</v>
      </c>
      <c r="F1095">
        <v>-0.103507122244704</v>
      </c>
      <c r="G1095">
        <v>0.100705137286774</v>
      </c>
      <c r="H1095">
        <v>1.851678584882272</v>
      </c>
      <c r="I1095">
        <v>1.633691747746032</v>
      </c>
    </row>
    <row r="1096" spans="1:9">
      <c r="A1096" s="1" t="s">
        <v>1108</v>
      </c>
      <c r="B1096">
        <f>HYPERLINK("https://www.suredividend.com/sure-analysis-research-database/","Homology Medicines Inc")</f>
        <v>0</v>
      </c>
      <c r="C1096">
        <v>-0.331210191082802</v>
      </c>
      <c r="D1096">
        <v>-0.4308943089430891</v>
      </c>
      <c r="E1096">
        <v>-0.661290322580645</v>
      </c>
      <c r="F1096">
        <v>-0.423076923076923</v>
      </c>
      <c r="G1096">
        <v>-0.6916299559471361</v>
      </c>
      <c r="H1096">
        <v>-0.852320675105485</v>
      </c>
      <c r="I1096">
        <v>-0.8874598070739551</v>
      </c>
    </row>
    <row r="1097" spans="1:9">
      <c r="A1097" s="1" t="s">
        <v>1109</v>
      </c>
      <c r="B1097">
        <f>HYPERLINK("https://www.suredividend.com/sure-analysis-research-database/","National Beverage Corp.")</f>
        <v>0</v>
      </c>
      <c r="C1097">
        <v>0.125267411457095</v>
      </c>
      <c r="D1097">
        <v>0.05036609718216101</v>
      </c>
      <c r="E1097">
        <v>-0.08903552068720601</v>
      </c>
      <c r="F1097">
        <v>0.044341495698213</v>
      </c>
      <c r="G1097">
        <v>-0.031089461511696</v>
      </c>
      <c r="H1097">
        <v>1.058860624616736</v>
      </c>
      <c r="I1097">
        <v>0.311818839314662</v>
      </c>
    </row>
    <row r="1098" spans="1:9">
      <c r="A1098" s="1" t="s">
        <v>1110</v>
      </c>
      <c r="B1098">
        <f>HYPERLINK("https://www.suredividend.com/sure-analysis-FL/","Foot Locker Inc")</f>
        <v>0</v>
      </c>
      <c r="C1098">
        <v>-0.038136008833961</v>
      </c>
      <c r="D1098">
        <v>-0.2895768775969</v>
      </c>
      <c r="E1098">
        <v>-0.348171019340452</v>
      </c>
      <c r="F1098">
        <v>-0.288710858624263</v>
      </c>
      <c r="G1098">
        <v>-0.466639530783145</v>
      </c>
      <c r="H1098">
        <v>0.456713099396709</v>
      </c>
      <c r="I1098">
        <v>-0.513604669395173</v>
      </c>
    </row>
    <row r="1099" spans="1:9">
      <c r="A1099" s="1" t="s">
        <v>1111</v>
      </c>
      <c r="B1099">
        <f>HYPERLINK("https://www.suredividend.com/sure-analysis-FLIC/","First Of Long Island Corp.")</f>
        <v>0</v>
      </c>
      <c r="C1099">
        <v>-0.07800387596899201</v>
      </c>
      <c r="D1099">
        <v>-0.139692585895117</v>
      </c>
      <c r="E1099">
        <v>-0.06292163602162701</v>
      </c>
      <c r="F1099">
        <v>-0.101981492230228</v>
      </c>
      <c r="G1099">
        <v>-0.08673388586813001</v>
      </c>
      <c r="H1099">
        <v>0.48756712812776</v>
      </c>
      <c r="I1099">
        <v>-0.131926229695147</v>
      </c>
    </row>
    <row r="1100" spans="1:9">
      <c r="A1100" s="1" t="s">
        <v>1112</v>
      </c>
      <c r="B1100">
        <f>HYPERLINK("https://www.suredividend.com/sure-analysis-research-database/","Flir Systems, Inc.")</f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1113</v>
      </c>
      <c r="B1101">
        <f>HYPERLINK("https://www.suredividend.com/sure-analysis-research-database/","Full House Resorts, Inc.")</f>
        <v>0</v>
      </c>
      <c r="C1101">
        <v>0.010548523206751</v>
      </c>
      <c r="D1101">
        <v>-0.042957042957042</v>
      </c>
      <c r="E1101">
        <v>-0.175559380378657</v>
      </c>
      <c r="F1101">
        <v>-0.208918249380677</v>
      </c>
      <c r="G1101">
        <v>0.08863636363636301</v>
      </c>
      <c r="H1101">
        <v>7.87037037037037</v>
      </c>
      <c r="I1101">
        <v>2.958677685950413</v>
      </c>
    </row>
    <row r="1102" spans="1:9">
      <c r="A1102" s="1" t="s">
        <v>1114</v>
      </c>
      <c r="B1102">
        <f>HYPERLINK("https://www.suredividend.com/sure-analysis-research-database/","Falcon Minerals Corp")</f>
        <v>0</v>
      </c>
      <c r="C1102">
        <v>0.237774030354131</v>
      </c>
      <c r="D1102">
        <v>0.51315246969572</v>
      </c>
      <c r="E1102">
        <v>0.24242526828938</v>
      </c>
      <c r="F1102">
        <v>0.547315386723443</v>
      </c>
      <c r="G1102">
        <v>0.8312916344402581</v>
      </c>
      <c r="H1102">
        <v>3.256306175703102</v>
      </c>
      <c r="I1102">
        <v>-0.242518059855521</v>
      </c>
    </row>
    <row r="1103" spans="1:9">
      <c r="A1103" s="1" t="s">
        <v>1115</v>
      </c>
      <c r="B1103">
        <f>HYPERLINK("https://www.suredividend.com/sure-analysis-research-database/","Fluent Inc")</f>
        <v>0</v>
      </c>
      <c r="C1103">
        <v>-0.211538461538461</v>
      </c>
      <c r="D1103">
        <v>-0.118279569892473</v>
      </c>
      <c r="E1103">
        <v>-0.27433628318584</v>
      </c>
      <c r="F1103">
        <v>-0.175879396984924</v>
      </c>
      <c r="G1103">
        <v>-0.5626666666666661</v>
      </c>
      <c r="H1103">
        <v>0.093333333333333</v>
      </c>
      <c r="I1103">
        <v>-0.6070444471067441</v>
      </c>
    </row>
    <row r="1104" spans="1:9">
      <c r="A1104" s="1" t="s">
        <v>1116</v>
      </c>
      <c r="B1104">
        <f>HYPERLINK("https://www.suredividend.com/sure-analysis-FLO/","Flowers Foods, Inc.")</f>
        <v>0</v>
      </c>
      <c r="C1104">
        <v>0.061014263074484</v>
      </c>
      <c r="D1104">
        <v>-0.07172147484670201</v>
      </c>
      <c r="E1104">
        <v>0.08962335162934801</v>
      </c>
      <c r="F1104">
        <v>-0.017651460684048</v>
      </c>
      <c r="G1104">
        <v>0.151862636724546</v>
      </c>
      <c r="H1104">
        <v>0.22519752764472</v>
      </c>
      <c r="I1104">
        <v>0.652474392200419</v>
      </c>
    </row>
    <row r="1105" spans="1:9">
      <c r="A1105" s="1" t="s">
        <v>1117</v>
      </c>
      <c r="B1105">
        <f>HYPERLINK("https://www.suredividend.com/sure-analysis-research-database/","SPX FLOW Inc")</f>
        <v>0</v>
      </c>
      <c r="C1105">
        <v>0.010633325543351</v>
      </c>
      <c r="D1105">
        <v>-0.0009241076585420001</v>
      </c>
      <c r="E1105">
        <v>0.174497555676262</v>
      </c>
      <c r="F1105">
        <v>0.000115633672525</v>
      </c>
      <c r="G1105">
        <v>0.336578581363004</v>
      </c>
      <c r="H1105">
        <v>2.356762232252706</v>
      </c>
      <c r="I1105">
        <v>1.559367925784544</v>
      </c>
    </row>
    <row r="1106" spans="1:9">
      <c r="A1106" s="1" t="s">
        <v>1118</v>
      </c>
      <c r="B1106">
        <f>HYPERLINK("https://www.suredividend.com/sure-analysis-research-database/","Fluor Corporation")</f>
        <v>0</v>
      </c>
      <c r="C1106">
        <v>0.077199281867145</v>
      </c>
      <c r="D1106">
        <v>0.29757785467128</v>
      </c>
      <c r="E1106">
        <v>0.7221584385763481</v>
      </c>
      <c r="F1106">
        <v>0.211142511102139</v>
      </c>
      <c r="G1106">
        <v>0.335707925200356</v>
      </c>
      <c r="H1106">
        <v>3.160887656033287</v>
      </c>
      <c r="I1106">
        <v>-0.357526046964845</v>
      </c>
    </row>
    <row r="1107" spans="1:9">
      <c r="A1107" s="1" t="s">
        <v>1119</v>
      </c>
      <c r="B1107">
        <f>HYPERLINK("https://www.suredividend.com/sure-analysis-research-database/","Flowserve Corp.")</f>
        <v>0</v>
      </c>
      <c r="C1107">
        <v>0.075757940907119</v>
      </c>
      <c r="D1107">
        <v>0.105559064284033</v>
      </c>
      <c r="E1107">
        <v>-0.023444443532883</v>
      </c>
      <c r="F1107">
        <v>0.173840869122166</v>
      </c>
      <c r="G1107">
        <v>-0.086945960803364</v>
      </c>
      <c r="H1107">
        <v>0.621413003995641</v>
      </c>
      <c r="I1107">
        <v>-0.157806854522985</v>
      </c>
    </row>
    <row r="1108" spans="1:9">
      <c r="A1108" s="1" t="s">
        <v>1120</v>
      </c>
      <c r="B1108">
        <f>HYPERLINK("https://www.suredividend.com/sure-analysis-research-database/","Fleetcor Technologies Inc")</f>
        <v>0</v>
      </c>
      <c r="C1108">
        <v>0.09360334841246301</v>
      </c>
      <c r="D1108">
        <v>0.06012295081967201</v>
      </c>
      <c r="E1108">
        <v>-0.04991552192756901</v>
      </c>
      <c r="F1108">
        <v>0.155602215868477</v>
      </c>
      <c r="G1108">
        <v>-0.112502573251904</v>
      </c>
      <c r="H1108">
        <v>0.236235901357293</v>
      </c>
      <c r="I1108">
        <v>0.8170132059567291</v>
      </c>
    </row>
    <row r="1109" spans="1:9">
      <c r="A1109" s="1" t="s">
        <v>1121</v>
      </c>
      <c r="B1109">
        <f>HYPERLINK("https://www.suredividend.com/sure-analysis-research-database/","1-800 Flowers.com Inc.")</f>
        <v>0</v>
      </c>
      <c r="C1109">
        <v>-0.05964912280701701</v>
      </c>
      <c r="D1109">
        <v>-0.441899208663057</v>
      </c>
      <c r="E1109">
        <v>-0.5552605376700961</v>
      </c>
      <c r="F1109">
        <v>-0.4266153187847661</v>
      </c>
      <c r="G1109">
        <v>-0.489329268292682</v>
      </c>
      <c r="H1109">
        <v>-0.08281998631074601</v>
      </c>
      <c r="I1109">
        <v>0.353535353535353</v>
      </c>
    </row>
    <row r="1110" spans="1:9">
      <c r="A1110" s="1" t="s">
        <v>1122</v>
      </c>
      <c r="B1110">
        <f>HYPERLINK("https://www.suredividend.com/sure-analysis-research-database/","Flexion Therapeutics Inc")</f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1123</v>
      </c>
      <c r="B1111">
        <f>HYPERLINK("https://www.suredividend.com/sure-analysis-research-database/","Flexsteel Industries, Inc.")</f>
        <v>0</v>
      </c>
      <c r="C1111">
        <v>-0.048888320604305</v>
      </c>
      <c r="D1111">
        <v>-0.271549370044633</v>
      </c>
      <c r="E1111">
        <v>-0.351741983924273</v>
      </c>
      <c r="F1111">
        <v>-0.274802576813181</v>
      </c>
      <c r="G1111">
        <v>-0.4776036756821</v>
      </c>
      <c r="H1111">
        <v>1.2428129095105</v>
      </c>
      <c r="I1111">
        <v>-0.562455317955168</v>
      </c>
    </row>
    <row r="1112" spans="1:9">
      <c r="A1112" s="1" t="s">
        <v>1124</v>
      </c>
      <c r="B1112">
        <f>HYPERLINK("https://www.suredividend.com/sure-analysis-research-database/","Farmers &amp; Merchants Bancorp Inc.")</f>
        <v>0</v>
      </c>
      <c r="C1112">
        <v>0.020627638855742</v>
      </c>
      <c r="D1112">
        <v>0.074808402370535</v>
      </c>
      <c r="E1112">
        <v>0.47137529414763</v>
      </c>
      <c r="F1112">
        <v>0.06073179470062801</v>
      </c>
      <c r="G1112">
        <v>0.476581015874098</v>
      </c>
      <c r="H1112">
        <v>0.9529796470654561</v>
      </c>
      <c r="I1112">
        <v>2.158797030876693</v>
      </c>
    </row>
    <row r="1113" spans="1:9">
      <c r="A1113" s="1" t="s">
        <v>1125</v>
      </c>
      <c r="B1113">
        <f>HYPERLINK("https://www.suredividend.com/sure-analysis-research-database/","First Mid Bancshares Inc.")</f>
        <v>0</v>
      </c>
      <c r="C1113">
        <v>-0.094008767657087</v>
      </c>
      <c r="D1113">
        <v>-0.160253820055034</v>
      </c>
      <c r="E1113">
        <v>-0.108473812616533</v>
      </c>
      <c r="F1113">
        <v>-0.126106168703794</v>
      </c>
      <c r="G1113">
        <v>-0.133353989949701</v>
      </c>
      <c r="H1113">
        <v>0.7446604946956691</v>
      </c>
      <c r="I1113">
        <v>0.311480033421588</v>
      </c>
    </row>
    <row r="1114" spans="1:9">
      <c r="A1114" s="1" t="s">
        <v>1126</v>
      </c>
      <c r="B1114">
        <f>HYPERLINK("https://www.suredividend.com/sure-analysis-research-database/","First Midwest Bancorp, Inc.")</f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1127</v>
      </c>
      <c r="B1115">
        <f>HYPERLINK("https://www.suredividend.com/sure-analysis-FMC/","FMC Corp.")</f>
        <v>0</v>
      </c>
      <c r="C1115">
        <v>0.08893196463896601</v>
      </c>
      <c r="D1115">
        <v>0.203742081165251</v>
      </c>
      <c r="E1115">
        <v>0.4928679784784291</v>
      </c>
      <c r="F1115">
        <v>0.249858375577005</v>
      </c>
      <c r="G1115">
        <v>0.226083792102654</v>
      </c>
      <c r="H1115">
        <v>0.701150225779533</v>
      </c>
      <c r="I1115">
        <v>1.354109408693287</v>
      </c>
    </row>
    <row r="1116" spans="1:9">
      <c r="A1116" s="1" t="s">
        <v>1128</v>
      </c>
      <c r="B1116">
        <f>HYPERLINK("https://www.suredividend.com/sure-analysis-research-database/","Farmers National Banc Corp.")</f>
        <v>0</v>
      </c>
      <c r="C1116">
        <v>-0.06922629435718401</v>
      </c>
      <c r="D1116">
        <v>-0.180709812536163</v>
      </c>
      <c r="E1116">
        <v>-0.031400776090128</v>
      </c>
      <c r="F1116">
        <v>-0.129474365740463</v>
      </c>
      <c r="G1116">
        <v>-0.009741666357210001</v>
      </c>
      <c r="H1116">
        <v>0.598465473145779</v>
      </c>
      <c r="I1116">
        <v>0.413914687922517</v>
      </c>
    </row>
    <row r="1117" spans="1:9">
      <c r="A1117" s="1" t="s">
        <v>1129</v>
      </c>
      <c r="B1117">
        <f>HYPERLINK("https://www.suredividend.com/sure-analysis-research-database/","Fabrinet")</f>
        <v>0</v>
      </c>
      <c r="C1117">
        <v>-0.067350928641251</v>
      </c>
      <c r="D1117">
        <v>-0.192125317527519</v>
      </c>
      <c r="E1117">
        <v>-0.028213485434915</v>
      </c>
      <c r="F1117">
        <v>-0.194648434202751</v>
      </c>
      <c r="G1117">
        <v>0.06722595078299701</v>
      </c>
      <c r="H1117">
        <v>0.523148148148148</v>
      </c>
      <c r="I1117">
        <v>1.518078648719978</v>
      </c>
    </row>
    <row r="1118" spans="1:9">
      <c r="A1118" s="1" t="s">
        <v>1130</v>
      </c>
      <c r="B1118">
        <f>HYPERLINK("https://www.suredividend.com/sure-analysis-research-database/","F.N.B. Corp.")</f>
        <v>0</v>
      </c>
      <c r="C1118">
        <v>-0.08257575757575701</v>
      </c>
      <c r="D1118">
        <v>-0.126445404641164</v>
      </c>
      <c r="E1118">
        <v>0.029140569894026</v>
      </c>
      <c r="F1118">
        <v>0.007504284597081001</v>
      </c>
      <c r="G1118">
        <v>-0.030726994773449</v>
      </c>
      <c r="H1118">
        <v>0.8574759187680221</v>
      </c>
      <c r="I1118">
        <v>0.09277289995397801</v>
      </c>
    </row>
    <row r="1119" spans="1:9">
      <c r="A1119" s="1" t="s">
        <v>1131</v>
      </c>
      <c r="B1119">
        <f>HYPERLINK("https://www.suredividend.com/sure-analysis-research-database/","FNCB Bancorp Inc")</f>
        <v>0</v>
      </c>
      <c r="C1119">
        <v>-0.09908998988877601</v>
      </c>
      <c r="D1119">
        <v>-0.003188454438664</v>
      </c>
      <c r="E1119">
        <v>0.05309190620272301</v>
      </c>
      <c r="F1119">
        <v>-0.028014137976174</v>
      </c>
      <c r="G1119">
        <v>0.316722823195602</v>
      </c>
      <c r="H1119">
        <v>0.7315428415958951</v>
      </c>
      <c r="I1119">
        <v>0.6015098409274731</v>
      </c>
    </row>
    <row r="1120" spans="1:9">
      <c r="A1120" s="1" t="s">
        <v>1132</v>
      </c>
      <c r="B1120">
        <f>HYPERLINK("https://www.suredividend.com/sure-analysis-research-database/","Floor &amp; Decor Holdings Inc")</f>
        <v>0</v>
      </c>
      <c r="C1120">
        <v>-0.161625327687033</v>
      </c>
      <c r="D1120">
        <v>-0.21289284361984</v>
      </c>
      <c r="E1120">
        <v>-0.319391012523532</v>
      </c>
      <c r="F1120">
        <v>-0.360433812783632</v>
      </c>
      <c r="G1120">
        <v>-0.261479705124789</v>
      </c>
      <c r="H1120">
        <v>1.512084592145015</v>
      </c>
      <c r="I1120">
        <v>1.594383775351014</v>
      </c>
    </row>
    <row r="1121" spans="1:9">
      <c r="A1121" s="1" t="s">
        <v>1133</v>
      </c>
      <c r="B1121">
        <f>HYPERLINK("https://www.suredividend.com/sure-analysis-FNF/","Fidelity National Financial Inc")</f>
        <v>0</v>
      </c>
      <c r="C1121">
        <v>-0.145402997164844</v>
      </c>
      <c r="D1121">
        <v>-0.237745677999931</v>
      </c>
      <c r="E1121">
        <v>-0.125459289300968</v>
      </c>
      <c r="F1121">
        <v>-0.183840821883896</v>
      </c>
      <c r="G1121">
        <v>-0.021596744838459</v>
      </c>
      <c r="H1121">
        <v>0.744248526481991</v>
      </c>
      <c r="I1121">
        <v>0.7806282832971161</v>
      </c>
    </row>
    <row r="1122" spans="1:9">
      <c r="A1122" s="1" t="s">
        <v>1134</v>
      </c>
      <c r="B1122">
        <f>HYPERLINK("https://www.suredividend.com/sure-analysis-research-database/","FedNat Holding Co")</f>
        <v>0</v>
      </c>
      <c r="C1122">
        <v>-0.125984251968503</v>
      </c>
      <c r="D1122">
        <v>-0.207142857142857</v>
      </c>
      <c r="E1122">
        <v>-0.5542168674698791</v>
      </c>
      <c r="F1122">
        <v>-0.212765957446808</v>
      </c>
      <c r="G1122">
        <v>-0.7527839643652561</v>
      </c>
      <c r="H1122">
        <v>-0.897135549398103</v>
      </c>
      <c r="I1122">
        <v>-0.9212676615786181</v>
      </c>
    </row>
    <row r="1123" spans="1:9">
      <c r="A1123" s="1" t="s">
        <v>1135</v>
      </c>
      <c r="B1123">
        <f>HYPERLINK("https://www.suredividend.com/sure-analysis-research-database/","Funko Inc")</f>
        <v>0</v>
      </c>
      <c r="C1123">
        <v>-0.04355300859598801</v>
      </c>
      <c r="D1123">
        <v>-0.062359550561797</v>
      </c>
      <c r="E1123">
        <v>-0.125262054507337</v>
      </c>
      <c r="F1123">
        <v>-0.112234042553191</v>
      </c>
      <c r="G1123">
        <v>-0.20561637315564</v>
      </c>
      <c r="H1123">
        <v>3.380577427821523</v>
      </c>
      <c r="I1123">
        <v>1.36067892503536</v>
      </c>
    </row>
    <row r="1124" spans="1:9">
      <c r="A1124" s="1" t="s">
        <v>1136</v>
      </c>
      <c r="B1124">
        <f>HYPERLINK("https://www.suredividend.com/sure-analysis-research-database/","First Bancorp Inc (ME)")</f>
        <v>0</v>
      </c>
      <c r="C1124">
        <v>-0.022104546893842</v>
      </c>
      <c r="D1124">
        <v>-0.133039468654434</v>
      </c>
      <c r="E1124">
        <v>0.00294006888951</v>
      </c>
      <c r="F1124">
        <v>-0.05646885989716301</v>
      </c>
      <c r="G1124">
        <v>0.04619775768431</v>
      </c>
      <c r="H1124">
        <v>0.644433115246268</v>
      </c>
      <c r="I1124">
        <v>0.448082525240432</v>
      </c>
    </row>
    <row r="1125" spans="1:9">
      <c r="A1125" s="1" t="s">
        <v>1137</v>
      </c>
      <c r="B1125">
        <f>HYPERLINK("https://www.suredividend.com/sure-analysis-research-database/","First Northwest Bancorp")</f>
        <v>0</v>
      </c>
      <c r="C1125">
        <v>-0.05193133047210301</v>
      </c>
      <c r="D1125">
        <v>0.09199124034188301</v>
      </c>
      <c r="E1125">
        <v>0.270182621095726</v>
      </c>
      <c r="F1125">
        <v>0.09686036754008301</v>
      </c>
      <c r="G1125">
        <v>0.336689681046115</v>
      </c>
      <c r="H1125">
        <v>1.282142672658711</v>
      </c>
      <c r="I1125">
        <v>0.514922916552367</v>
      </c>
    </row>
    <row r="1126" spans="1:9">
      <c r="A1126" s="1" t="s">
        <v>1138</v>
      </c>
      <c r="B1126">
        <f>HYPERLINK("https://www.suredividend.com/sure-analysis-research-database/","Focus Financial Partners Inc")</f>
        <v>0</v>
      </c>
      <c r="C1126">
        <v>-0.07529665587918001</v>
      </c>
      <c r="D1126">
        <v>-0.217025940811107</v>
      </c>
      <c r="E1126">
        <v>-0.266221537407978</v>
      </c>
      <c r="F1126">
        <v>-0.28231748158071</v>
      </c>
      <c r="G1126">
        <v>-0.027456319491717</v>
      </c>
      <c r="H1126">
        <v>1.281000532197977</v>
      </c>
      <c r="I1126">
        <v>0.141411451398135</v>
      </c>
    </row>
    <row r="1127" spans="1:9">
      <c r="A1127" s="1" t="s">
        <v>1139</v>
      </c>
      <c r="B1127">
        <f>HYPERLINK("https://www.suredividend.com/sure-analysis-research-database/","Ferro Corp.")</f>
        <v>0</v>
      </c>
      <c r="C1127">
        <v>0</v>
      </c>
      <c r="D1127">
        <v>0.003693444136657</v>
      </c>
      <c r="E1127">
        <v>0.04218600191754501</v>
      </c>
      <c r="F1127">
        <v>-0.004122766834631001</v>
      </c>
      <c r="G1127">
        <v>0.228248587570621</v>
      </c>
      <c r="H1127">
        <v>1.473265073947668</v>
      </c>
      <c r="I1127">
        <v>0.4445182724252491</v>
      </c>
    </row>
    <row r="1128" spans="1:9">
      <c r="A1128" s="1" t="s">
        <v>1140</v>
      </c>
      <c r="B1128">
        <f>HYPERLINK("https://www.suredividend.com/sure-analysis-research-database/","Amicus Therapeutics Inc")</f>
        <v>0</v>
      </c>
      <c r="C1128">
        <v>-0.137894736842105</v>
      </c>
      <c r="D1128">
        <v>-0.222222222222222</v>
      </c>
      <c r="E1128">
        <v>-0.260830324909747</v>
      </c>
      <c r="F1128">
        <v>-0.290909090909091</v>
      </c>
      <c r="G1128">
        <v>-0.176056338028169</v>
      </c>
      <c r="H1128">
        <v>-0.228086710650329</v>
      </c>
      <c r="I1128">
        <v>0.148667601683029</v>
      </c>
    </row>
    <row r="1129" spans="1:9">
      <c r="A1129" s="1" t="s">
        <v>1141</v>
      </c>
      <c r="B1129">
        <f>HYPERLINK("https://www.suredividend.com/sure-analysis-research-database/","Fonar Corp.")</f>
        <v>0</v>
      </c>
      <c r="C1129">
        <v>0.04166666666666601</v>
      </c>
      <c r="D1129">
        <v>0.225490196078431</v>
      </c>
      <c r="E1129">
        <v>0.237623762376237</v>
      </c>
      <c r="F1129">
        <v>0.251668891855807</v>
      </c>
      <c r="G1129">
        <v>0.023471615720523</v>
      </c>
      <c r="H1129">
        <v>0.124775044991001</v>
      </c>
      <c r="I1129">
        <v>0.050420168067226</v>
      </c>
    </row>
    <row r="1130" spans="1:9">
      <c r="A1130" s="1" t="s">
        <v>1142</v>
      </c>
      <c r="B1130">
        <f>HYPERLINK("https://www.suredividend.com/sure-analysis-research-database/","Forestar Group Inc")</f>
        <v>0</v>
      </c>
      <c r="C1130">
        <v>-0.06084507042253501</v>
      </c>
      <c r="D1130">
        <v>-0.136269430051813</v>
      </c>
      <c r="E1130">
        <v>-0.145128205128205</v>
      </c>
      <c r="F1130">
        <v>-0.233563218390804</v>
      </c>
      <c r="G1130">
        <v>-0.353875968992248</v>
      </c>
      <c r="H1130">
        <v>0.405564924114671</v>
      </c>
      <c r="I1130">
        <v>0.05372945638432301</v>
      </c>
    </row>
    <row r="1131" spans="1:9">
      <c r="A1131" s="1" t="s">
        <v>1143</v>
      </c>
      <c r="B1131">
        <f>HYPERLINK("https://www.suredividend.com/sure-analysis-research-database/","Forward Industries, Inc.")</f>
        <v>0</v>
      </c>
      <c r="C1131">
        <v>0.138157894736842</v>
      </c>
      <c r="D1131">
        <v>0.081249999999999</v>
      </c>
      <c r="E1131">
        <v>-0.210045662100456</v>
      </c>
      <c r="F1131">
        <v>0.108974358974359</v>
      </c>
      <c r="G1131">
        <v>-0.37090909090909</v>
      </c>
      <c r="H1131">
        <v>0.6018518518518511</v>
      </c>
      <c r="I1131">
        <v>0.491379310344827</v>
      </c>
    </row>
    <row r="1132" spans="1:9">
      <c r="A1132" s="1" t="s">
        <v>1144</v>
      </c>
      <c r="B1132">
        <f>HYPERLINK("https://www.suredividend.com/sure-analysis-research-database/","FormFactor Inc.")</f>
        <v>0</v>
      </c>
      <c r="C1132">
        <v>-0.128118188423347</v>
      </c>
      <c r="D1132">
        <v>-0.194991055456171</v>
      </c>
      <c r="E1132">
        <v>0.000834028356964</v>
      </c>
      <c r="F1132">
        <v>-0.21259842519685</v>
      </c>
      <c r="G1132">
        <v>-0.270812234150293</v>
      </c>
      <c r="H1132">
        <v>0.511969760604787</v>
      </c>
      <c r="I1132">
        <v>2.364485981308412</v>
      </c>
    </row>
    <row r="1133" spans="1:9">
      <c r="A1133" s="1" t="s">
        <v>1145</v>
      </c>
      <c r="B1133">
        <f>HYPERLINK("https://www.suredividend.com/sure-analysis-research-database/","Forrester Research Inc.")</f>
        <v>0</v>
      </c>
      <c r="C1133">
        <v>0.063119755911517</v>
      </c>
      <c r="D1133">
        <v>-0.011174175239446</v>
      </c>
      <c r="E1133">
        <v>0.08801717408274701</v>
      </c>
      <c r="F1133">
        <v>-0.05074067767750701</v>
      </c>
      <c r="G1133">
        <v>0.288123844731977</v>
      </c>
      <c r="H1133">
        <v>0.8969037087444701</v>
      </c>
      <c r="I1133">
        <v>0.449629596885961</v>
      </c>
    </row>
    <row r="1134" spans="1:9">
      <c r="A1134" s="1" t="s">
        <v>1146</v>
      </c>
      <c r="B1134">
        <f>HYPERLINK("https://www.suredividend.com/sure-analysis-research-database/","Fossil Group Inc")</f>
        <v>0</v>
      </c>
      <c r="C1134">
        <v>0.118012422360248</v>
      </c>
      <c r="D1134">
        <v>0.045498547918683</v>
      </c>
      <c r="E1134">
        <v>-0.13322632423756</v>
      </c>
      <c r="F1134">
        <v>0.049562682215743</v>
      </c>
      <c r="G1134">
        <v>-0.183055975794251</v>
      </c>
      <c r="H1134">
        <v>2.03370786516854</v>
      </c>
      <c r="I1134">
        <v>-0.357142857142857</v>
      </c>
    </row>
    <row r="1135" spans="1:9">
      <c r="A1135" s="1" t="s">
        <v>1147</v>
      </c>
      <c r="B1135">
        <f>HYPERLINK("https://www.suredividend.com/sure-analysis-research-database/","Fox Corporation")</f>
        <v>0</v>
      </c>
      <c r="C1135">
        <v>-0.04195617316942801</v>
      </c>
      <c r="D1135">
        <v>-0.04306858675777701</v>
      </c>
      <c r="E1135">
        <v>-0.07425339892319001</v>
      </c>
      <c r="F1135">
        <v>0.05270885332550201</v>
      </c>
      <c r="G1135">
        <v>-0.010611433854475</v>
      </c>
      <c r="H1135">
        <v>0.466185708676874</v>
      </c>
      <c r="I1135">
        <v>-0.055619655755583</v>
      </c>
    </row>
    <row r="1136" spans="1:9">
      <c r="A1136" s="1" t="s">
        <v>1148</v>
      </c>
      <c r="B1136">
        <f>HYPERLINK("https://www.suredividend.com/sure-analysis-FOXA/","Fox Corporation")</f>
        <v>0</v>
      </c>
      <c r="C1136">
        <v>-0.038111630194246</v>
      </c>
      <c r="D1136">
        <v>-0.040814425052593</v>
      </c>
      <c r="E1136">
        <v>-0.054416950881408</v>
      </c>
      <c r="F1136">
        <v>0.066279985717517</v>
      </c>
      <c r="G1136">
        <v>0.043673131819758</v>
      </c>
      <c r="H1136">
        <v>0.5720439786536361</v>
      </c>
      <c r="I1136">
        <v>0.008785615005943001</v>
      </c>
    </row>
    <row r="1137" spans="1:9">
      <c r="A1137" s="1" t="s">
        <v>1149</v>
      </c>
      <c r="B1137">
        <f>HYPERLINK("https://www.suredividend.com/sure-analysis-research-database/","Fox Factory Holding Corp")</f>
        <v>0</v>
      </c>
      <c r="C1137">
        <v>-0.118028659953524</v>
      </c>
      <c r="D1137">
        <v>-0.3903761210012041</v>
      </c>
      <c r="E1137">
        <v>-0.420547073791348</v>
      </c>
      <c r="F1137">
        <v>-0.464491475602586</v>
      </c>
      <c r="G1137">
        <v>-0.354978048435065</v>
      </c>
      <c r="H1137">
        <v>1.126780294186318</v>
      </c>
      <c r="I1137">
        <v>2.411610486891386</v>
      </c>
    </row>
    <row r="1138" spans="1:9">
      <c r="A1138" s="1" t="s">
        <v>1150</v>
      </c>
      <c r="B1138">
        <f>HYPERLINK("https://www.suredividend.com/sure-analysis-research-database/","Farmland Partners Inc")</f>
        <v>0</v>
      </c>
      <c r="C1138">
        <v>0.115502786827031</v>
      </c>
      <c r="D1138">
        <v>0.190603706114512</v>
      </c>
      <c r="E1138">
        <v>0.236183827806864</v>
      </c>
      <c r="F1138">
        <v>0.213520890195255</v>
      </c>
      <c r="G1138">
        <v>0.09900139181491101</v>
      </c>
      <c r="H1138">
        <v>1.522695530726256</v>
      </c>
      <c r="I1138">
        <v>0.5472583011210931</v>
      </c>
    </row>
    <row r="1139" spans="1:9">
      <c r="A1139" s="1" t="s">
        <v>1151</v>
      </c>
      <c r="B1139">
        <f>HYPERLINK("https://www.suredividend.com/sure-analysis-research-database/","Five Prime Therapeutics Inc")</f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1152</v>
      </c>
      <c r="B1140">
        <f>HYPERLINK("https://www.suredividend.com/sure-analysis-FR/","First Industrial Realty Trust, Inc.")</f>
        <v>0</v>
      </c>
      <c r="C1140">
        <v>0.05005763551166</v>
      </c>
      <c r="D1140">
        <v>-0.008662531532677001</v>
      </c>
      <c r="E1140">
        <v>0.09678143272640401</v>
      </c>
      <c r="F1140">
        <v>-0.065417723977999</v>
      </c>
      <c r="G1140">
        <v>0.29381707552799</v>
      </c>
      <c r="H1140">
        <v>0.8684442880159231</v>
      </c>
      <c r="I1140">
        <v>1.498417695840568</v>
      </c>
    </row>
    <row r="1141" spans="1:9">
      <c r="A1141" s="1" t="s">
        <v>1153</v>
      </c>
      <c r="B1141">
        <f>HYPERLINK("https://www.suredividend.com/sure-analysis-research-database/","Franklin Financial Services Corp.")</f>
        <v>0</v>
      </c>
      <c r="C1141">
        <v>-0.016918967052537</v>
      </c>
      <c r="D1141">
        <v>-0.003945722259647001</v>
      </c>
      <c r="E1141">
        <v>0.040854808296668</v>
      </c>
      <c r="F1141">
        <v>0.010350602641188</v>
      </c>
      <c r="G1141">
        <v>0.126530612244897</v>
      </c>
      <c r="H1141">
        <v>0.5408449524766561</v>
      </c>
      <c r="I1141">
        <v>0.8471319818186881</v>
      </c>
    </row>
    <row r="1142" spans="1:9">
      <c r="A1142" s="1" t="s">
        <v>1154</v>
      </c>
      <c r="B1142">
        <f>HYPERLINK("https://www.suredividend.com/sure-analysis-research-database/","Francesca`s Holdings Corp")</f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1155</v>
      </c>
      <c r="B1143">
        <f>HYPERLINK("https://www.suredividend.com/sure-analysis-research-database/","First Bank (NJ)")</f>
        <v>0</v>
      </c>
      <c r="C1143">
        <v>-0.020223152022315</v>
      </c>
      <c r="D1143">
        <v>-0.021553675267244</v>
      </c>
      <c r="E1143">
        <v>-0.060546287319046</v>
      </c>
      <c r="F1143">
        <v>-0.027621097507803</v>
      </c>
      <c r="G1143">
        <v>0.252819959517419</v>
      </c>
      <c r="H1143">
        <v>1.300111322113811</v>
      </c>
      <c r="I1143">
        <v>0.116319720324169</v>
      </c>
    </row>
    <row r="1144" spans="1:9">
      <c r="A1144" s="1" t="s">
        <v>1156</v>
      </c>
      <c r="B1144">
        <f>HYPERLINK("https://www.suredividend.com/sure-analysis-research-database/","Republic First Bancorp, Inc.")</f>
        <v>0</v>
      </c>
      <c r="C1144">
        <v>-0.112167300380228</v>
      </c>
      <c r="D1144">
        <v>0.179292929292929</v>
      </c>
      <c r="E1144">
        <v>0.5618729096989961</v>
      </c>
      <c r="F1144">
        <v>0.255376344086021</v>
      </c>
      <c r="G1144">
        <v>0.262162162162162</v>
      </c>
      <c r="H1144">
        <v>1.358585858585858</v>
      </c>
      <c r="I1144">
        <v>-0.426993865030674</v>
      </c>
    </row>
    <row r="1145" spans="1:9">
      <c r="A1145" s="1" t="s">
        <v>1157</v>
      </c>
      <c r="B1145">
        <f>HYPERLINK("https://www.suredividend.com/sure-analysis-research-database/","First Republic Bank")</f>
        <v>0</v>
      </c>
      <c r="C1145">
        <v>-0.050950525445743</v>
      </c>
      <c r="D1145">
        <v>-0.161935446872181</v>
      </c>
      <c r="E1145">
        <v>-0.23420618742345</v>
      </c>
      <c r="F1145">
        <v>-0.22057696214598</v>
      </c>
      <c r="G1145">
        <v>-0.100878370517536</v>
      </c>
      <c r="H1145">
        <v>0.7078226244266971</v>
      </c>
      <c r="I1145">
        <v>0.842708890970096</v>
      </c>
    </row>
    <row r="1146" spans="1:9">
      <c r="A1146" s="1" t="s">
        <v>1158</v>
      </c>
      <c r="B1146">
        <f>HYPERLINK("https://www.suredividend.com/sure-analysis-research-database/","Friedman Industries, Inc.")</f>
        <v>0</v>
      </c>
      <c r="C1146">
        <v>0.07444168734491301</v>
      </c>
      <c r="D1146">
        <v>-0.253448275862069</v>
      </c>
      <c r="E1146">
        <v>-0.315323007835045</v>
      </c>
      <c r="F1146">
        <v>-0.075171669923856</v>
      </c>
      <c r="G1146">
        <v>0.05754200859710801</v>
      </c>
      <c r="H1146">
        <v>1.118758104372079</v>
      </c>
      <c r="I1146">
        <v>0.5047261606894631</v>
      </c>
    </row>
    <row r="1147" spans="1:9">
      <c r="A1147" s="1" t="s">
        <v>1159</v>
      </c>
      <c r="B1147">
        <f>HYPERLINK("https://www.suredividend.com/sure-analysis-research-database/","Fiesta Restaurant Group Inc")</f>
        <v>0</v>
      </c>
      <c r="C1147">
        <v>-0.211751662971175</v>
      </c>
      <c r="D1147">
        <v>-0.290419161676646</v>
      </c>
      <c r="E1147">
        <v>-0.357723577235772</v>
      </c>
      <c r="F1147">
        <v>-0.354223433242506</v>
      </c>
      <c r="G1147">
        <v>-0.4821558630735611</v>
      </c>
      <c r="H1147">
        <v>0.09216589861751101</v>
      </c>
      <c r="I1147">
        <v>-0.698089171974522</v>
      </c>
    </row>
    <row r="1148" spans="1:9">
      <c r="A1148" s="1" t="s">
        <v>1160</v>
      </c>
      <c r="B1148">
        <f>HYPERLINK("https://www.suredividend.com/sure-analysis-research-database/","First Merchants Corp.")</f>
        <v>0</v>
      </c>
      <c r="C1148">
        <v>-0.09963849977406201</v>
      </c>
      <c r="D1148">
        <v>-0.12374636360238</v>
      </c>
      <c r="E1148">
        <v>-0.05801092565496001</v>
      </c>
      <c r="F1148">
        <v>-0.042375773188443</v>
      </c>
      <c r="G1148">
        <v>-0.124485621571268</v>
      </c>
      <c r="H1148">
        <v>0.7536988302806791</v>
      </c>
      <c r="I1148">
        <v>0.221107852780663</v>
      </c>
    </row>
    <row r="1149" spans="1:9">
      <c r="A1149" s="1" t="s">
        <v>1161</v>
      </c>
      <c r="B1149">
        <f>HYPERLINK("https://www.suredividend.com/sure-analysis-research-database/","FRP Holdings Inc")</f>
        <v>0</v>
      </c>
      <c r="C1149">
        <v>0.03357817418677801</v>
      </c>
      <c r="D1149">
        <v>0.02125453602903</v>
      </c>
      <c r="E1149">
        <v>0.05385164051355201</v>
      </c>
      <c r="F1149">
        <v>0.022491349480968</v>
      </c>
      <c r="G1149">
        <v>0.158369266954135</v>
      </c>
      <c r="H1149">
        <v>0.402800854497982</v>
      </c>
      <c r="I1149">
        <v>0.5310880829015541</v>
      </c>
    </row>
    <row r="1150" spans="1:9">
      <c r="A1150" s="1" t="s">
        <v>1162</v>
      </c>
      <c r="B1150">
        <f>HYPERLINK("https://www.suredividend.com/sure-analysis-research-database/","Freshpet Inc")</f>
        <v>0</v>
      </c>
      <c r="C1150">
        <v>0.183104496384026</v>
      </c>
      <c r="D1150">
        <v>0.237312287624684</v>
      </c>
      <c r="E1150">
        <v>-0.239865319865319</v>
      </c>
      <c r="F1150">
        <v>0.184843077569014</v>
      </c>
      <c r="G1150">
        <v>-0.345585251318917</v>
      </c>
      <c r="H1150">
        <v>0.614185614185613</v>
      </c>
      <c r="I1150">
        <v>9.261818181818182</v>
      </c>
    </row>
    <row r="1151" spans="1:9">
      <c r="A1151" s="1" t="s">
        <v>1163</v>
      </c>
      <c r="B1151">
        <f>HYPERLINK("https://www.suredividend.com/sure-analysis-FRT/","Federal Realty Investment Trust.")</f>
        <v>0</v>
      </c>
      <c r="C1151">
        <v>0.047238742565845</v>
      </c>
      <c r="D1151">
        <v>-0.063644947777277</v>
      </c>
      <c r="E1151">
        <v>-0.085196375519243</v>
      </c>
      <c r="F1151">
        <v>-0.085196375519243</v>
      </c>
      <c r="G1151">
        <v>-0.085196375519243</v>
      </c>
      <c r="H1151">
        <v>-0.085196375519243</v>
      </c>
      <c r="I1151">
        <v>-0.085196375519243</v>
      </c>
    </row>
    <row r="1152" spans="1:9">
      <c r="A1152" s="1" t="s">
        <v>1164</v>
      </c>
      <c r="B1152">
        <f>HYPERLINK("https://www.suredividend.com/sure-analysis-research-database/","Forterra Inc")</f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1165</v>
      </c>
      <c r="B1153">
        <f>HYPERLINK("https://www.suredividend.com/sure-analysis-research-database/","FS Bancorp Inc")</f>
        <v>0</v>
      </c>
      <c r="C1153">
        <v>-0.027698185291308</v>
      </c>
      <c r="D1153">
        <v>-0.09389491673268101</v>
      </c>
      <c r="E1153">
        <v>-0.09192545106388</v>
      </c>
      <c r="F1153">
        <v>-0.086350908264126</v>
      </c>
      <c r="G1153">
        <v>-0.07274433065439201</v>
      </c>
      <c r="H1153">
        <v>0.9302603386488171</v>
      </c>
      <c r="I1153">
        <v>0.739714946509746</v>
      </c>
    </row>
    <row r="1154" spans="1:9">
      <c r="A1154" s="1" t="s">
        <v>1166</v>
      </c>
      <c r="B1154">
        <f>HYPERLINK("https://www.suredividend.com/sure-analysis-research-database/","ForeScout Technologies Inc")</f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1167</v>
      </c>
      <c r="B1155">
        <f>HYPERLINK("https://www.suredividend.com/sure-analysis-research-database/","First Savings Financial Group Inc")</f>
        <v>0</v>
      </c>
      <c r="C1155">
        <v>-0.024781919111816</v>
      </c>
      <c r="D1155">
        <v>-0.09107371190787601</v>
      </c>
      <c r="E1155">
        <v>-0.142666917644434</v>
      </c>
      <c r="F1155">
        <v>-0.06352923258514601</v>
      </c>
      <c r="G1155">
        <v>0.081621883108315</v>
      </c>
      <c r="H1155">
        <v>0.7994059290041261</v>
      </c>
      <c r="I1155">
        <v>0.631206144132433</v>
      </c>
    </row>
    <row r="1156" spans="1:9">
      <c r="A1156" s="1" t="s">
        <v>1168</v>
      </c>
      <c r="B1156">
        <f>HYPERLINK("https://www.suredividend.com/sure-analysis-research-database/","First Solar Inc")</f>
        <v>0</v>
      </c>
      <c r="C1156">
        <v>0.006830777162005</v>
      </c>
      <c r="D1156">
        <v>-0.05902192242833001</v>
      </c>
      <c r="E1156">
        <v>-0.256778612881742</v>
      </c>
      <c r="F1156">
        <v>-0.103717301514456</v>
      </c>
      <c r="G1156">
        <v>-0.025205889693037</v>
      </c>
      <c r="H1156">
        <v>0.9457036114570361</v>
      </c>
      <c r="I1156">
        <v>1.849015317286652</v>
      </c>
    </row>
    <row r="1157" spans="1:9">
      <c r="A1157" s="1" t="s">
        <v>1169</v>
      </c>
      <c r="B1157">
        <f>HYPERLINK("https://www.suredividend.com/sure-analysis-research-database/","Fastly Inc")</f>
        <v>0</v>
      </c>
      <c r="C1157">
        <v>0.223590408295528</v>
      </c>
      <c r="D1157">
        <v>-0.395259449071108</v>
      </c>
      <c r="E1157">
        <v>-0.579416351080418</v>
      </c>
      <c r="F1157">
        <v>-0.467418899858956</v>
      </c>
      <c r="G1157">
        <v>-0.7304012566043121</v>
      </c>
      <c r="H1157">
        <v>-0.178058336961253</v>
      </c>
      <c r="I1157">
        <v>-0.213005418924551</v>
      </c>
    </row>
    <row r="1158" spans="1:9">
      <c r="A1158" s="1" t="s">
        <v>1170</v>
      </c>
      <c r="B1158">
        <f>HYPERLINK("https://www.suredividend.com/sure-analysis-research-database/","Franklin Street Properties Corp.")</f>
        <v>0</v>
      </c>
      <c r="C1158">
        <v>-0.007577521810006001</v>
      </c>
      <c r="D1158">
        <v>-0.08049792531120301</v>
      </c>
      <c r="E1158">
        <v>0.186066925003746</v>
      </c>
      <c r="F1158">
        <v>-0.038778519996529</v>
      </c>
      <c r="G1158">
        <v>0.098552448939123</v>
      </c>
      <c r="H1158">
        <v>0.259348503102907</v>
      </c>
      <c r="I1158">
        <v>-0.35241791254135</v>
      </c>
    </row>
    <row r="1159" spans="1:9">
      <c r="A1159" s="1" t="s">
        <v>1171</v>
      </c>
      <c r="B1159">
        <f>HYPERLINK("https://www.suredividend.com/sure-analysis-research-database/","Federal Signal Corp.")</f>
        <v>0</v>
      </c>
      <c r="C1159">
        <v>-0.029985443959243</v>
      </c>
      <c r="D1159">
        <v>-0.201547062474389</v>
      </c>
      <c r="E1159">
        <v>-0.190737686801883</v>
      </c>
      <c r="F1159">
        <v>-0.229180113217062</v>
      </c>
      <c r="G1159">
        <v>-0.151845601280886</v>
      </c>
      <c r="H1159">
        <v>0.266039219858425</v>
      </c>
      <c r="I1159">
        <v>1.686208592320281</v>
      </c>
    </row>
    <row r="1160" spans="1:9">
      <c r="A1160" s="1" t="s">
        <v>1172</v>
      </c>
      <c r="B1160">
        <f>HYPERLINK("https://www.suredividend.com/sure-analysis-research-database/","L.B. Foster Co.")</f>
        <v>0</v>
      </c>
      <c r="C1160">
        <v>-0.001358695652174</v>
      </c>
      <c r="D1160">
        <v>-0.041720990873533</v>
      </c>
      <c r="E1160">
        <v>-0.07313997477931901</v>
      </c>
      <c r="F1160">
        <v>0.06909090909090901</v>
      </c>
      <c r="G1160">
        <v>-0.150779896013864</v>
      </c>
      <c r="H1160">
        <v>0.05527638190954701</v>
      </c>
      <c r="I1160">
        <v>0.080882352941176</v>
      </c>
    </row>
    <row r="1161" spans="1:9">
      <c r="A1161" s="1" t="s">
        <v>1173</v>
      </c>
      <c r="B1161">
        <f>HYPERLINK("https://www.suredividend.com/sure-analysis-research-database/","Frontdoor Inc.")</f>
        <v>0</v>
      </c>
      <c r="C1161">
        <v>0.113807245386192</v>
      </c>
      <c r="D1161">
        <v>-0.132090545938748</v>
      </c>
      <c r="E1161">
        <v>-0.236768149882904</v>
      </c>
      <c r="F1161">
        <v>-0.110777626193724</v>
      </c>
      <c r="G1161">
        <v>-0.425726872246695</v>
      </c>
      <c r="H1161">
        <v>-0.031212841854934</v>
      </c>
      <c r="I1161">
        <v>-0.224047619047618</v>
      </c>
    </row>
    <row r="1162" spans="1:9">
      <c r="A1162" s="1" t="s">
        <v>1174</v>
      </c>
      <c r="B1162">
        <f>HYPERLINK("https://www.suredividend.com/sure-analysis-research-database/","Fuel Tech Inc")</f>
        <v>0</v>
      </c>
      <c r="C1162">
        <v>0.047101449275362</v>
      </c>
      <c r="D1162">
        <v>0.07835820895522301</v>
      </c>
      <c r="E1162">
        <v>-0.159883720930232</v>
      </c>
      <c r="F1162">
        <v>0.032142857142857</v>
      </c>
      <c r="G1162">
        <v>-0.387711864406779</v>
      </c>
      <c r="H1162">
        <v>2.36046511627907</v>
      </c>
      <c r="I1162">
        <v>0.461219536859136</v>
      </c>
    </row>
    <row r="1163" spans="1:9">
      <c r="A1163" s="1" t="s">
        <v>1175</v>
      </c>
      <c r="B1163">
        <f>HYPERLINK("https://www.suredividend.com/sure-analysis-research-database/","TechnipFMC plc")</f>
        <v>0</v>
      </c>
      <c r="C1163">
        <v>0.139601139601139</v>
      </c>
      <c r="D1163">
        <v>0.134751773049645</v>
      </c>
      <c r="E1163">
        <v>0.012658227848101</v>
      </c>
      <c r="F1163">
        <v>0.351351351351351</v>
      </c>
      <c r="G1163">
        <v>0.100412654745529</v>
      </c>
      <c r="H1163">
        <v>0.078167115902964</v>
      </c>
      <c r="I1163">
        <v>-0.7368568205067481</v>
      </c>
    </row>
    <row r="1164" spans="1:9">
      <c r="A1164" s="1" t="s">
        <v>1176</v>
      </c>
      <c r="B1164">
        <f>HYPERLINK("https://www.suredividend.com/sure-analysis-research-database/","Flotek Industries Inc")</f>
        <v>0</v>
      </c>
      <c r="C1164">
        <v>-0.119205298013244</v>
      </c>
      <c r="D1164">
        <v>0.411739730389555</v>
      </c>
      <c r="E1164">
        <v>0.231481481481481</v>
      </c>
      <c r="F1164">
        <v>0.176991150442478</v>
      </c>
      <c r="G1164">
        <v>-0.056737588652482</v>
      </c>
      <c r="H1164">
        <v>0.502145922746781</v>
      </c>
      <c r="I1164">
        <v>-0.8899917287014061</v>
      </c>
    </row>
    <row r="1165" spans="1:9">
      <c r="A1165" s="1" t="s">
        <v>1177</v>
      </c>
      <c r="B1165">
        <f>HYPERLINK("https://www.suredividend.com/sure-analysis-research-database/","Fortinet Inc")</f>
        <v>0</v>
      </c>
      <c r="C1165">
        <v>0.115009746588693</v>
      </c>
      <c r="D1165">
        <v>0.06149612849555201</v>
      </c>
      <c r="E1165">
        <v>0.052237622506263</v>
      </c>
      <c r="F1165">
        <v>-0.07690595436839101</v>
      </c>
      <c r="G1165">
        <v>0.6104072617834081</v>
      </c>
      <c r="H1165">
        <v>2.009160997732426</v>
      </c>
      <c r="I1165">
        <v>7.889603429796356</v>
      </c>
    </row>
    <row r="1166" spans="1:9">
      <c r="A1166" s="1" t="s">
        <v>1178</v>
      </c>
      <c r="B1166">
        <f>HYPERLINK("https://www.suredividend.com/sure-analysis-research-database/","FTS International Inc.")</f>
        <v>0</v>
      </c>
      <c r="C1166">
        <v>0.005686125852919</v>
      </c>
      <c r="D1166">
        <v>0.018817204301075</v>
      </c>
      <c r="E1166">
        <v>0.134245404018811</v>
      </c>
      <c r="F1166">
        <v>0.010666666666666</v>
      </c>
      <c r="G1166">
        <v>0.287239204269772</v>
      </c>
      <c r="H1166">
        <v>0.8802267895109851</v>
      </c>
      <c r="I1166">
        <v>0.8802267895109851</v>
      </c>
    </row>
    <row r="1167" spans="1:9">
      <c r="A1167" s="1" t="s">
        <v>1179</v>
      </c>
      <c r="B1167">
        <f>HYPERLINK("https://www.suredividend.com/sure-analysis-research-database/","Fortive Corp")</f>
        <v>0</v>
      </c>
      <c r="C1167">
        <v>-0.023497818059751</v>
      </c>
      <c r="D1167">
        <v>-0.196618562281393</v>
      </c>
      <c r="E1167">
        <v>-0.197671067202288</v>
      </c>
      <c r="F1167">
        <v>-0.236529028431354</v>
      </c>
      <c r="G1167">
        <v>-0.193020417221482</v>
      </c>
      <c r="H1167">
        <v>0.228097209234581</v>
      </c>
      <c r="I1167">
        <v>0.16920516958298</v>
      </c>
    </row>
    <row r="1168" spans="1:9">
      <c r="A1168" s="1" t="s">
        <v>1180</v>
      </c>
      <c r="B1168">
        <f>HYPERLINK("https://www.suredividend.com/sure-analysis-FUL/","H.B. Fuller Company")</f>
        <v>0</v>
      </c>
      <c r="C1168">
        <v>0.04318148093188801</v>
      </c>
      <c r="D1168">
        <v>-0.084927334379006</v>
      </c>
      <c r="E1168">
        <v>0.031163733546117</v>
      </c>
      <c r="F1168">
        <v>-0.130003254753115</v>
      </c>
      <c r="G1168">
        <v>0.056078837862604</v>
      </c>
      <c r="H1168">
        <v>1.430154658775865</v>
      </c>
      <c r="I1168">
        <v>0.502621572344923</v>
      </c>
    </row>
    <row r="1169" spans="1:9">
      <c r="A1169" s="1" t="s">
        <v>1181</v>
      </c>
      <c r="B1169">
        <f>HYPERLINK("https://www.suredividend.com/sure-analysis-research-database/","Fulton Financial Corp.")</f>
        <v>0</v>
      </c>
      <c r="C1169">
        <v>-0.10163689126689</v>
      </c>
      <c r="D1169">
        <v>-0.153026926796945</v>
      </c>
      <c r="E1169">
        <v>0.008167107673519001</v>
      </c>
      <c r="F1169">
        <v>-0.05936392823866601</v>
      </c>
      <c r="G1169">
        <v>-0.042215051424289</v>
      </c>
      <c r="H1169">
        <v>0.6968023037971971</v>
      </c>
      <c r="I1169">
        <v>0.120640285073919</v>
      </c>
    </row>
    <row r="1170" spans="1:9">
      <c r="A1170" s="1" t="s">
        <v>1182</v>
      </c>
      <c r="B1170">
        <f>HYPERLINK("https://www.suredividend.com/sure-analysis-research-database/","First United Corporation")</f>
        <v>0</v>
      </c>
      <c r="C1170">
        <v>0.076966450521567</v>
      </c>
      <c r="D1170">
        <v>0.141445631928605</v>
      </c>
      <c r="E1170">
        <v>0.275473294082293</v>
      </c>
      <c r="F1170">
        <v>0.238758215150467</v>
      </c>
      <c r="G1170">
        <v>0.398439263683898</v>
      </c>
      <c r="H1170">
        <v>0.858247798803327</v>
      </c>
      <c r="I1170">
        <v>0.855419736096495</v>
      </c>
    </row>
    <row r="1171" spans="1:9">
      <c r="A1171" s="1" t="s">
        <v>1183</v>
      </c>
      <c r="B1171">
        <f>HYPERLINK("https://www.suredividend.com/sure-analysis-research-database/","First US Bancshares Inc")</f>
        <v>0</v>
      </c>
      <c r="C1171">
        <v>0.07076350093109801</v>
      </c>
      <c r="D1171">
        <v>0.08688461065903001</v>
      </c>
      <c r="E1171">
        <v>0.101163403073682</v>
      </c>
      <c r="F1171">
        <v>0.09101948655674201</v>
      </c>
      <c r="G1171">
        <v>0.146537456880221</v>
      </c>
      <c r="H1171">
        <v>0.9671906806479751</v>
      </c>
      <c r="I1171">
        <v>0.04173271856005301</v>
      </c>
    </row>
    <row r="1172" spans="1:9">
      <c r="A1172" s="1" t="s">
        <v>1184</v>
      </c>
      <c r="B1172">
        <f>HYPERLINK("https://www.suredividend.com/sure-analysis-research-database/","Five Star Senior Living Inc.")</f>
        <v>0</v>
      </c>
      <c r="C1172">
        <v>-0.033670033670033</v>
      </c>
      <c r="D1172">
        <v>-0.306763285024154</v>
      </c>
      <c r="E1172">
        <v>-0.4973730297723291</v>
      </c>
      <c r="F1172">
        <v>-0.027118644067796</v>
      </c>
      <c r="G1172">
        <v>-0.62037037037037</v>
      </c>
      <c r="H1172">
        <v>-0.393234672304439</v>
      </c>
      <c r="I1172">
        <v>-0.8956363636363631</v>
      </c>
    </row>
    <row r="1173" spans="1:9">
      <c r="A1173" s="1" t="s">
        <v>1185</v>
      </c>
      <c r="B1173">
        <f>HYPERLINK("https://www.suredividend.com/sure-analysis-research-database/","Liberty Media Corp.")</f>
        <v>0</v>
      </c>
      <c r="C1173">
        <v>0.148476454293628</v>
      </c>
      <c r="D1173">
        <v>0.07298136645962701</v>
      </c>
      <c r="E1173">
        <v>0.2438</v>
      </c>
      <c r="F1173">
        <v>0.048028311425682</v>
      </c>
      <c r="G1173">
        <v>0.5578657314629251</v>
      </c>
      <c r="H1173">
        <v>1.921089713480507</v>
      </c>
      <c r="I1173">
        <v>0.987535953978907</v>
      </c>
    </row>
    <row r="1174" spans="1:9">
      <c r="A1174" s="1" t="s">
        <v>1186</v>
      </c>
      <c r="B1174">
        <f>HYPERLINK("https://www.suredividend.com/sure-analysis-research-database/","Liberty Media Corp.")</f>
        <v>0</v>
      </c>
      <c r="C1174">
        <v>0.160777683854606</v>
      </c>
      <c r="D1174">
        <v>0.09053367217280801</v>
      </c>
      <c r="E1174">
        <v>0.263758512792195</v>
      </c>
      <c r="F1174">
        <v>0.085705249841872</v>
      </c>
      <c r="G1174">
        <v>0.52611691486997</v>
      </c>
      <c r="H1174">
        <v>2.08307139649753</v>
      </c>
      <c r="I1174">
        <v>1.088834803772437</v>
      </c>
    </row>
    <row r="1175" spans="1:9">
      <c r="A1175" s="1" t="s">
        <v>1187</v>
      </c>
      <c r="B1175">
        <f>HYPERLINK("https://www.suredividend.com/sure-analysis-research-database/","Forward Air Corp.")</f>
        <v>0</v>
      </c>
      <c r="C1175">
        <v>-0.133689329646228</v>
      </c>
      <c r="D1175">
        <v>-0.191667007735439</v>
      </c>
      <c r="E1175">
        <v>0.06155251909859701</v>
      </c>
      <c r="F1175">
        <v>-0.247941047187249</v>
      </c>
      <c r="G1175">
        <v>0.02730238422353</v>
      </c>
      <c r="H1175">
        <v>0.8242935255150081</v>
      </c>
      <c r="I1175">
        <v>1.066679709004217</v>
      </c>
    </row>
    <row r="1176" spans="1:9">
      <c r="A1176" s="1" t="s">
        <v>1188</v>
      </c>
      <c r="B1176">
        <f>HYPERLINK("https://www.suredividend.com/sure-analysis-research-database/","Genpact Ltd")</f>
        <v>0</v>
      </c>
      <c r="C1176">
        <v>-0.040546697038724</v>
      </c>
      <c r="D1176">
        <v>-0.179142582075997</v>
      </c>
      <c r="E1176">
        <v>-0.150345651169686</v>
      </c>
      <c r="F1176">
        <v>-0.204039518341862</v>
      </c>
      <c r="G1176">
        <v>-0.04925929353555</v>
      </c>
      <c r="H1176">
        <v>0.461246777936977</v>
      </c>
      <c r="I1176">
        <v>0.853343013662464</v>
      </c>
    </row>
    <row r="1177" spans="1:9">
      <c r="A1177" s="1" t="s">
        <v>1189</v>
      </c>
      <c r="B1177">
        <f>HYPERLINK("https://www.suredividend.com/sure-analysis-research-database/","German American Bancorp Inc")</f>
        <v>0</v>
      </c>
      <c r="C1177">
        <v>-0.09120198265179601</v>
      </c>
      <c r="D1177">
        <v>-0.113587468877662</v>
      </c>
      <c r="E1177">
        <v>-0.04684669229549501</v>
      </c>
      <c r="F1177">
        <v>-0.054006991112773</v>
      </c>
      <c r="G1177">
        <v>-0.183543514659256</v>
      </c>
      <c r="H1177">
        <v>0.493230174081237</v>
      </c>
      <c r="I1177">
        <v>0.3186425928389831</v>
      </c>
    </row>
    <row r="1178" spans="1:9">
      <c r="A1178" s="1" t="s">
        <v>1190</v>
      </c>
      <c r="B1178">
        <f>HYPERLINK("https://www.suredividend.com/sure-analysis-research-database/","Gaia Inc")</f>
        <v>0</v>
      </c>
      <c r="C1178">
        <v>-0.136524822695035</v>
      </c>
      <c r="D1178">
        <v>-0.398022249690976</v>
      </c>
      <c r="E1178">
        <v>-0.485744456177402</v>
      </c>
      <c r="F1178">
        <v>-0.43173862310385</v>
      </c>
      <c r="G1178">
        <v>-0.546554934823091</v>
      </c>
      <c r="H1178">
        <v>-0.487907465825446</v>
      </c>
      <c r="I1178">
        <v>-0.5690265486725661</v>
      </c>
    </row>
    <row r="1179" spans="1:9">
      <c r="A1179" s="1" t="s">
        <v>1191</v>
      </c>
      <c r="B1179">
        <f>HYPERLINK("https://www.suredividend.com/sure-analysis-research-database/","Galectin Therapeutics Inc")</f>
        <v>0</v>
      </c>
      <c r="C1179">
        <v>0.005780346820809</v>
      </c>
      <c r="D1179">
        <v>-0.138613861386138</v>
      </c>
      <c r="E1179">
        <v>-0.483679525222552</v>
      </c>
      <c r="F1179">
        <v>-0.159420289855072</v>
      </c>
      <c r="G1179">
        <v>-0.205479452054794</v>
      </c>
      <c r="H1179">
        <v>0.011627906976744</v>
      </c>
      <c r="I1179">
        <v>-0.4493670886075951</v>
      </c>
    </row>
    <row r="1180" spans="1:9">
      <c r="A1180" s="1" t="s">
        <v>1192</v>
      </c>
      <c r="B1180">
        <f>HYPERLINK("https://www.suredividend.com/sure-analysis-research-database/","GATX Corp.")</f>
        <v>0</v>
      </c>
      <c r="C1180">
        <v>-0.052584814216478</v>
      </c>
      <c r="D1180">
        <v>0.158317935509866</v>
      </c>
      <c r="E1180">
        <v>0.236650573726157</v>
      </c>
      <c r="F1180">
        <v>0.131414427197933</v>
      </c>
      <c r="G1180">
        <v>0.248884639219386</v>
      </c>
      <c r="H1180">
        <v>1.240475258115968</v>
      </c>
      <c r="I1180">
        <v>1.239773597444187</v>
      </c>
    </row>
    <row r="1181" spans="1:9">
      <c r="A1181" s="1" t="s">
        <v>1193</v>
      </c>
      <c r="B1181">
        <f>HYPERLINK("https://www.suredividend.com/sure-analysis-research-database/","Glacier Bancorp, Inc.")</f>
        <v>0</v>
      </c>
      <c r="C1181">
        <v>-0.144010414227783</v>
      </c>
      <c r="D1181">
        <v>-0.223991401077582</v>
      </c>
      <c r="E1181">
        <v>-0.132786185302907</v>
      </c>
      <c r="F1181">
        <v>-0.179902772718218</v>
      </c>
      <c r="G1181">
        <v>-0.213582141947562</v>
      </c>
      <c r="H1181">
        <v>0.5670487705353681</v>
      </c>
      <c r="I1181">
        <v>0.6656461394914851</v>
      </c>
    </row>
    <row r="1182" spans="1:9">
      <c r="A1182" s="1" t="s">
        <v>1194</v>
      </c>
      <c r="B1182">
        <f>HYPERLINK("https://www.suredividend.com/sure-analysis-research-database/","Gamco Investors Inc")</f>
        <v>0</v>
      </c>
      <c r="C1182">
        <v>-0.047069681587448</v>
      </c>
      <c r="D1182">
        <v>-0.1429152502978</v>
      </c>
      <c r="E1182">
        <v>-0.177936042229803</v>
      </c>
      <c r="F1182">
        <v>-0.17173718599213</v>
      </c>
      <c r="G1182">
        <v>0.220708897874252</v>
      </c>
      <c r="H1182">
        <v>1.122978544037668</v>
      </c>
      <c r="I1182">
        <v>-0.136896925012434</v>
      </c>
    </row>
    <row r="1183" spans="1:9">
      <c r="A1183" s="1" t="s">
        <v>1195</v>
      </c>
      <c r="B1183">
        <f>HYPERLINK("https://www.suredividend.com/sure-analysis-research-database/","Global Indemnity Group LLC")</f>
        <v>0</v>
      </c>
      <c r="C1183">
        <v>-0.003436426116838</v>
      </c>
      <c r="D1183">
        <v>-0.02429906542056</v>
      </c>
      <c r="E1183">
        <v>0.020659557244923</v>
      </c>
      <c r="F1183">
        <v>0.03859928372463201</v>
      </c>
      <c r="G1183">
        <v>-0.033565993371965</v>
      </c>
      <c r="H1183">
        <v>0.173893683912259</v>
      </c>
      <c r="I1183">
        <v>0.173893683912259</v>
      </c>
    </row>
    <row r="1184" spans="1:9">
      <c r="A1184" s="1" t="s">
        <v>1196</v>
      </c>
      <c r="B1184">
        <f>HYPERLINK("https://www.suredividend.com/sure-analysis-research-database/","Global Blood Therapeutics Inc.")</f>
        <v>0</v>
      </c>
      <c r="C1184">
        <v>0.176236309326252</v>
      </c>
      <c r="D1184">
        <v>0.222490513970334</v>
      </c>
      <c r="E1184">
        <v>0.161205766710353</v>
      </c>
      <c r="F1184">
        <v>0.210796036897847</v>
      </c>
      <c r="G1184">
        <v>-0.131585395736339</v>
      </c>
      <c r="H1184">
        <v>-0.4761271249076121</v>
      </c>
      <c r="I1184">
        <v>0.226297577854671</v>
      </c>
    </row>
    <row r="1185" spans="1:9">
      <c r="A1185" s="1" t="s">
        <v>1197</v>
      </c>
      <c r="B1185">
        <f>HYPERLINK("https://www.suredividend.com/sure-analysis-research-database/","Greenbrier Cos., Inc.")</f>
        <v>0</v>
      </c>
      <c r="C1185">
        <v>-0.10186656076251</v>
      </c>
      <c r="D1185">
        <v>0.053737588355069</v>
      </c>
      <c r="E1185">
        <v>-0.020056027749552</v>
      </c>
      <c r="F1185">
        <v>-0.007569939659901001</v>
      </c>
      <c r="G1185">
        <v>0.059196013320156</v>
      </c>
      <c r="H1185">
        <v>2.10961691829607</v>
      </c>
      <c r="I1185">
        <v>0.179200396282246</v>
      </c>
    </row>
    <row r="1186" spans="1:9">
      <c r="A1186" s="1" t="s">
        <v>1198</v>
      </c>
      <c r="B1186">
        <f>HYPERLINK("https://www.suredividend.com/sure-analysis-research-database/","Greene County Bancorp Inc")</f>
        <v>0</v>
      </c>
      <c r="C1186">
        <v>0.12247166036897</v>
      </c>
      <c r="D1186">
        <v>0.3735068212972431</v>
      </c>
      <c r="E1186">
        <v>0.5145744045923091</v>
      </c>
      <c r="F1186">
        <v>0.378715364895449</v>
      </c>
      <c r="G1186">
        <v>1.044550968024032</v>
      </c>
      <c r="H1186">
        <v>1.610885064186412</v>
      </c>
      <c r="I1186">
        <v>1.432785274182126</v>
      </c>
    </row>
    <row r="1187" spans="1:9">
      <c r="A1187" s="1" t="s">
        <v>1199</v>
      </c>
      <c r="B1187">
        <f>HYPERLINK("https://www.suredividend.com/sure-analysis-research-database/","Gannett Co Inc.")</f>
        <v>0</v>
      </c>
      <c r="C1187">
        <v>-0.09188034188034101</v>
      </c>
      <c r="D1187">
        <v>-0.198113207547169</v>
      </c>
      <c r="E1187">
        <v>-0.298679867986798</v>
      </c>
      <c r="F1187">
        <v>-0.202626641651031</v>
      </c>
      <c r="G1187">
        <v>-0.125514403292181</v>
      </c>
      <c r="H1187">
        <v>3.829545454545454</v>
      </c>
      <c r="I1187">
        <v>-0.568247389166565</v>
      </c>
    </row>
    <row r="1188" spans="1:9">
      <c r="A1188" s="1" t="s">
        <v>1200</v>
      </c>
      <c r="B1188">
        <f>HYPERLINK("https://www.suredividend.com/sure-analysis-research-database/","Genesco Inc.")</f>
        <v>0</v>
      </c>
      <c r="C1188">
        <v>-0.023355169467388</v>
      </c>
      <c r="D1188">
        <v>0.09974342527261001</v>
      </c>
      <c r="E1188">
        <v>0.147782426778242</v>
      </c>
      <c r="F1188">
        <v>0.06872370266479601</v>
      </c>
      <c r="G1188">
        <v>0.380990737011679</v>
      </c>
      <c r="H1188">
        <v>3.799160251924423</v>
      </c>
      <c r="I1188">
        <v>0.348672566371681</v>
      </c>
    </row>
    <row r="1189" spans="1:9">
      <c r="A1189" s="1" t="s">
        <v>1201</v>
      </c>
      <c r="B1189">
        <f>HYPERLINK("https://www.suredividend.com/sure-analysis-research-database/","GCP Applied Technologies Inc")</f>
        <v>0</v>
      </c>
      <c r="C1189">
        <v>-0.005725190839694001</v>
      </c>
      <c r="D1189">
        <v>-0.020062695924764</v>
      </c>
      <c r="E1189">
        <v>0.394912985274431</v>
      </c>
      <c r="F1189">
        <v>-0.012634238787113</v>
      </c>
      <c r="G1189">
        <v>0.206483983018139</v>
      </c>
      <c r="H1189">
        <v>0.854092526690391</v>
      </c>
      <c r="I1189">
        <v>-0.048401826484018</v>
      </c>
    </row>
    <row r="1190" spans="1:9">
      <c r="A1190" s="1" t="s">
        <v>1202</v>
      </c>
      <c r="B1190">
        <f>HYPERLINK("https://www.suredividend.com/sure-analysis-GD/","General Dynamics Corp.")</f>
        <v>0</v>
      </c>
      <c r="C1190">
        <v>0.07612239203455701</v>
      </c>
      <c r="D1190">
        <v>0.149799419581026</v>
      </c>
      <c r="E1190">
        <v>0.184301949866138</v>
      </c>
      <c r="F1190">
        <v>0.181973139619183</v>
      </c>
      <c r="G1190">
        <v>0.352319288054439</v>
      </c>
      <c r="H1190">
        <v>0.9384351593677771</v>
      </c>
      <c r="I1190">
        <v>0.4508480145334801</v>
      </c>
    </row>
    <row r="1191" spans="1:9">
      <c r="A1191" s="1" t="s">
        <v>1203</v>
      </c>
      <c r="B1191">
        <f>HYPERLINK("https://www.suredividend.com/sure-analysis-research-database/","Godaddy Inc")</f>
        <v>0</v>
      </c>
      <c r="C1191">
        <v>0.11838530210894</v>
      </c>
      <c r="D1191">
        <v>0.125960661716816</v>
      </c>
      <c r="E1191">
        <v>0.238572861441467</v>
      </c>
      <c r="F1191">
        <v>0.01861890172048</v>
      </c>
      <c r="G1191">
        <v>-0.001847575057736</v>
      </c>
      <c r="H1191">
        <v>0.340986658392801</v>
      </c>
      <c r="I1191">
        <v>1.395123302853976</v>
      </c>
    </row>
    <row r="1192" spans="1:9">
      <c r="A1192" s="1" t="s">
        <v>1204</v>
      </c>
      <c r="B1192">
        <f>HYPERLINK("https://www.suredividend.com/sure-analysis-research-database/","Golden Entertainment Inc")</f>
        <v>0</v>
      </c>
      <c r="C1192">
        <v>-0.043678977272727</v>
      </c>
      <c r="D1192">
        <v>0.173164887824003</v>
      </c>
      <c r="E1192">
        <v>0.06971201588877801</v>
      </c>
      <c r="F1192">
        <v>0.065901444686324</v>
      </c>
      <c r="G1192">
        <v>0.8407382091592611</v>
      </c>
      <c r="H1192">
        <v>7.014880952380952</v>
      </c>
      <c r="I1192">
        <v>3.052671181339353</v>
      </c>
    </row>
    <row r="1193" spans="1:9">
      <c r="A1193" s="1" t="s">
        <v>1205</v>
      </c>
      <c r="B1193">
        <f>HYPERLINK("https://www.suredividend.com/sure-analysis-research-database/","Green Dot Corp.")</f>
        <v>0</v>
      </c>
      <c r="C1193">
        <v>0</v>
      </c>
      <c r="D1193">
        <v>-0.20848974877274</v>
      </c>
      <c r="E1193">
        <v>-0.393986292283882</v>
      </c>
      <c r="F1193">
        <v>-0.243653421633554</v>
      </c>
      <c r="G1193">
        <v>-0.413815226689478</v>
      </c>
      <c r="H1193">
        <v>0.07659073055773701</v>
      </c>
      <c r="I1193">
        <v>-0.163564235581324</v>
      </c>
    </row>
    <row r="1194" spans="1:9">
      <c r="A1194" s="1" t="s">
        <v>1206</v>
      </c>
      <c r="B1194">
        <f>HYPERLINK("https://www.suredividend.com/sure-analysis-research-database/","Goodrich Petroleum Corp.")</f>
        <v>0</v>
      </c>
      <c r="C1194">
        <v>-0.001301518438177</v>
      </c>
      <c r="D1194">
        <v>0.1240234375</v>
      </c>
      <c r="E1194">
        <v>0.648997134670487</v>
      </c>
      <c r="F1194">
        <v>1.281466798810703</v>
      </c>
      <c r="G1194">
        <v>1.243664717348927</v>
      </c>
      <c r="H1194">
        <v>1.365878725590955</v>
      </c>
      <c r="I1194">
        <v>1.087035358114234</v>
      </c>
    </row>
    <row r="1195" spans="1:9">
      <c r="A1195" s="1" t="s">
        <v>1207</v>
      </c>
      <c r="B1195">
        <f>HYPERLINK("https://www.suredividend.com/sure-analysis-GE/","General Electric Co.")</f>
        <v>0</v>
      </c>
      <c r="C1195">
        <v>-0.040865892291446</v>
      </c>
      <c r="D1195">
        <v>-0.118732014196535</v>
      </c>
      <c r="E1195">
        <v>-0.128520028783881</v>
      </c>
      <c r="F1195">
        <v>-0.037666922356471</v>
      </c>
      <c r="G1195">
        <v>-0.14926020386659</v>
      </c>
      <c r="H1195">
        <v>0.8343417534392641</v>
      </c>
      <c r="I1195">
        <v>-0.573348139087661</v>
      </c>
    </row>
    <row r="1196" spans="1:9">
      <c r="A1196" s="1" t="s">
        <v>1208</v>
      </c>
      <c r="B1196">
        <f>HYPERLINK("https://www.suredividend.com/sure-analysis-research-database/","Great Elm Capital Group Inc")</f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1209</v>
      </c>
      <c r="B1197">
        <f>HYPERLINK("https://www.suredividend.com/sure-analysis-GEF/","Greif Inc")</f>
        <v>0</v>
      </c>
      <c r="C1197">
        <v>0.037006167694615</v>
      </c>
      <c r="D1197">
        <v>0.012687487994582</v>
      </c>
      <c r="E1197">
        <v>-0.018939931557616</v>
      </c>
      <c r="F1197">
        <v>0.03852092984433</v>
      </c>
      <c r="G1197">
        <v>0.074453533036725</v>
      </c>
      <c r="H1197">
        <v>1.185176208591069</v>
      </c>
      <c r="I1197">
        <v>0.40293034510598</v>
      </c>
    </row>
    <row r="1198" spans="1:9">
      <c r="A1198" s="1" t="s">
        <v>1210</v>
      </c>
      <c r="B1198">
        <f>HYPERLINK("https://www.suredividend.com/sure-analysis-research-database/","Genesis Healthcare Inc")</f>
        <v>0</v>
      </c>
      <c r="C1198">
        <v>-0.471593765711412</v>
      </c>
      <c r="D1198">
        <v>-0.225069124423963</v>
      </c>
      <c r="E1198">
        <v>-0.277663230240549</v>
      </c>
      <c r="F1198">
        <v>-0.132659376934186</v>
      </c>
      <c r="G1198">
        <v>-0.487379587855139</v>
      </c>
      <c r="H1198">
        <v>-0.7100689655172411</v>
      </c>
      <c r="I1198">
        <v>-0.82034188034188</v>
      </c>
    </row>
    <row r="1199" spans="1:9">
      <c r="A1199" s="1" t="s">
        <v>1211</v>
      </c>
      <c r="B1199">
        <f>HYPERLINK("https://www.suredividend.com/sure-analysis-research-database/","Gencor Industries, Inc.")</f>
        <v>0</v>
      </c>
      <c r="C1199">
        <v>-0.022051773729626</v>
      </c>
      <c r="D1199">
        <v>-0.120689655172413</v>
      </c>
      <c r="E1199">
        <v>-0.06934306569343</v>
      </c>
      <c r="F1199">
        <v>-0.115351257588898</v>
      </c>
      <c r="G1199">
        <v>-0.189189189189189</v>
      </c>
      <c r="H1199">
        <v>-0.017341040462427</v>
      </c>
      <c r="I1199">
        <v>-0.339805825242718</v>
      </c>
    </row>
    <row r="1200" spans="1:9">
      <c r="A1200" s="1" t="s">
        <v>1212</v>
      </c>
      <c r="B1200">
        <f>HYPERLINK("https://www.suredividend.com/sure-analysis-research-database/","Geo Group, Inc.")</f>
        <v>0</v>
      </c>
      <c r="C1200">
        <v>0.170984455958549</v>
      </c>
      <c r="D1200">
        <v>-0.138500635324015</v>
      </c>
      <c r="E1200">
        <v>-0.184115523465704</v>
      </c>
      <c r="F1200">
        <v>-0.12516129032258</v>
      </c>
      <c r="G1200">
        <v>0.153061224489795</v>
      </c>
      <c r="H1200">
        <v>-0.409371651581542</v>
      </c>
      <c r="I1200">
        <v>-0.68491641920058</v>
      </c>
    </row>
    <row r="1201" spans="1:9">
      <c r="A1201" s="1" t="s">
        <v>1213</v>
      </c>
      <c r="B1201">
        <f>HYPERLINK("https://www.suredividend.com/sure-analysis-research-database/","Geospace Technologies Corp")</f>
        <v>0</v>
      </c>
      <c r="C1201">
        <v>0.059352517985611</v>
      </c>
      <c r="D1201">
        <v>-0.286924939467312</v>
      </c>
      <c r="E1201">
        <v>-0.349889624724062</v>
      </c>
      <c r="F1201">
        <v>-0.119581464872944</v>
      </c>
      <c r="G1201">
        <v>-0.286924939467312</v>
      </c>
      <c r="H1201">
        <v>-0.005067567567567001</v>
      </c>
      <c r="I1201">
        <v>-0.6060200668896321</v>
      </c>
    </row>
    <row r="1202" spans="1:9">
      <c r="A1202" s="1" t="s">
        <v>1214</v>
      </c>
      <c r="B1202">
        <f>HYPERLINK("https://www.suredividend.com/sure-analysis-research-database/","Geron Corp.")</f>
        <v>0</v>
      </c>
      <c r="C1202">
        <v>0.4951456310679611</v>
      </c>
      <c r="D1202">
        <v>0.283333333333333</v>
      </c>
      <c r="E1202">
        <v>0.092198581560283</v>
      </c>
      <c r="F1202">
        <v>0.262295081967213</v>
      </c>
      <c r="G1202">
        <v>0.04761904761904701</v>
      </c>
      <c r="H1202">
        <v>0.316239316239316</v>
      </c>
      <c r="I1202">
        <v>-0.3418803418803411</v>
      </c>
    </row>
    <row r="1203" spans="1:9">
      <c r="A1203" s="1" t="s">
        <v>1215</v>
      </c>
      <c r="B1203">
        <f>HYPERLINK("https://www.suredividend.com/sure-analysis-research-database/","Guess Inc.")</f>
        <v>0</v>
      </c>
      <c r="C1203">
        <v>0.219212915824704</v>
      </c>
      <c r="D1203">
        <v>0.04020028867228501</v>
      </c>
      <c r="E1203">
        <v>0.184047057630384</v>
      </c>
      <c r="F1203">
        <v>-0.003729082577418</v>
      </c>
      <c r="G1203">
        <v>-0.143182151768677</v>
      </c>
      <c r="H1203">
        <v>2.397747446232648</v>
      </c>
      <c r="I1203">
        <v>1.522469968023507</v>
      </c>
    </row>
    <row r="1204" spans="1:9">
      <c r="A1204" s="1" t="s">
        <v>1216</v>
      </c>
      <c r="B1204">
        <f>HYPERLINK("https://www.suredividend.com/sure-analysis-research-database/","Gevo Inc")</f>
        <v>0</v>
      </c>
      <c r="C1204">
        <v>0.202631578947368</v>
      </c>
      <c r="D1204">
        <v>0.114634146341463</v>
      </c>
      <c r="E1204">
        <v>-0.292569659442724</v>
      </c>
      <c r="F1204">
        <v>0.06775700934579401</v>
      </c>
      <c r="G1204">
        <v>-0.278041074249605</v>
      </c>
      <c r="H1204">
        <v>4.440476190476191</v>
      </c>
      <c r="I1204">
        <v>-0.7802884615384611</v>
      </c>
    </row>
    <row r="1205" spans="1:9">
      <c r="A1205" s="1" t="s">
        <v>1217</v>
      </c>
      <c r="B1205">
        <f>HYPERLINK("https://www.suredividend.com/sure-analysis-research-database/","Guaranty Federal Bancshares Inc")</f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1218</v>
      </c>
      <c r="B1206">
        <f>HYPERLINK("https://www.suredividend.com/sure-analysis-research-database/","Griffon Corp.")</f>
        <v>0</v>
      </c>
      <c r="C1206">
        <v>-0.173428444048149</v>
      </c>
      <c r="D1206">
        <v>-0.27493156042237</v>
      </c>
      <c r="E1206">
        <v>-0.286374133949191</v>
      </c>
      <c r="F1206">
        <v>-0.349016853932584</v>
      </c>
      <c r="G1206">
        <v>-0.318682933999706</v>
      </c>
      <c r="H1206">
        <v>0.4016254016254011</v>
      </c>
      <c r="I1206">
        <v>-0.06787330316742</v>
      </c>
    </row>
    <row r="1207" spans="1:9">
      <c r="A1207" s="1" t="s">
        <v>1219</v>
      </c>
      <c r="B1207">
        <f>HYPERLINK("https://www.suredividend.com/sure-analysis-research-database/","General Finance Corporation")</f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1220</v>
      </c>
      <c r="B1208">
        <f>HYPERLINK("https://www.suredividend.com/sure-analysis-GGG/","Graco Inc.")</f>
        <v>0</v>
      </c>
      <c r="C1208">
        <v>-0.068155256021557</v>
      </c>
      <c r="D1208">
        <v>-0.131259473960428</v>
      </c>
      <c r="E1208">
        <v>-0.074308001941653</v>
      </c>
      <c r="F1208">
        <v>-0.186258473355018</v>
      </c>
      <c r="G1208">
        <v>-0.122331299076173</v>
      </c>
      <c r="H1208">
        <v>0.445465908990168</v>
      </c>
      <c r="I1208">
        <v>1.247012940479307</v>
      </c>
    </row>
    <row r="1209" spans="1:9">
      <c r="A1209" s="1" t="s">
        <v>1221</v>
      </c>
      <c r="B1209">
        <f>HYPERLINK("https://www.suredividend.com/sure-analysis-research-database/","Guardant Health Inc")</f>
        <v>0</v>
      </c>
      <c r="C1209">
        <v>0.351163663663663</v>
      </c>
      <c r="D1209">
        <v>-0.072054653261149</v>
      </c>
      <c r="E1209">
        <v>-0.291437007874015</v>
      </c>
      <c r="F1209">
        <v>-0.280243951209758</v>
      </c>
      <c r="G1209">
        <v>-0.5458044164037851</v>
      </c>
      <c r="H1209">
        <v>0.038517022504327</v>
      </c>
      <c r="I1209">
        <v>1.235714285714285</v>
      </c>
    </row>
    <row r="1210" spans="1:9">
      <c r="A1210" s="1" t="s">
        <v>1222</v>
      </c>
      <c r="B1210">
        <f>HYPERLINK("https://www.suredividend.com/sure-analysis-research-database/","Graham Holdings Co.")</f>
        <v>0</v>
      </c>
      <c r="C1210">
        <v>0.026074594413781</v>
      </c>
      <c r="D1210">
        <v>-0.027825559746282</v>
      </c>
      <c r="E1210">
        <v>0.074187937452002</v>
      </c>
      <c r="F1210">
        <v>-0.023333710102889</v>
      </c>
      <c r="G1210">
        <v>-0.05892383310022001</v>
      </c>
      <c r="H1210">
        <v>0.868650179024783</v>
      </c>
      <c r="I1210">
        <v>0.09725210327966501</v>
      </c>
    </row>
    <row r="1211" spans="1:9">
      <c r="A1211" s="1" t="s">
        <v>1223</v>
      </c>
      <c r="B1211">
        <f>HYPERLINK("https://www.suredividend.com/sure-analysis-research-database/","Greenhill &amp; Co Inc")</f>
        <v>0</v>
      </c>
      <c r="C1211">
        <v>-0.143290831815421</v>
      </c>
      <c r="D1211">
        <v>-0.26627354320718</v>
      </c>
      <c r="E1211">
        <v>-0.114955434148544</v>
      </c>
      <c r="F1211">
        <v>-0.208574986258034</v>
      </c>
      <c r="G1211">
        <v>-0.244873057327567</v>
      </c>
      <c r="H1211">
        <v>0.6766082844174051</v>
      </c>
      <c r="I1211">
        <v>-0.400599824980246</v>
      </c>
    </row>
    <row r="1212" spans="1:9">
      <c r="A1212" s="1" t="s">
        <v>1224</v>
      </c>
      <c r="B1212">
        <f>HYPERLINK("https://www.suredividend.com/sure-analysis-research-database/","Graham Corp.")</f>
        <v>0</v>
      </c>
      <c r="C1212">
        <v>0.016483516483516</v>
      </c>
      <c r="D1212">
        <v>-0.460247994164843</v>
      </c>
      <c r="E1212">
        <v>-0.426614390429109</v>
      </c>
      <c r="F1212">
        <v>-0.405144694533762</v>
      </c>
      <c r="G1212">
        <v>-0.4603463992707381</v>
      </c>
      <c r="H1212">
        <v>-0.322840409956076</v>
      </c>
      <c r="I1212">
        <v>-0.612484289903644</v>
      </c>
    </row>
    <row r="1213" spans="1:9">
      <c r="A1213" s="1" t="s">
        <v>1225</v>
      </c>
      <c r="B1213">
        <f>HYPERLINK("https://www.suredividend.com/sure-analysis-research-database/","Gulf Island Fabrication, Inc.")</f>
        <v>0</v>
      </c>
      <c r="C1213">
        <v>-0.101990049751243</v>
      </c>
      <c r="D1213">
        <v>-0.150588235294117</v>
      </c>
      <c r="E1213">
        <v>-0.177676537585421</v>
      </c>
      <c r="F1213">
        <v>-0.09975062344139601</v>
      </c>
      <c r="G1213">
        <v>-0.146572104018912</v>
      </c>
      <c r="H1213">
        <v>0.160771704180064</v>
      </c>
      <c r="I1213">
        <v>-0.6738904597150831</v>
      </c>
    </row>
    <row r="1214" spans="1:9">
      <c r="A1214" s="1" t="s">
        <v>1226</v>
      </c>
      <c r="B1214">
        <f>HYPERLINK("https://www.suredividend.com/sure-analysis-research-database/","G-III Apparel Group Ltd.")</f>
        <v>0</v>
      </c>
      <c r="C1214">
        <v>0.10186240973014</v>
      </c>
      <c r="D1214">
        <v>0.053033054849255</v>
      </c>
      <c r="E1214">
        <v>0.029108981185658</v>
      </c>
      <c r="F1214">
        <v>0.04884225759768401</v>
      </c>
      <c r="G1214">
        <v>-0.092928660826032</v>
      </c>
      <c r="H1214">
        <v>2.251822770611329</v>
      </c>
      <c r="I1214">
        <v>0.191533086724208</v>
      </c>
    </row>
    <row r="1215" spans="1:9">
      <c r="A1215" s="1" t="s">
        <v>1227</v>
      </c>
      <c r="B1215">
        <f>HYPERLINK("https://www.suredividend.com/sure-analysis-GILD/","Gilead Sciences, Inc.")</f>
        <v>0</v>
      </c>
      <c r="C1215">
        <v>0.06641366223908901</v>
      </c>
      <c r="D1215">
        <v>-0.127657983227665</v>
      </c>
      <c r="E1215">
        <v>-0.06485365458882701</v>
      </c>
      <c r="F1215">
        <v>-0.137749473123363</v>
      </c>
      <c r="G1215">
        <v>-0.03472763299039201</v>
      </c>
      <c r="H1215">
        <v>-0.120629641694274</v>
      </c>
      <c r="I1215">
        <v>0.117619409191163</v>
      </c>
    </row>
    <row r="1216" spans="1:9">
      <c r="A1216" s="1" t="s">
        <v>1228</v>
      </c>
      <c r="B1216">
        <f>HYPERLINK("https://www.suredividend.com/sure-analysis-GIS/","General Mills, Inc.")</f>
        <v>0</v>
      </c>
      <c r="C1216">
        <v>0.1403432606871</v>
      </c>
      <c r="D1216">
        <v>0.022066961815163</v>
      </c>
      <c r="E1216">
        <v>0.157955063114428</v>
      </c>
      <c r="F1216">
        <v>0.06824764908697301</v>
      </c>
      <c r="G1216">
        <v>0.183919923475903</v>
      </c>
      <c r="H1216">
        <v>0.236140911697497</v>
      </c>
      <c r="I1216">
        <v>0.4755541130134631</v>
      </c>
    </row>
    <row r="1217" spans="1:9">
      <c r="A1217" s="1" t="s">
        <v>1229</v>
      </c>
      <c r="B1217">
        <f>HYPERLINK("https://www.suredividend.com/sure-analysis-research-database/","Glaukos Corporation")</f>
        <v>0</v>
      </c>
      <c r="C1217">
        <v>0.141306382182294</v>
      </c>
      <c r="D1217">
        <v>0.135567970204841</v>
      </c>
      <c r="E1217">
        <v>0.360553324408746</v>
      </c>
      <c r="F1217">
        <v>0.372187218721872</v>
      </c>
      <c r="G1217">
        <v>-0.282756998353328</v>
      </c>
      <c r="H1217">
        <v>0.75937680323139</v>
      </c>
      <c r="I1217">
        <v>0.377145438121047</v>
      </c>
    </row>
    <row r="1218" spans="1:9">
      <c r="A1218" s="1" t="s">
        <v>1230</v>
      </c>
      <c r="B1218">
        <f>HYPERLINK("https://www.suredividend.com/sure-analysis-research-database/","Globe Life Inc")</f>
        <v>0</v>
      </c>
      <c r="C1218">
        <v>0.037026887337552</v>
      </c>
      <c r="D1218">
        <v>-0.026679552232878</v>
      </c>
      <c r="E1218">
        <v>0.060458388366999</v>
      </c>
      <c r="F1218">
        <v>0.102776923645581</v>
      </c>
      <c r="G1218">
        <v>-0.005868399499312</v>
      </c>
      <c r="H1218">
        <v>0.438506066797664</v>
      </c>
      <c r="I1218">
        <v>0.406005403825296</v>
      </c>
    </row>
    <row r="1219" spans="1:9">
      <c r="A1219" s="1" t="s">
        <v>1231</v>
      </c>
      <c r="B1219">
        <f>HYPERLINK("https://www.suredividend.com/sure-analysis-research-database/","Glen Burnie Bancorp")</f>
        <v>0</v>
      </c>
      <c r="C1219">
        <v>0.006530448717948001</v>
      </c>
      <c r="D1219">
        <v>-0.004477730226660001</v>
      </c>
      <c r="E1219">
        <v>0.110408839779005</v>
      </c>
      <c r="F1219">
        <v>-0.09549457433556301</v>
      </c>
      <c r="G1219">
        <v>0.050854972560567</v>
      </c>
      <c r="H1219">
        <v>0.475064291501779</v>
      </c>
      <c r="I1219">
        <v>0.277211212900733</v>
      </c>
    </row>
    <row r="1220" spans="1:9">
      <c r="A1220" s="1" t="s">
        <v>1232</v>
      </c>
      <c r="B1220">
        <f>HYPERLINK("https://www.suredividend.com/sure-analysis-research-database/","Great Lakes Dredge &amp; Dock Corporation")</f>
        <v>0</v>
      </c>
      <c r="C1220">
        <v>-0.06724949562878201</v>
      </c>
      <c r="D1220">
        <v>-0.074716477651767</v>
      </c>
      <c r="E1220">
        <v>-0.043448275862069</v>
      </c>
      <c r="F1220">
        <v>-0.117684478371501</v>
      </c>
      <c r="G1220">
        <v>-0.08023872679045001</v>
      </c>
      <c r="H1220">
        <v>0.8407431984074311</v>
      </c>
      <c r="I1220">
        <v>2.116853932584269</v>
      </c>
    </row>
    <row r="1221" spans="1:9">
      <c r="A1221" s="1" t="s">
        <v>1233</v>
      </c>
      <c r="B1221">
        <f>HYPERLINK("https://www.suredividend.com/sure-analysis-research-database/","GCI Liberty Inc")</f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1234</v>
      </c>
      <c r="B1222">
        <f>HYPERLINK("https://www.suredividend.com/sure-analysis-GLPI/","Gaming and Leisure Properties Inc")</f>
        <v>0</v>
      </c>
      <c r="C1222">
        <v>0.045658012533572</v>
      </c>
      <c r="D1222">
        <v>0.062721495089007</v>
      </c>
      <c r="E1222">
        <v>-0.019303268709225</v>
      </c>
      <c r="F1222">
        <v>-0.025074288003739</v>
      </c>
      <c r="G1222">
        <v>0.09421695099444401</v>
      </c>
      <c r="H1222">
        <v>1.080902199378223</v>
      </c>
      <c r="I1222">
        <v>0.8907707561868911</v>
      </c>
    </row>
    <row r="1223" spans="1:9">
      <c r="A1223" s="1" t="s">
        <v>1235</v>
      </c>
      <c r="B1223">
        <f>HYPERLINK("https://www.suredividend.com/sure-analysis-research-database/","Greenlight Capital Re Ltd")</f>
        <v>0</v>
      </c>
      <c r="C1223">
        <v>-0.05774647887323901</v>
      </c>
      <c r="D1223">
        <v>-0.099596231493943</v>
      </c>
      <c r="E1223">
        <v>-0.09226594301221101</v>
      </c>
      <c r="F1223">
        <v>-0.146683673469387</v>
      </c>
      <c r="G1223">
        <v>-0.258314855875831</v>
      </c>
      <c r="H1223">
        <v>0.035603715170278</v>
      </c>
      <c r="I1223">
        <v>-0.6851764705882351</v>
      </c>
    </row>
    <row r="1224" spans="1:9">
      <c r="A1224" s="1" t="s">
        <v>1236</v>
      </c>
      <c r="B1224">
        <f>HYPERLINK("https://www.suredividend.com/sure-analysis-research-database/","Glatfelter Corporation")</f>
        <v>0</v>
      </c>
      <c r="C1224">
        <v>-0.056148866034797</v>
      </c>
      <c r="D1224">
        <v>-0.34782252470245</v>
      </c>
      <c r="E1224">
        <v>-0.242674108841811</v>
      </c>
      <c r="F1224">
        <v>-0.298150738881508</v>
      </c>
      <c r="G1224">
        <v>-0.272505712109672</v>
      </c>
      <c r="H1224">
        <v>0.062201978506867</v>
      </c>
      <c r="I1224">
        <v>-0.293411685337404</v>
      </c>
    </row>
    <row r="1225" spans="1:9">
      <c r="A1225" s="1" t="s">
        <v>1237</v>
      </c>
      <c r="B1225">
        <f>HYPERLINK("https://www.suredividend.com/sure-analysis-research-database/","Glu Mobile Inc")</f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1238</v>
      </c>
      <c r="B1226">
        <f>HYPERLINK("https://www.suredividend.com/sure-analysis-GLW/","Corning, Inc.")</f>
        <v>0</v>
      </c>
      <c r="C1226">
        <v>-0.097024926293219</v>
      </c>
      <c r="D1226">
        <v>-0.08557438631157201</v>
      </c>
      <c r="E1226">
        <v>-0.100647885895201</v>
      </c>
      <c r="F1226">
        <v>-0.089013814866191</v>
      </c>
      <c r="G1226">
        <v>-0.246249706352846</v>
      </c>
      <c r="H1226">
        <v>0.7904498711237471</v>
      </c>
      <c r="I1226">
        <v>0.4547071802688331</v>
      </c>
    </row>
    <row r="1227" spans="1:9">
      <c r="A1227" s="1" t="s">
        <v>1239</v>
      </c>
      <c r="B1227">
        <f>HYPERLINK("https://www.suredividend.com/sure-analysis-research-database/","GlycoMimetics Inc")</f>
        <v>0</v>
      </c>
      <c r="C1227">
        <v>-0.074074074074074</v>
      </c>
      <c r="D1227">
        <v>-0.193548387096774</v>
      </c>
      <c r="E1227">
        <v>-0.494949494949494</v>
      </c>
      <c r="F1227">
        <v>-0.305555555555555</v>
      </c>
      <c r="G1227">
        <v>-0.616858237547892</v>
      </c>
      <c r="H1227">
        <v>-0.603174603174603</v>
      </c>
      <c r="I1227">
        <v>-0.764150943396226</v>
      </c>
    </row>
    <row r="1228" spans="1:9">
      <c r="A1228" s="1" t="s">
        <v>1240</v>
      </c>
      <c r="B1228">
        <f>HYPERLINK("https://www.suredividend.com/sure-analysis-research-database/","General Motors Company")</f>
        <v>0</v>
      </c>
      <c r="C1228">
        <v>-0.08483466362599701</v>
      </c>
      <c r="D1228">
        <v>-0.343207855973813</v>
      </c>
      <c r="E1228">
        <v>-0.308103448275862</v>
      </c>
      <c r="F1228">
        <v>-0.315538120416169</v>
      </c>
      <c r="G1228">
        <v>-0.31647078862204</v>
      </c>
      <c r="H1228">
        <v>0.9228557738380451</v>
      </c>
      <c r="I1228">
        <v>0.360122285601955</v>
      </c>
    </row>
    <row r="1229" spans="1:9">
      <c r="A1229" s="1" t="s">
        <v>1241</v>
      </c>
      <c r="B1229">
        <f>HYPERLINK("https://www.suredividend.com/sure-analysis-research-database/","Gamestop Corporation")</f>
        <v>0</v>
      </c>
      <c r="C1229">
        <v>0.735781717706654</v>
      </c>
      <c r="D1229">
        <v>0.292498928418345</v>
      </c>
      <c r="E1229">
        <v>-0.177378873854212</v>
      </c>
      <c r="F1229">
        <v>0.016038816631848</v>
      </c>
      <c r="G1229">
        <v>-0.025341004589824</v>
      </c>
      <c r="H1229">
        <v>28.9741550695825</v>
      </c>
      <c r="I1229">
        <v>7.158064184491183</v>
      </c>
    </row>
    <row r="1230" spans="1:9">
      <c r="A1230" s="1" t="s">
        <v>1242</v>
      </c>
      <c r="B1230">
        <f>HYPERLINK("https://www.suredividend.com/sure-analysis-research-database/","Globus Medical Inc")</f>
        <v>0</v>
      </c>
      <c r="C1230">
        <v>0.154304438486744</v>
      </c>
      <c r="D1230">
        <v>0.055139550714771</v>
      </c>
      <c r="E1230">
        <v>0.013999738322648</v>
      </c>
      <c r="F1230">
        <v>0.073407202216066</v>
      </c>
      <c r="G1230">
        <v>0.111111111111111</v>
      </c>
      <c r="H1230">
        <v>0.7490408485669141</v>
      </c>
      <c r="I1230">
        <v>1.546828787380874</v>
      </c>
    </row>
    <row r="1231" spans="1:9">
      <c r="A1231" s="1" t="s">
        <v>1243</v>
      </c>
      <c r="B1231">
        <f>HYPERLINK("https://www.suredividend.com/sure-analysis-GMRE/","Global Medical REIT Inc")</f>
        <v>0</v>
      </c>
      <c r="C1231">
        <v>0.010840436163644</v>
      </c>
      <c r="D1231">
        <v>-0.06165982214081001</v>
      </c>
      <c r="E1231">
        <v>0.027446007324111</v>
      </c>
      <c r="F1231">
        <v>-0.09337961588526701</v>
      </c>
      <c r="G1231">
        <v>0.170237068806697</v>
      </c>
      <c r="H1231">
        <v>0.6843623712597711</v>
      </c>
      <c r="I1231">
        <v>1.529709752445279</v>
      </c>
    </row>
    <row r="1232" spans="1:9">
      <c r="A1232" s="1" t="s">
        <v>1244</v>
      </c>
      <c r="B1232">
        <f>HYPERLINK("https://www.suredividend.com/sure-analysis-research-database/","GMS Inc")</f>
        <v>0</v>
      </c>
      <c r="C1232">
        <v>-0.048274525009693</v>
      </c>
      <c r="D1232">
        <v>-0.109559223653183</v>
      </c>
      <c r="E1232">
        <v>0.05820219874973</v>
      </c>
      <c r="F1232">
        <v>-0.183330560638828</v>
      </c>
      <c r="G1232">
        <v>0.07066521264994501</v>
      </c>
      <c r="H1232">
        <v>2.647102526002972</v>
      </c>
      <c r="I1232">
        <v>0.434541203974284</v>
      </c>
    </row>
    <row r="1233" spans="1:9">
      <c r="A1233" s="1" t="s">
        <v>1245</v>
      </c>
      <c r="B1233">
        <f>HYPERLINK("https://www.suredividend.com/sure-analysis-research-database/","Genocea Biosciences Inc")</f>
        <v>0</v>
      </c>
      <c r="C1233">
        <v>-0.5892857142857141</v>
      </c>
      <c r="D1233">
        <v>-0.553398058252427</v>
      </c>
      <c r="E1233">
        <v>-0.7386363636363631</v>
      </c>
      <c r="F1233">
        <v>-0.6034482758620691</v>
      </c>
      <c r="G1233">
        <v>-0.791855203619909</v>
      </c>
      <c r="H1233">
        <v>-0.7745098039215681</v>
      </c>
      <c r="I1233">
        <v>-0.9909591194968551</v>
      </c>
    </row>
    <row r="1234" spans="1:9">
      <c r="A1234" s="1" t="s">
        <v>1246</v>
      </c>
      <c r="B1234">
        <f>HYPERLINK("https://www.suredividend.com/sure-analysis-research-database/","Genie Energy Ltd")</f>
        <v>0</v>
      </c>
      <c r="C1234">
        <v>-0.026865671641791</v>
      </c>
      <c r="D1234">
        <v>0.243159761282818</v>
      </c>
      <c r="E1234">
        <v>0.102021499560543</v>
      </c>
      <c r="F1234">
        <v>0.185131327819685</v>
      </c>
      <c r="G1234">
        <v>0.08750041698635601</v>
      </c>
      <c r="H1234">
        <v>-0.169299765569259</v>
      </c>
      <c r="I1234">
        <v>0.084317312489605</v>
      </c>
    </row>
    <row r="1235" spans="1:9">
      <c r="A1235" s="1" t="s">
        <v>1247</v>
      </c>
      <c r="B1235">
        <f>HYPERLINK("https://www.suredividend.com/sure-analysis-research-database/","Genco Shipping &amp; Trading Limited")</f>
        <v>0</v>
      </c>
      <c r="C1235">
        <v>0.261648745519713</v>
      </c>
      <c r="D1235">
        <v>0.546330289623144</v>
      </c>
      <c r="E1235">
        <v>0.496480477124619</v>
      </c>
      <c r="F1235">
        <v>0.5898210160917761</v>
      </c>
      <c r="G1235">
        <v>1.20488223924404</v>
      </c>
      <c r="H1235">
        <v>3.133881385789783</v>
      </c>
      <c r="I1235">
        <v>1.087180442848188</v>
      </c>
    </row>
    <row r="1236" spans="1:9">
      <c r="A1236" s="1" t="s">
        <v>1248</v>
      </c>
      <c r="B1236">
        <f>HYPERLINK("https://www.suredividend.com/sure-analysis-GNL/","Global Net Lease Inc")</f>
        <v>0</v>
      </c>
      <c r="C1236">
        <v>0.05252899327550901</v>
      </c>
      <c r="D1236">
        <v>0.028795384029176</v>
      </c>
      <c r="E1236">
        <v>-0.026870474658085</v>
      </c>
      <c r="F1236">
        <v>0.041910720930553</v>
      </c>
      <c r="G1236">
        <v>-0.115820497526402</v>
      </c>
      <c r="H1236">
        <v>0.4442640175756991</v>
      </c>
      <c r="I1236">
        <v>0.049424274182913</v>
      </c>
    </row>
    <row r="1237" spans="1:9">
      <c r="A1237" s="1" t="s">
        <v>1249</v>
      </c>
      <c r="B1237">
        <f>HYPERLINK("https://www.suredividend.com/sure-analysis-research-database/","GenMark Diagnostics Inc")</f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1250</v>
      </c>
      <c r="B1238">
        <f>HYPERLINK("https://www.suredividend.com/sure-analysis-research-database/","Generac Holdings Inc")</f>
        <v>0</v>
      </c>
      <c r="C1238">
        <v>-0.177666470241602</v>
      </c>
      <c r="D1238">
        <v>-0.179868094554002</v>
      </c>
      <c r="E1238">
        <v>-0.444196132229942</v>
      </c>
      <c r="F1238">
        <v>-0.286229824960218</v>
      </c>
      <c r="G1238">
        <v>-0.243927399692983</v>
      </c>
      <c r="H1238">
        <v>1.603274950772101</v>
      </c>
      <c r="I1238">
        <v>6.166619115549216</v>
      </c>
    </row>
    <row r="1239" spans="1:9">
      <c r="A1239" s="1" t="s">
        <v>1251</v>
      </c>
      <c r="B1239">
        <f>HYPERLINK("https://www.suredividend.com/sure-analysis-GNTX/","Gentex Corp.")</f>
        <v>0</v>
      </c>
      <c r="C1239">
        <v>-0.046499974080282</v>
      </c>
      <c r="D1239">
        <v>-0.222319624097662</v>
      </c>
      <c r="E1239">
        <v>-0.256015381255039</v>
      </c>
      <c r="F1239">
        <v>-0.20221609852154</v>
      </c>
      <c r="G1239">
        <v>-0.225602550824218</v>
      </c>
      <c r="H1239">
        <v>0.243352861649391</v>
      </c>
      <c r="I1239">
        <v>0.4993913308117031</v>
      </c>
    </row>
    <row r="1240" spans="1:9">
      <c r="A1240" s="1" t="s">
        <v>1252</v>
      </c>
      <c r="B1240">
        <f>HYPERLINK("https://www.suredividend.com/sure-analysis-research-database/","Guaranty Bancshares, Inc. (TX)")</f>
        <v>0</v>
      </c>
      <c r="C1240">
        <v>-0.049683273600448</v>
      </c>
      <c r="D1240">
        <v>-0.079381066958706</v>
      </c>
      <c r="E1240">
        <v>-0.031540117504597</v>
      </c>
      <c r="F1240">
        <v>-0.07497148609646001</v>
      </c>
      <c r="G1240">
        <v>-0.08849632232669501</v>
      </c>
      <c r="H1240">
        <v>0.73261989178021</v>
      </c>
      <c r="I1240">
        <v>0.415473108059388</v>
      </c>
    </row>
    <row r="1241" spans="1:9">
      <c r="A1241" s="1" t="s">
        <v>1253</v>
      </c>
      <c r="B1241">
        <f>HYPERLINK("https://www.suredividend.com/sure-analysis-research-database/","Genworth Financial Inc")</f>
        <v>0</v>
      </c>
      <c r="C1241">
        <v>-0.018324607329842</v>
      </c>
      <c r="D1241">
        <v>-0.149659863945578</v>
      </c>
      <c r="E1241">
        <v>-0.135944700460829</v>
      </c>
      <c r="F1241">
        <v>-0.074074074074074</v>
      </c>
      <c r="G1241">
        <v>0.035911602209944</v>
      </c>
      <c r="H1241">
        <v>0.062322946175637</v>
      </c>
      <c r="I1241">
        <v>-0.0625</v>
      </c>
    </row>
    <row r="1242" spans="1:9">
      <c r="A1242" s="1" t="s">
        <v>1254</v>
      </c>
      <c r="B1242">
        <f>HYPERLINK("https://www.suredividend.com/sure-analysis-research-database/","Gogo Inc")</f>
        <v>0</v>
      </c>
      <c r="C1242">
        <v>0.34333525678015</v>
      </c>
      <c r="D1242">
        <v>0.7798165137614671</v>
      </c>
      <c r="E1242">
        <v>0.4370370370370371</v>
      </c>
      <c r="F1242">
        <v>0.720620842572062</v>
      </c>
      <c r="G1242">
        <v>1.206635071090047</v>
      </c>
      <c r="H1242">
        <v>11.79120879120879</v>
      </c>
      <c r="I1242">
        <v>1.062001771479185</v>
      </c>
    </row>
    <row r="1243" spans="1:9">
      <c r="A1243" s="1" t="s">
        <v>1255</v>
      </c>
      <c r="B1243">
        <f>HYPERLINK("https://www.suredividend.com/sure-analysis-research-database/","Acushnet Holdings Corp")</f>
        <v>0</v>
      </c>
      <c r="C1243">
        <v>-0.041061130334486</v>
      </c>
      <c r="D1243">
        <v>-0.15295335436177</v>
      </c>
      <c r="E1243">
        <v>-0.120695490312209</v>
      </c>
      <c r="F1243">
        <v>-0.213593463575018</v>
      </c>
      <c r="G1243">
        <v>-0.03790073968468501</v>
      </c>
      <c r="H1243">
        <v>0.8179353292575191</v>
      </c>
      <c r="I1243">
        <v>1.617510940402354</v>
      </c>
    </row>
    <row r="1244" spans="1:9">
      <c r="A1244" s="1" t="s">
        <v>1256</v>
      </c>
      <c r="B1244">
        <f>HYPERLINK("https://www.suredividend.com/sure-analysis-GOOD/","Gladstone Commercial Corp")</f>
        <v>0</v>
      </c>
      <c r="C1244">
        <v>0.046959055588762</v>
      </c>
      <c r="D1244">
        <v>-0.07618772920186201</v>
      </c>
      <c r="E1244">
        <v>0.065943992773261</v>
      </c>
      <c r="F1244">
        <v>-0.115260765248137</v>
      </c>
      <c r="G1244">
        <v>0.155747550093563</v>
      </c>
      <c r="H1244">
        <v>0.905069422021311</v>
      </c>
      <c r="I1244">
        <v>0.408609987183031</v>
      </c>
    </row>
    <row r="1245" spans="1:9">
      <c r="A1245" s="1" t="s">
        <v>1257</v>
      </c>
      <c r="B1245">
        <f>HYPERLINK("https://www.suredividend.com/sure-analysis-research-database/","Alphabet Inc")</f>
        <v>0</v>
      </c>
      <c r="C1245">
        <v>-0.048152262127825</v>
      </c>
      <c r="D1245">
        <v>-0.08966173414457</v>
      </c>
      <c r="E1245">
        <v>-0.10179636491971</v>
      </c>
      <c r="F1245">
        <v>-0.120448992428091</v>
      </c>
      <c r="G1245">
        <v>0.107626558039133</v>
      </c>
      <c r="H1245">
        <v>1.014341456465132</v>
      </c>
      <c r="I1245">
        <v>2.090315216863374</v>
      </c>
    </row>
    <row r="1246" spans="1:9">
      <c r="A1246" s="1" t="s">
        <v>1258</v>
      </c>
      <c r="B1246">
        <f>HYPERLINK("https://www.suredividend.com/sure-analysis-research-database/","Alphabet Inc")</f>
        <v>0</v>
      </c>
      <c r="C1246">
        <v>-0.04914822498415</v>
      </c>
      <c r="D1246">
        <v>-0.09141421202246901</v>
      </c>
      <c r="E1246">
        <v>-0.103545356799275</v>
      </c>
      <c r="F1246">
        <v>-0.125107005771408</v>
      </c>
      <c r="G1246">
        <v>0.110327455919395</v>
      </c>
      <c r="H1246">
        <v>1.015698687004445</v>
      </c>
      <c r="I1246">
        <v>2.016734509271823</v>
      </c>
    </row>
    <row r="1247" spans="1:9">
      <c r="A1247" s="1" t="s">
        <v>1259</v>
      </c>
      <c r="B1247">
        <f>HYPERLINK("https://www.suredividend.com/sure-analysis-GORO/","Gold Resource Corporation")</f>
        <v>0</v>
      </c>
      <c r="C1247">
        <v>0.186915887850467</v>
      </c>
      <c r="D1247">
        <v>0.584726728225605</v>
      </c>
      <c r="E1247">
        <v>0.4920989249838451</v>
      </c>
      <c r="F1247">
        <v>0.63554410817772</v>
      </c>
      <c r="G1247">
        <v>-0.1130975243549</v>
      </c>
      <c r="H1247">
        <v>-0.327917868388326</v>
      </c>
      <c r="I1247">
        <v>-0.360700712290151</v>
      </c>
    </row>
    <row r="1248" spans="1:9">
      <c r="A1248" s="1" t="s">
        <v>1260</v>
      </c>
      <c r="B1248">
        <f>HYPERLINK("https://www.suredividend.com/sure-analysis-research-database/","Gossamer Bio Inc")</f>
        <v>0</v>
      </c>
      <c r="C1248">
        <v>0.030267753201396</v>
      </c>
      <c r="D1248">
        <v>-0.253164556962025</v>
      </c>
      <c r="E1248">
        <v>-0.371002132196162</v>
      </c>
      <c r="F1248">
        <v>-0.217506631299734</v>
      </c>
      <c r="G1248">
        <v>0.042402826855123</v>
      </c>
      <c r="H1248">
        <v>-0.223002633889376</v>
      </c>
      <c r="I1248">
        <v>-0.506688963210702</v>
      </c>
    </row>
    <row r="1249" spans="1:9">
      <c r="A1249" s="1" t="s">
        <v>1261</v>
      </c>
      <c r="B1249">
        <f>HYPERLINK("https://www.suredividend.com/sure-analysis-GPC/","Genuine Parts Co.")</f>
        <v>0</v>
      </c>
      <c r="C1249">
        <v>0.022409619739205</v>
      </c>
      <c r="D1249">
        <v>-0.045073493751846</v>
      </c>
      <c r="E1249">
        <v>0.043642658794048</v>
      </c>
      <c r="F1249">
        <v>-0.059308670179711</v>
      </c>
      <c r="G1249">
        <v>0.120348956100699</v>
      </c>
      <c r="H1249">
        <v>0.890371722094856</v>
      </c>
      <c r="I1249">
        <v>0.6995240450074041</v>
      </c>
    </row>
    <row r="1250" spans="1:9">
      <c r="A1250" s="1" t="s">
        <v>1262</v>
      </c>
      <c r="B1250">
        <f>HYPERLINK("https://www.suredividend.com/sure-analysis-research-database/","Group 1 Automotive, Inc.")</f>
        <v>0</v>
      </c>
      <c r="C1250">
        <v>-0.174978350567979</v>
      </c>
      <c r="D1250">
        <v>-0.116045016428158</v>
      </c>
      <c r="E1250">
        <v>-0.105847435356678</v>
      </c>
      <c r="F1250">
        <v>-0.168750862890597</v>
      </c>
      <c r="G1250">
        <v>-0.015171922305845</v>
      </c>
      <c r="H1250">
        <v>2.493310383949235</v>
      </c>
      <c r="I1250">
        <v>1.567382699492896</v>
      </c>
    </row>
    <row r="1251" spans="1:9">
      <c r="A1251" s="1" t="s">
        <v>1263</v>
      </c>
      <c r="B1251">
        <f>HYPERLINK("https://www.suredividend.com/sure-analysis-research-database/","Graphic Packaging Holding Co")</f>
        <v>0</v>
      </c>
      <c r="C1251">
        <v>0.054967221381744</v>
      </c>
      <c r="D1251">
        <v>0.07763394443900701</v>
      </c>
      <c r="E1251">
        <v>0.066362185940534</v>
      </c>
      <c r="F1251">
        <v>0.07708466338529901</v>
      </c>
      <c r="G1251">
        <v>0.148081682828715</v>
      </c>
      <c r="H1251">
        <v>0.6777070268016101</v>
      </c>
      <c r="I1251">
        <v>0.81213402169017</v>
      </c>
    </row>
    <row r="1252" spans="1:9">
      <c r="A1252" s="1" t="s">
        <v>1264</v>
      </c>
      <c r="B1252">
        <f>HYPERLINK("https://www.suredividend.com/sure-analysis-research-database/","Granite Point Mortgage Trust Inc")</f>
        <v>0</v>
      </c>
      <c r="C1252">
        <v>-0.029415045926146</v>
      </c>
      <c r="D1252">
        <v>-0.122725935885046</v>
      </c>
      <c r="E1252">
        <v>-0.182727685491068</v>
      </c>
      <c r="F1252">
        <v>-0.08826534622337501</v>
      </c>
      <c r="G1252">
        <v>-0.118094272681196</v>
      </c>
      <c r="H1252">
        <v>1.64063132335087</v>
      </c>
      <c r="I1252">
        <v>-0.205981001346181</v>
      </c>
    </row>
    <row r="1253" spans="1:9">
      <c r="A1253" s="1" t="s">
        <v>1265</v>
      </c>
      <c r="B1253">
        <f>HYPERLINK("https://www.suredividend.com/sure-analysis-research-database/","Global Payments, Inc.")</f>
        <v>0</v>
      </c>
      <c r="C1253">
        <v>0.04792212654436501</v>
      </c>
      <c r="D1253">
        <v>-0.068590846833608</v>
      </c>
      <c r="E1253">
        <v>-0.125062049011529</v>
      </c>
      <c r="F1253">
        <v>0.037310567596774</v>
      </c>
      <c r="G1253">
        <v>-0.353317120438275</v>
      </c>
      <c r="H1253">
        <v>0.003061865157522</v>
      </c>
      <c r="I1253">
        <v>0.829715521400284</v>
      </c>
    </row>
    <row r="1254" spans="1:9">
      <c r="A1254" s="1" t="s">
        <v>1266</v>
      </c>
      <c r="B1254">
        <f>HYPERLINK("https://www.suredividend.com/sure-analysis-research-database/","Gulfport Energy Corp.")</f>
        <v>0</v>
      </c>
      <c r="C1254">
        <v>0.270344827586206</v>
      </c>
      <c r="D1254">
        <v>0.2</v>
      </c>
      <c r="E1254">
        <v>0.090973702914001</v>
      </c>
      <c r="F1254">
        <v>0.278633902540607</v>
      </c>
      <c r="G1254">
        <v>0.262508567511994</v>
      </c>
      <c r="H1254">
        <v>0.262508567511994</v>
      </c>
      <c r="I1254">
        <v>0.262508567511994</v>
      </c>
    </row>
    <row r="1255" spans="1:9">
      <c r="A1255" s="1" t="s">
        <v>1267</v>
      </c>
      <c r="B1255">
        <f>HYPERLINK("https://www.suredividend.com/sure-analysis-research-database/","Green Plains Inc")</f>
        <v>0</v>
      </c>
      <c r="C1255">
        <v>0.04278074866310101</v>
      </c>
      <c r="D1255">
        <v>-0.037037037037036</v>
      </c>
      <c r="E1255">
        <v>-0.09930715935334801</v>
      </c>
      <c r="F1255">
        <v>-0.102416570771001</v>
      </c>
      <c r="G1255">
        <v>0.205564142194744</v>
      </c>
      <c r="H1255">
        <v>5.190476190476191</v>
      </c>
      <c r="I1255">
        <v>0.465876095883331</v>
      </c>
    </row>
    <row r="1256" spans="1:9">
      <c r="A1256" s="1" t="s">
        <v>1268</v>
      </c>
      <c r="B1256">
        <f>HYPERLINK("https://www.suredividend.com/sure-analysis-research-database/","GoPro Inc.")</f>
        <v>0</v>
      </c>
      <c r="C1256">
        <v>0.103404791929382</v>
      </c>
      <c r="D1256">
        <v>-0.161877394636015</v>
      </c>
      <c r="E1256">
        <v>-0.009060022650056001</v>
      </c>
      <c r="F1256">
        <v>-0.151309408341416</v>
      </c>
      <c r="G1256">
        <v>-0.230430958663148</v>
      </c>
      <c r="H1256">
        <v>2.391472868217054</v>
      </c>
      <c r="I1256">
        <v>0.013904982618771</v>
      </c>
    </row>
    <row r="1257" spans="1:9">
      <c r="A1257" s="1" t="s">
        <v>1269</v>
      </c>
      <c r="B1257">
        <f>HYPERLINK("https://www.suredividend.com/sure-analysis-GPS/","Gap, Inc.")</f>
        <v>0</v>
      </c>
      <c r="C1257">
        <v>-0.081152889386697</v>
      </c>
      <c r="D1257">
        <v>-0.219454447892637</v>
      </c>
      <c r="E1257">
        <v>-0.3516638025308541</v>
      </c>
      <c r="F1257">
        <v>-0.186734141027562</v>
      </c>
      <c r="G1257">
        <v>-0.55868462370905</v>
      </c>
      <c r="H1257">
        <v>0.9060613019573931</v>
      </c>
      <c r="I1257">
        <v>-0.315125010314382</v>
      </c>
    </row>
    <row r="1258" spans="1:9">
      <c r="A1258" s="1" t="s">
        <v>1270</v>
      </c>
      <c r="B1258">
        <f>HYPERLINK("https://www.suredividend.com/sure-analysis-research-database/","GP Strategies Corp.")</f>
        <v>0</v>
      </c>
      <c r="C1258">
        <v>0.005303760848601</v>
      </c>
      <c r="D1258">
        <v>0.322969543147208</v>
      </c>
      <c r="E1258">
        <v>0.232998225901833</v>
      </c>
      <c r="F1258">
        <v>0.7580101180438451</v>
      </c>
      <c r="G1258">
        <v>0.9763033175355451</v>
      </c>
      <c r="H1258">
        <v>0.8851717902350811</v>
      </c>
      <c r="I1258">
        <v>-0.134854771784232</v>
      </c>
    </row>
    <row r="1259" spans="1:9">
      <c r="A1259" s="1" t="s">
        <v>1271</v>
      </c>
      <c r="B1259">
        <f>HYPERLINK("https://www.suredividend.com/sure-analysis-research-database/","W.R. Grace &amp; Co.")</f>
        <v>0</v>
      </c>
      <c r="C1259">
        <v>0.008210890233361001</v>
      </c>
      <c r="D1259">
        <v>0.013466550825369</v>
      </c>
      <c r="E1259">
        <v>0.178282828282828</v>
      </c>
      <c r="F1259">
        <v>0.283873890895483</v>
      </c>
      <c r="G1259">
        <v>0.7397421333777441</v>
      </c>
      <c r="H1259">
        <v>0.068696462109297</v>
      </c>
      <c r="I1259">
        <v>0.028803257362506</v>
      </c>
    </row>
    <row r="1260" spans="1:9">
      <c r="A1260" s="1" t="s">
        <v>1272</v>
      </c>
      <c r="B1260">
        <f>HYPERLINK("https://www.suredividend.com/sure-analysis-research-database/","Green Brick Partners Inc")</f>
        <v>0</v>
      </c>
      <c r="C1260">
        <v>-0.16005291005291</v>
      </c>
      <c r="D1260">
        <v>-0.259331259720062</v>
      </c>
      <c r="E1260">
        <v>-0.107310215557638</v>
      </c>
      <c r="F1260">
        <v>-0.3719090009891191</v>
      </c>
      <c r="G1260">
        <v>-0.289444237224916</v>
      </c>
      <c r="H1260">
        <v>1.660614525139665</v>
      </c>
      <c r="I1260">
        <v>0.8676470588235291</v>
      </c>
    </row>
    <row r="1261" spans="1:9">
      <c r="A1261" s="1" t="s">
        <v>1273</v>
      </c>
      <c r="B1261">
        <f>HYPERLINK("https://www.suredividend.com/sure-analysis-GRC/","Gorman-Rupp Co.")</f>
        <v>0</v>
      </c>
      <c r="C1261">
        <v>-0.043490304709141</v>
      </c>
      <c r="D1261">
        <v>-0.170880696143262</v>
      </c>
      <c r="E1261">
        <v>-0.11242147256295</v>
      </c>
      <c r="F1261">
        <v>-0.221316928294857</v>
      </c>
      <c r="G1261">
        <v>0.031463674734964</v>
      </c>
      <c r="H1261">
        <v>0.330282121516822</v>
      </c>
      <c r="I1261">
        <v>0.335964250478788</v>
      </c>
    </row>
    <row r="1262" spans="1:9">
      <c r="A1262" s="1" t="s">
        <v>1274</v>
      </c>
      <c r="B1262">
        <f>HYPERLINK("https://www.suredividend.com/sure-analysis-GRMN/","Garmin Ltd")</f>
        <v>0</v>
      </c>
      <c r="C1262">
        <v>-0.005539176270883001</v>
      </c>
      <c r="D1262">
        <v>-0.154000617151647</v>
      </c>
      <c r="E1262">
        <v>-0.282691476137295</v>
      </c>
      <c r="F1262">
        <v>-0.177547360666651</v>
      </c>
      <c r="G1262">
        <v>-0.196614101223303</v>
      </c>
      <c r="H1262">
        <v>0.4690316875849601</v>
      </c>
      <c r="I1262">
        <v>1.609205236694366</v>
      </c>
    </row>
    <row r="1263" spans="1:9">
      <c r="A1263" s="1" t="s">
        <v>1275</v>
      </c>
      <c r="B1263">
        <f>HYPERLINK("https://www.suredividend.com/sure-analysis-GROW/","U.S. Global Investors, Inc.")</f>
        <v>0</v>
      </c>
      <c r="C1263">
        <v>0.073348930755654</v>
      </c>
      <c r="D1263">
        <v>-0.092738438052943</v>
      </c>
      <c r="E1263">
        <v>-0.112024177391422</v>
      </c>
      <c r="F1263">
        <v>0.195647204060171</v>
      </c>
      <c r="G1263">
        <v>-0.347033559728326</v>
      </c>
      <c r="H1263">
        <v>3.319458209448298</v>
      </c>
      <c r="I1263">
        <v>3.048927769605946</v>
      </c>
    </row>
    <row r="1264" spans="1:9">
      <c r="A1264" s="1" t="s">
        <v>1276</v>
      </c>
      <c r="B1264">
        <f>HYPERLINK("https://www.suredividend.com/sure-analysis-research-database/","Groupon Inc")</f>
        <v>0</v>
      </c>
      <c r="C1264">
        <v>0.023760330578512</v>
      </c>
      <c r="D1264">
        <v>-0.101133786848072</v>
      </c>
      <c r="E1264">
        <v>-0.152629328772979</v>
      </c>
      <c r="F1264">
        <v>-0.144214162348877</v>
      </c>
      <c r="G1264">
        <v>-0.601527945315641</v>
      </c>
      <c r="H1264">
        <v>0.152325581395348</v>
      </c>
      <c r="I1264">
        <v>-0.7292349726775951</v>
      </c>
    </row>
    <row r="1265" spans="1:9">
      <c r="A1265" s="1" t="s">
        <v>1277</v>
      </c>
      <c r="B1265">
        <f>HYPERLINK("https://www.suredividend.com/sure-analysis-research-database/","Gritstone Bio Inc")</f>
        <v>0</v>
      </c>
      <c r="C1265">
        <v>-0.197826086956521</v>
      </c>
      <c r="D1265">
        <v>-0.4096</v>
      </c>
      <c r="E1265">
        <v>-0.5984766050054401</v>
      </c>
      <c r="F1265">
        <v>-0.7130637636080871</v>
      </c>
      <c r="G1265">
        <v>-0.5729166666666661</v>
      </c>
      <c r="H1265">
        <v>-0.4910344827586201</v>
      </c>
      <c r="I1265">
        <v>-0.740870786516854</v>
      </c>
    </row>
    <row r="1266" spans="1:9">
      <c r="A1266" s="1" t="s">
        <v>1278</v>
      </c>
      <c r="B1266">
        <f>HYPERLINK("https://www.suredividend.com/sure-analysis-research-database/","Just Eat Takeaway.com N.V.")</f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1279</v>
      </c>
      <c r="B1267">
        <f>HYPERLINK("https://www.suredividend.com/sure-analysis-GS/","Goldman Sachs Group, Inc.")</f>
        <v>0</v>
      </c>
      <c r="C1267">
        <v>-0.05610987205071</v>
      </c>
      <c r="D1267">
        <v>-0.150690400720767</v>
      </c>
      <c r="E1267">
        <v>-0.199046146735622</v>
      </c>
      <c r="F1267">
        <v>-0.154264883060633</v>
      </c>
      <c r="G1267">
        <v>-0.042016186006836</v>
      </c>
      <c r="H1267">
        <v>0.8927682412273211</v>
      </c>
      <c r="I1267">
        <v>0.563485867670491</v>
      </c>
    </row>
    <row r="1268" spans="1:9">
      <c r="A1268" s="1" t="s">
        <v>1280</v>
      </c>
      <c r="B1268">
        <f>HYPERLINK("https://www.suredividend.com/sure-analysis-research-database/","Globalstar Inc.")</f>
        <v>0</v>
      </c>
      <c r="C1268">
        <v>0.102564102564102</v>
      </c>
      <c r="D1268">
        <v>0.240384615384615</v>
      </c>
      <c r="E1268">
        <v>-0.156862745098039</v>
      </c>
      <c r="F1268">
        <v>0.112068965517241</v>
      </c>
      <c r="G1268">
        <v>0.264705882352941</v>
      </c>
      <c r="H1268">
        <v>3.472954230235784</v>
      </c>
      <c r="I1268">
        <v>-0.254335260115606</v>
      </c>
    </row>
    <row r="1269" spans="1:9">
      <c r="A1269" s="1" t="s">
        <v>1281</v>
      </c>
      <c r="B1269">
        <f>HYPERLINK("https://www.suredividend.com/sure-analysis-research-database/","Great Southern Bancorp, Inc.")</f>
        <v>0</v>
      </c>
      <c r="C1269">
        <v>-0.063787414335084</v>
      </c>
      <c r="D1269">
        <v>-0.031844475927353</v>
      </c>
      <c r="E1269">
        <v>0.022846050470359</v>
      </c>
      <c r="F1269">
        <v>-0.023021976062849</v>
      </c>
      <c r="G1269">
        <v>0.042293117315035</v>
      </c>
      <c r="H1269">
        <v>0.6856648181186991</v>
      </c>
      <c r="I1269">
        <v>0.415209194678577</v>
      </c>
    </row>
    <row r="1270" spans="1:9">
      <c r="A1270" s="1" t="s">
        <v>1282</v>
      </c>
      <c r="B1270">
        <f>HYPERLINK("https://www.suredividend.com/sure-analysis-research-database/","Goosehead Insurance Inc")</f>
        <v>0</v>
      </c>
      <c r="C1270">
        <v>-0.08481455563331</v>
      </c>
      <c r="D1270">
        <v>-0.336748148899482</v>
      </c>
      <c r="E1270">
        <v>-0.5988343558282201</v>
      </c>
      <c r="F1270">
        <v>-0.49730934809348</v>
      </c>
      <c r="G1270">
        <v>-0.3808245950598531</v>
      </c>
      <c r="H1270">
        <v>0.6177274627729711</v>
      </c>
      <c r="I1270">
        <v>3.326480921535805</v>
      </c>
    </row>
    <row r="1271" spans="1:9">
      <c r="A1271" s="1" t="s">
        <v>1283</v>
      </c>
      <c r="B1271">
        <f>HYPERLINK("https://www.suredividend.com/sure-analysis-research-database/","GSI Technology Inc")</f>
        <v>0</v>
      </c>
      <c r="C1271">
        <v>-0.13216957605985</v>
      </c>
      <c r="D1271">
        <v>-0.278008298755186</v>
      </c>
      <c r="E1271">
        <v>-0.31089108910891</v>
      </c>
      <c r="F1271">
        <v>-0.248380129589632</v>
      </c>
      <c r="G1271">
        <v>-0.4727272727272721</v>
      </c>
      <c r="H1271">
        <v>-0.475113122171945</v>
      </c>
      <c r="I1271">
        <v>-0.543905635648754</v>
      </c>
    </row>
    <row r="1272" spans="1:9">
      <c r="A1272" s="1" t="s">
        <v>1284</v>
      </c>
      <c r="B1272">
        <f>HYPERLINK("https://www.suredividend.com/sure-analysis-research-database/","GreenSky Inc")</f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1285</v>
      </c>
      <c r="B1273">
        <f>HYPERLINK("https://www.suredividend.com/sure-analysis-research-database/","Goodyear Tire &amp; Rubber Co.")</f>
        <v>0</v>
      </c>
      <c r="C1273">
        <v>-0.05823863636363601</v>
      </c>
      <c r="D1273">
        <v>-0.450248756218905</v>
      </c>
      <c r="E1273">
        <v>-0.296178343949044</v>
      </c>
      <c r="F1273">
        <v>-0.378048780487804</v>
      </c>
      <c r="G1273">
        <v>-0.252115059221658</v>
      </c>
      <c r="H1273">
        <v>0.9644444444444441</v>
      </c>
      <c r="I1273">
        <v>-0.5783944650760541</v>
      </c>
    </row>
    <row r="1274" spans="1:9">
      <c r="A1274" s="1" t="s">
        <v>1286</v>
      </c>
      <c r="B1274">
        <f>HYPERLINK("https://www.suredividend.com/sure-analysis-research-database/","Gates Industrial Corporation plc")</f>
        <v>0</v>
      </c>
      <c r="C1274">
        <v>-0.162864385297845</v>
      </c>
      <c r="D1274">
        <v>-0.203737191078963</v>
      </c>
      <c r="E1274">
        <v>-0.196960486322188</v>
      </c>
      <c r="F1274">
        <v>-0.169704588309239</v>
      </c>
      <c r="G1274">
        <v>-0.233313987231572</v>
      </c>
      <c r="H1274">
        <v>0.9426470588235291</v>
      </c>
      <c r="I1274">
        <v>-0.285945945945945</v>
      </c>
    </row>
    <row r="1275" spans="1:9">
      <c r="A1275" s="1" t="s">
        <v>1287</v>
      </c>
      <c r="B1275">
        <f>HYPERLINK("https://www.suredividend.com/sure-analysis-research-database/","G1 Therapeutics Inc")</f>
        <v>0</v>
      </c>
      <c r="C1275">
        <v>-0.10379746835443</v>
      </c>
      <c r="D1275">
        <v>-0.299703264094955</v>
      </c>
      <c r="E1275">
        <v>-0.4455755677368831</v>
      </c>
      <c r="F1275">
        <v>-0.306562193927522</v>
      </c>
      <c r="G1275">
        <v>-0.6988515525308381</v>
      </c>
      <c r="H1275">
        <v>-0.468069120961682</v>
      </c>
      <c r="I1275">
        <v>-0.528</v>
      </c>
    </row>
    <row r="1276" spans="1:9">
      <c r="A1276" s="1" t="s">
        <v>1288</v>
      </c>
      <c r="B1276">
        <f>HYPERLINK("https://www.suredividend.com/sure-analysis-research-database/","Good Times Restaurants Inc.")</f>
        <v>0</v>
      </c>
      <c r="C1276">
        <v>-0.04849489795918301</v>
      </c>
      <c r="D1276">
        <v>-0.189152173913043</v>
      </c>
      <c r="E1276">
        <v>-0.261405940594059</v>
      </c>
      <c r="F1276">
        <v>-0.140576036866359</v>
      </c>
      <c r="G1276">
        <v>-0.158036117381489</v>
      </c>
      <c r="H1276">
        <v>4.241568296795953</v>
      </c>
      <c r="I1276">
        <v>0.113402985074626</v>
      </c>
    </row>
    <row r="1277" spans="1:9">
      <c r="A1277" s="1" t="s">
        <v>1289</v>
      </c>
      <c r="B1277">
        <f>HYPERLINK("https://www.suredividend.com/sure-analysis-research-database/","Chart Industries Inc")</f>
        <v>0</v>
      </c>
      <c r="C1277">
        <v>0.09969899870999401</v>
      </c>
      <c r="D1277">
        <v>0.340672508050625</v>
      </c>
      <c r="E1277">
        <v>-0.014369872818366</v>
      </c>
      <c r="F1277">
        <v>0.122452818358517</v>
      </c>
      <c r="G1277">
        <v>0.228689087165408</v>
      </c>
      <c r="H1277">
        <v>5.305741458259951</v>
      </c>
      <c r="I1277">
        <v>4.353468899521531</v>
      </c>
    </row>
    <row r="1278" spans="1:9">
      <c r="A1278" s="1" t="s">
        <v>1290</v>
      </c>
      <c r="B1278">
        <f>HYPERLINK("https://www.suredividend.com/sure-analysis-research-database/","Gray Television, Inc.")</f>
        <v>0</v>
      </c>
      <c r="C1278">
        <v>-0.140016920473773</v>
      </c>
      <c r="D1278">
        <v>-0.108348976333748</v>
      </c>
      <c r="E1278">
        <v>-0.110007923687447</v>
      </c>
      <c r="F1278">
        <v>0.011956316140528</v>
      </c>
      <c r="G1278">
        <v>0.028336149075863</v>
      </c>
      <c r="H1278">
        <v>1.054489965034258</v>
      </c>
      <c r="I1278">
        <v>0.4282302028887761</v>
      </c>
    </row>
    <row r="1279" spans="1:9">
      <c r="A1279" s="1" t="s">
        <v>1291</v>
      </c>
      <c r="B1279">
        <f>HYPERLINK("https://www.suredividend.com/sure-analysis-research-database/","Triple-S Management Corp")</f>
        <v>0</v>
      </c>
      <c r="C1279">
        <v>0.008688340807174001</v>
      </c>
      <c r="D1279">
        <v>0.019835647492207</v>
      </c>
      <c r="E1279">
        <v>0.479243732018084</v>
      </c>
      <c r="F1279">
        <v>0.008688340807174001</v>
      </c>
      <c r="G1279">
        <v>0.536064874093043</v>
      </c>
      <c r="H1279">
        <v>1.042565266742338</v>
      </c>
      <c r="I1279">
        <v>0.9795608554079021</v>
      </c>
    </row>
    <row r="1280" spans="1:9">
      <c r="A1280" s="1" t="s">
        <v>1292</v>
      </c>
      <c r="B1280">
        <f>HYPERLINK("https://www.suredividend.com/sure-analysis-research-database/","GTT Communications Inc")</f>
        <v>0</v>
      </c>
      <c r="C1280">
        <v>-0.208053691275167</v>
      </c>
      <c r="D1280">
        <v>0.296703296703296</v>
      </c>
      <c r="E1280">
        <v>-0.264797507788162</v>
      </c>
      <c r="F1280">
        <v>0</v>
      </c>
      <c r="G1280">
        <v>-0.712195121951219</v>
      </c>
      <c r="H1280">
        <v>-0.868961687951138</v>
      </c>
      <c r="I1280">
        <v>-0.868743047830923</v>
      </c>
    </row>
    <row r="1281" spans="1:9">
      <c r="A1281" s="1" t="s">
        <v>1293</v>
      </c>
      <c r="B1281">
        <f>HYPERLINK("https://www.suredividend.com/sure-analysis-research-database/","Garrett Motion Inc")</f>
        <v>0</v>
      </c>
      <c r="C1281">
        <v>-0.005649717514124001</v>
      </c>
      <c r="D1281">
        <v>-0.052489905787348</v>
      </c>
      <c r="E1281">
        <v>-0.015384615384615</v>
      </c>
      <c r="F1281">
        <v>-0.123287671232876</v>
      </c>
      <c r="G1281">
        <v>0.226480836236933</v>
      </c>
      <c r="H1281">
        <v>0.226480836236933</v>
      </c>
      <c r="I1281">
        <v>0.226480836236933</v>
      </c>
    </row>
    <row r="1282" spans="1:9">
      <c r="A1282" s="1" t="s">
        <v>1294</v>
      </c>
      <c r="B1282">
        <f>HYPERLINK("https://www.suredividend.com/sure-analysis-research-database/","Getty Realty Corp.")</f>
        <v>0</v>
      </c>
      <c r="C1282">
        <v>0.042350504033728</v>
      </c>
      <c r="D1282">
        <v>-0.08175526753757401</v>
      </c>
      <c r="E1282">
        <v>-0.07258980432877901</v>
      </c>
      <c r="F1282">
        <v>-0.09634744776647901</v>
      </c>
      <c r="G1282">
        <v>-0.014438578281095</v>
      </c>
      <c r="H1282">
        <v>0.364089787463547</v>
      </c>
      <c r="I1282">
        <v>0.396441955800511</v>
      </c>
    </row>
    <row r="1283" spans="1:9">
      <c r="A1283" s="1" t="s">
        <v>1295</v>
      </c>
      <c r="B1283">
        <f>HYPERLINK("https://www.suredividend.com/sure-analysis-research-database/","GTY Technology Holdings Inc")</f>
        <v>0</v>
      </c>
      <c r="C1283">
        <v>-0.009009009009009</v>
      </c>
      <c r="D1283">
        <v>-0.443507588532883</v>
      </c>
      <c r="E1283">
        <v>-0.574193548387096</v>
      </c>
      <c r="F1283">
        <v>-0.5074626865671641</v>
      </c>
      <c r="G1283">
        <v>-0.443507588532883</v>
      </c>
      <c r="H1283">
        <v>-0.088397790055248</v>
      </c>
      <c r="I1283">
        <v>-0.676153091265947</v>
      </c>
    </row>
    <row r="1284" spans="1:9">
      <c r="A1284" s="1" t="s">
        <v>1296</v>
      </c>
      <c r="B1284">
        <f>HYPERLINK("https://www.suredividend.com/sure-analysis-research-database/","Goldfield Corp.")</f>
        <v>0</v>
      </c>
      <c r="C1284">
        <v>0.004304160688665</v>
      </c>
      <c r="D1284">
        <v>0.670644391408114</v>
      </c>
      <c r="E1284">
        <v>0.8970189701897021</v>
      </c>
      <c r="F1284">
        <v>0.9718309859154931</v>
      </c>
      <c r="G1284">
        <v>0.9283746556473831</v>
      </c>
      <c r="H1284">
        <v>2.056768558951965</v>
      </c>
      <c r="I1284">
        <v>3.630854723471818</v>
      </c>
    </row>
    <row r="1285" spans="1:9">
      <c r="A1285" s="1" t="s">
        <v>1297</v>
      </c>
      <c r="B1285">
        <f>HYPERLINK("https://www.suredividend.com/sure-analysis-research-database/","Granite Construction Inc.")</f>
        <v>0</v>
      </c>
      <c r="C1285">
        <v>0.014575949683023</v>
      </c>
      <c r="D1285">
        <v>-0.1444176673016</v>
      </c>
      <c r="E1285">
        <v>-0.1649333641476</v>
      </c>
      <c r="F1285">
        <v>-0.156354580122966</v>
      </c>
      <c r="G1285">
        <v>-0.167513573983007</v>
      </c>
      <c r="H1285">
        <v>1.292255531511465</v>
      </c>
      <c r="I1285">
        <v>-0.318901529748839</v>
      </c>
    </row>
    <row r="1286" spans="1:9">
      <c r="A1286" s="1" t="s">
        <v>1298</v>
      </c>
      <c r="B1286">
        <f>HYPERLINK("https://www.suredividend.com/sure-analysis-research-database/","GSE Systems, Inc.")</f>
        <v>0</v>
      </c>
      <c r="C1286">
        <v>-0.023255813953488</v>
      </c>
      <c r="D1286">
        <v>0.101639344262295</v>
      </c>
      <c r="E1286">
        <v>0.105263157894736</v>
      </c>
      <c r="F1286">
        <v>-0.017543859649122</v>
      </c>
      <c r="G1286">
        <v>0.244444444444444</v>
      </c>
      <c r="H1286">
        <v>0.6153846153846151</v>
      </c>
      <c r="I1286">
        <v>-0.513043478260869</v>
      </c>
    </row>
    <row r="1287" spans="1:9">
      <c r="A1287" s="1" t="s">
        <v>1299</v>
      </c>
      <c r="B1287">
        <f>HYPERLINK("https://www.suredividend.com/sure-analysis-research-database/","Great Western Bancorp Inc")</f>
        <v>0</v>
      </c>
      <c r="C1287">
        <v>-0.09069493521790301</v>
      </c>
      <c r="D1287">
        <v>-0.09182614117280201</v>
      </c>
      <c r="E1287">
        <v>0.005525833352328</v>
      </c>
      <c r="F1287">
        <v>-0.09069493521790301</v>
      </c>
      <c r="G1287">
        <v>0.291310002216302</v>
      </c>
      <c r="H1287">
        <v>0.074191573440195</v>
      </c>
      <c r="I1287">
        <v>-0.198119944429296</v>
      </c>
    </row>
    <row r="1288" spans="1:9">
      <c r="A1288" s="1" t="s">
        <v>1300</v>
      </c>
      <c r="B1288">
        <f>HYPERLINK("https://www.suredividend.com/sure-analysis-research-database/","GWG Holdings Inc")</f>
        <v>0</v>
      </c>
      <c r="C1288">
        <v>-0.6715063520871141</v>
      </c>
      <c r="D1288">
        <v>-0.768542199488491</v>
      </c>
      <c r="E1288">
        <v>-0.818818818818818</v>
      </c>
      <c r="F1288">
        <v>-0.818818818818818</v>
      </c>
      <c r="G1288">
        <v>-0.7342143906020551</v>
      </c>
      <c r="H1288">
        <v>-0.773466833541927</v>
      </c>
      <c r="I1288">
        <v>-0.7180597526402691</v>
      </c>
    </row>
    <row r="1289" spans="1:9">
      <c r="A1289" s="1" t="s">
        <v>1301</v>
      </c>
      <c r="B1289">
        <f>HYPERLINK("https://www.suredividend.com/sure-analysis-research-database/","Guidewire Software Inc")</f>
        <v>0</v>
      </c>
      <c r="C1289">
        <v>0.04231473010064001</v>
      </c>
      <c r="D1289">
        <v>-0.120779471348639</v>
      </c>
      <c r="E1289">
        <v>-0.251724137931034</v>
      </c>
      <c r="F1289">
        <v>-0.197216594732669</v>
      </c>
      <c r="G1289">
        <v>-0.134226275292105</v>
      </c>
      <c r="H1289">
        <v>0.043986254295532</v>
      </c>
      <c r="I1289">
        <v>0.560082163642588</v>
      </c>
    </row>
    <row r="1290" spans="1:9">
      <c r="A1290" s="1" t="s">
        <v>1302</v>
      </c>
      <c r="B1290">
        <f>HYPERLINK("https://www.suredividend.com/sure-analysis-GWRS/","Global Water Resources Inc")</f>
        <v>0</v>
      </c>
      <c r="C1290">
        <v>-0.022413271480435</v>
      </c>
      <c r="D1290">
        <v>-0.010602059172503</v>
      </c>
      <c r="E1290">
        <v>-0.104637871912992</v>
      </c>
      <c r="F1290">
        <v>-0.087271229329723</v>
      </c>
      <c r="G1290">
        <v>-0.104968549829765</v>
      </c>
      <c r="H1290">
        <v>0.583687305995752</v>
      </c>
      <c r="I1290">
        <v>0.998968939296301</v>
      </c>
    </row>
    <row r="1291" spans="1:9">
      <c r="A1291" s="1" t="s">
        <v>1303</v>
      </c>
      <c r="B1291">
        <f>HYPERLINK("https://www.suredividend.com/sure-analysis-GWW/","W.W. Grainger Inc.")</f>
        <v>0</v>
      </c>
      <c r="C1291">
        <v>0.0005089783785980001</v>
      </c>
      <c r="D1291">
        <v>-0.022679064136102</v>
      </c>
      <c r="E1291">
        <v>0.153216618540685</v>
      </c>
      <c r="F1291">
        <v>-0.048477443863789</v>
      </c>
      <c r="G1291">
        <v>0.22487740134469</v>
      </c>
      <c r="H1291">
        <v>0.8122753693843731</v>
      </c>
      <c r="I1291">
        <v>1.438656448820371</v>
      </c>
    </row>
    <row r="1292" spans="1:9">
      <c r="A1292" s="1" t="s">
        <v>1304</v>
      </c>
      <c r="B1292">
        <f>HYPERLINK("https://www.suredividend.com/sure-analysis-research-database/","Hyatt Hotels Corporation")</f>
        <v>0</v>
      </c>
      <c r="C1292">
        <v>0.031366294524189</v>
      </c>
      <c r="D1292">
        <v>0.052174856275084</v>
      </c>
      <c r="E1292">
        <v>0.127906976744186</v>
      </c>
      <c r="F1292">
        <v>0.011470281543274</v>
      </c>
      <c r="G1292">
        <v>0.152429606748247</v>
      </c>
      <c r="H1292">
        <v>0.7979610750695081</v>
      </c>
      <c r="I1292">
        <v>0.8364151661387761</v>
      </c>
    </row>
    <row r="1293" spans="1:9">
      <c r="A1293" s="1" t="s">
        <v>1305</v>
      </c>
      <c r="B1293">
        <f>HYPERLINK("https://www.suredividend.com/sure-analysis-research-database/","Hawaiian Holdings, Inc.")</f>
        <v>0</v>
      </c>
      <c r="C1293">
        <v>0.021413276231263</v>
      </c>
      <c r="D1293">
        <v>-0.054509415262636</v>
      </c>
      <c r="E1293">
        <v>-0.09957527135441201</v>
      </c>
      <c r="F1293">
        <v>0.038649972781709</v>
      </c>
      <c r="G1293">
        <v>-0.237410071942446</v>
      </c>
      <c r="H1293">
        <v>0.773234200743494</v>
      </c>
      <c r="I1293">
        <v>-0.5904331362775781</v>
      </c>
    </row>
    <row r="1294" spans="1:9">
      <c r="A1294" s="1" t="s">
        <v>1306</v>
      </c>
      <c r="B1294">
        <f>HYPERLINK("https://www.suredividend.com/sure-analysis-research-database/","Haemonetics Corp.")</f>
        <v>0</v>
      </c>
      <c r="C1294">
        <v>0.028602461984069</v>
      </c>
      <c r="D1294">
        <v>0.07838299487568801</v>
      </c>
      <c r="E1294">
        <v>-0.187240738091832</v>
      </c>
      <c r="F1294">
        <v>0.07126696832579101</v>
      </c>
      <c r="G1294">
        <v>-0.514234419081815</v>
      </c>
      <c r="H1294">
        <v>-0.447007299270073</v>
      </c>
      <c r="I1294">
        <v>0.41519302615193</v>
      </c>
    </row>
    <row r="1295" spans="1:9">
      <c r="A1295" s="1" t="s">
        <v>1307</v>
      </c>
      <c r="B1295">
        <f>HYPERLINK("https://www.suredividend.com/sure-analysis-research-database/","Hanmi Financial Corp.")</f>
        <v>0</v>
      </c>
      <c r="C1295">
        <v>-0.06372165754495601</v>
      </c>
      <c r="D1295">
        <v>-0.09623323597557701</v>
      </c>
      <c r="E1295">
        <v>0.223361869930327</v>
      </c>
      <c r="F1295">
        <v>0.019791187641578</v>
      </c>
      <c r="G1295">
        <v>0.210201060126022</v>
      </c>
      <c r="H1295">
        <v>1.665672372726665</v>
      </c>
      <c r="I1295">
        <v>0.010510149403609</v>
      </c>
    </row>
    <row r="1296" spans="1:9">
      <c r="A1296" s="1" t="s">
        <v>1308</v>
      </c>
      <c r="B1296">
        <f>HYPERLINK("https://www.suredividend.com/sure-analysis-research-database/","Hain Celestial Group Inc")</f>
        <v>0</v>
      </c>
      <c r="C1296">
        <v>0.026260817666368</v>
      </c>
      <c r="D1296">
        <v>-0.148762376237623</v>
      </c>
      <c r="E1296">
        <v>-0.238316722037652</v>
      </c>
      <c r="F1296">
        <v>-0.192912461863412</v>
      </c>
      <c r="G1296">
        <v>-0.194990636704119</v>
      </c>
      <c r="H1296">
        <v>0.26620029455081</v>
      </c>
      <c r="I1296">
        <v>-0.060382513661202</v>
      </c>
    </row>
    <row r="1297" spans="1:9">
      <c r="A1297" s="1" t="s">
        <v>1309</v>
      </c>
      <c r="B1297">
        <f>HYPERLINK("https://www.suredividend.com/sure-analysis-HAL/","Halliburton Co.")</f>
        <v>0</v>
      </c>
      <c r="C1297">
        <v>0.198823529411764</v>
      </c>
      <c r="D1297">
        <v>0.4233284794898921</v>
      </c>
      <c r="E1297">
        <v>0.5757467980562181</v>
      </c>
      <c r="F1297">
        <v>0.788645000482705</v>
      </c>
      <c r="G1297">
        <v>0.985348556287261</v>
      </c>
      <c r="H1297">
        <v>5.227369257329687</v>
      </c>
      <c r="I1297">
        <v>-0.093994714228239</v>
      </c>
    </row>
    <row r="1298" spans="1:9">
      <c r="A1298" s="1" t="s">
        <v>1310</v>
      </c>
      <c r="B1298">
        <f>HYPERLINK("https://www.suredividend.com/sure-analysis-research-database/","Hallmark Financial Services, Inc")</f>
        <v>0</v>
      </c>
      <c r="C1298">
        <v>-0.051282051282051</v>
      </c>
      <c r="D1298">
        <v>-0.170403587443946</v>
      </c>
      <c r="E1298">
        <v>0.057142857142857</v>
      </c>
      <c r="F1298">
        <v>-0.149425287356321</v>
      </c>
      <c r="G1298">
        <v>-0.077306733167082</v>
      </c>
      <c r="H1298">
        <v>0.167192429022082</v>
      </c>
      <c r="I1298">
        <v>-0.6445725264169061</v>
      </c>
    </row>
    <row r="1299" spans="1:9">
      <c r="A1299" s="1" t="s">
        <v>1311</v>
      </c>
      <c r="B1299">
        <f>HYPERLINK("https://www.suredividend.com/sure-analysis-research-database/","Halozyme Therapeutics Inc.")</f>
        <v>0</v>
      </c>
      <c r="C1299">
        <v>0.17188799556418</v>
      </c>
      <c r="D1299">
        <v>0.188695163104611</v>
      </c>
      <c r="E1299">
        <v>0.119438559322033</v>
      </c>
      <c r="F1299">
        <v>0.05123103705545801</v>
      </c>
      <c r="G1299">
        <v>-0.089204912734324</v>
      </c>
      <c r="H1299">
        <v>1.273803119956966</v>
      </c>
      <c r="I1299">
        <v>2.299765807962529</v>
      </c>
    </row>
    <row r="1300" spans="1:9">
      <c r="A1300" s="1" t="s">
        <v>1312</v>
      </c>
      <c r="B1300">
        <f>HYPERLINK("https://www.suredividend.com/sure-analysis-HAS/","Hasbro, Inc.")</f>
        <v>0</v>
      </c>
      <c r="C1300">
        <v>-0.052584769316286</v>
      </c>
      <c r="D1300">
        <v>-0.142339274158567</v>
      </c>
      <c r="E1300">
        <v>-0.06480109739369</v>
      </c>
      <c r="F1300">
        <v>-0.156327002980872</v>
      </c>
      <c r="G1300">
        <v>-0.105422053519317</v>
      </c>
      <c r="H1300">
        <v>0.242435243056314</v>
      </c>
      <c r="I1300">
        <v>0.024958866940566</v>
      </c>
    </row>
    <row r="1301" spans="1:9">
      <c r="A1301" s="1" t="s">
        <v>1313</v>
      </c>
      <c r="B1301">
        <f>HYPERLINK("https://www.suredividend.com/sure-analysis-HASI/","Hannon Armstrong Sustainable Infrastructure capital Inc")</f>
        <v>0</v>
      </c>
      <c r="C1301">
        <v>-0.041306533326587</v>
      </c>
      <c r="D1301">
        <v>-0.04898657495504601</v>
      </c>
      <c r="E1301">
        <v>-0.248335575563144</v>
      </c>
      <c r="F1301">
        <v>-0.173055028462998</v>
      </c>
      <c r="G1301">
        <v>-0.185152498765949</v>
      </c>
      <c r="H1301">
        <v>0.8293783555743981</v>
      </c>
      <c r="I1301">
        <v>1.606599637540298</v>
      </c>
    </row>
    <row r="1302" spans="1:9">
      <c r="A1302" s="1" t="s">
        <v>1314</v>
      </c>
      <c r="B1302">
        <f>HYPERLINK("https://www.suredividend.com/sure-analysis-research-database/","Haynes International Inc.")</f>
        <v>0</v>
      </c>
      <c r="C1302">
        <v>0.08662945886920601</v>
      </c>
      <c r="D1302">
        <v>0.078124285243083</v>
      </c>
      <c r="E1302">
        <v>0.144098109351047</v>
      </c>
      <c r="F1302">
        <v>0.11688648562364</v>
      </c>
      <c r="G1302">
        <v>0.552672274501917</v>
      </c>
      <c r="H1302">
        <v>1.438440008276973</v>
      </c>
      <c r="I1302">
        <v>0.374694930083347</v>
      </c>
    </row>
    <row r="1303" spans="1:9">
      <c r="A1303" s="1" t="s">
        <v>1315</v>
      </c>
      <c r="B1303">
        <f>HYPERLINK("https://www.suredividend.com/sure-analysis-HBAN/","Huntington Bancshares, Inc.")</f>
        <v>0</v>
      </c>
      <c r="C1303">
        <v>-0.125368248772504</v>
      </c>
      <c r="D1303">
        <v>-0.234511170063427</v>
      </c>
      <c r="E1303">
        <v>-0.154804833301701</v>
      </c>
      <c r="F1303">
        <v>-0.12480101669822</v>
      </c>
      <c r="G1303">
        <v>-0.140089466739613</v>
      </c>
      <c r="H1303">
        <v>1.041564792176039</v>
      </c>
      <c r="I1303">
        <v>0.302537803819867</v>
      </c>
    </row>
    <row r="1304" spans="1:9">
      <c r="A1304" s="1" t="s">
        <v>1316</v>
      </c>
      <c r="B1304">
        <f>HYPERLINK("https://www.suredividend.com/sure-analysis-research-database/","Hamilton Beach Brands Holding Co")</f>
        <v>0</v>
      </c>
      <c r="C1304">
        <v>0.021475256769374</v>
      </c>
      <c r="D1304">
        <v>-0.175217315912877</v>
      </c>
      <c r="E1304">
        <v>-0.280395716578525</v>
      </c>
      <c r="F1304">
        <v>-0.232652259607628</v>
      </c>
      <c r="G1304">
        <v>-0.4271111530042621</v>
      </c>
      <c r="H1304">
        <v>0.173970897540455</v>
      </c>
      <c r="I1304">
        <v>-0.6470967741935481</v>
      </c>
    </row>
    <row r="1305" spans="1:9">
      <c r="A1305" s="1" t="s">
        <v>1317</v>
      </c>
      <c r="B1305">
        <f>HYPERLINK("https://www.suredividend.com/sure-analysis-research-database/","Home Bancorp Inc")</f>
        <v>0</v>
      </c>
      <c r="C1305">
        <v>0.018781725888324</v>
      </c>
      <c r="D1305">
        <v>-0.08663954345629701</v>
      </c>
      <c r="E1305">
        <v>0.027599783932681</v>
      </c>
      <c r="F1305">
        <v>-0.027449004068044</v>
      </c>
      <c r="G1305">
        <v>0.09348864831291101</v>
      </c>
      <c r="H1305">
        <v>0.8616515548547181</v>
      </c>
      <c r="I1305">
        <v>0.380268419912452</v>
      </c>
    </row>
    <row r="1306" spans="1:9">
      <c r="A1306" s="1" t="s">
        <v>1318</v>
      </c>
      <c r="B1306">
        <f>HYPERLINK("https://www.suredividend.com/sure-analysis-HBI/","Hanesbrands Inc")</f>
        <v>0</v>
      </c>
      <c r="C1306">
        <v>-0.081539465101108</v>
      </c>
      <c r="D1306">
        <v>-0.153179486254202</v>
      </c>
      <c r="E1306">
        <v>-0.149100754206149</v>
      </c>
      <c r="F1306">
        <v>-0.149635212832777</v>
      </c>
      <c r="G1306">
        <v>-0.2813649981881</v>
      </c>
      <c r="H1306">
        <v>0.759758033270425</v>
      </c>
      <c r="I1306">
        <v>-0.206026977037939</v>
      </c>
    </row>
    <row r="1307" spans="1:9">
      <c r="A1307" s="1" t="s">
        <v>1319</v>
      </c>
      <c r="B1307">
        <f>HYPERLINK("https://www.suredividend.com/sure-analysis-research-database/","Harvard Bioscience Inc.")</f>
        <v>0</v>
      </c>
      <c r="C1307">
        <v>-0.03921568627450901</v>
      </c>
      <c r="D1307">
        <v>-0.029702970297029</v>
      </c>
      <c r="E1307">
        <v>-0.140350877192982</v>
      </c>
      <c r="F1307">
        <v>-0.16595744680851</v>
      </c>
      <c r="G1307">
        <v>-0.15638450502152</v>
      </c>
      <c r="H1307">
        <v>1.324110671936759</v>
      </c>
      <c r="I1307">
        <v>1.45</v>
      </c>
    </row>
    <row r="1308" spans="1:9">
      <c r="A1308" s="1" t="s">
        <v>1320</v>
      </c>
      <c r="B1308">
        <f>HYPERLINK("https://www.suredividend.com/sure-analysis-research-database/","Howard Bancorp Inc")</f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1321</v>
      </c>
      <c r="B1309">
        <f>HYPERLINK("https://www.suredividend.com/sure-analysis-research-database/","Horizon Bancorp Inc (IN)")</f>
        <v>0</v>
      </c>
      <c r="C1309">
        <v>-0.09230288470928301</v>
      </c>
      <c r="D1309">
        <v>-0.193807190251095</v>
      </c>
      <c r="E1309">
        <v>0.04006400393870301</v>
      </c>
      <c r="F1309">
        <v>-0.09461934076209701</v>
      </c>
      <c r="G1309">
        <v>0.019417741926639</v>
      </c>
      <c r="H1309">
        <v>1.20177184006064</v>
      </c>
      <c r="I1309">
        <v>0.302733006306937</v>
      </c>
    </row>
    <row r="1310" spans="1:9">
      <c r="A1310" s="1" t="s">
        <v>1322</v>
      </c>
      <c r="B1310">
        <f>HYPERLINK("https://www.suredividend.com/sure-analysis-research-database/","Huttig Building Products, Inc.")</f>
        <v>0</v>
      </c>
      <c r="C1310">
        <v>0.183831672203765</v>
      </c>
      <c r="D1310">
        <v>0.051130776794493</v>
      </c>
      <c r="E1310">
        <v>0.6172465960665651</v>
      </c>
      <c r="F1310">
        <v>-0.034327009936766</v>
      </c>
      <c r="G1310">
        <v>1.794771241830065</v>
      </c>
      <c r="H1310">
        <v>12.3625</v>
      </c>
      <c r="I1310">
        <v>0.321384425216316</v>
      </c>
    </row>
    <row r="1311" spans="1:9">
      <c r="A1311" s="1" t="s">
        <v>1323</v>
      </c>
      <c r="B1311">
        <f>HYPERLINK("https://www.suredividend.com/sure-analysis-research-database/","HCA Healthcare Inc")</f>
        <v>0</v>
      </c>
      <c r="C1311">
        <v>-0.020311620048808</v>
      </c>
      <c r="D1311">
        <v>0.017463453550301</v>
      </c>
      <c r="E1311">
        <v>0.06126233848631601</v>
      </c>
      <c r="F1311">
        <v>0.017780144043154</v>
      </c>
      <c r="G1311">
        <v>0.3360422143053901</v>
      </c>
      <c r="H1311">
        <v>1.439056307485231</v>
      </c>
      <c r="I1311">
        <v>2.087261820956798</v>
      </c>
    </row>
    <row r="1312" spans="1:9">
      <c r="A1312" s="1" t="s">
        <v>1324</v>
      </c>
      <c r="B1312">
        <f>HYPERLINK("https://www.suredividend.com/sure-analysis-research-database/","Warrior Met Coal Inc")</f>
        <v>0</v>
      </c>
      <c r="C1312">
        <v>0.080631980386815</v>
      </c>
      <c r="D1312">
        <v>0.439906498635228</v>
      </c>
      <c r="E1312">
        <v>0.5068180954913201</v>
      </c>
      <c r="F1312">
        <v>0.545757058580568</v>
      </c>
      <c r="G1312">
        <v>1.151814966694873</v>
      </c>
      <c r="H1312">
        <v>2.589005898744255</v>
      </c>
      <c r="I1312">
        <v>2.404390436469114</v>
      </c>
    </row>
    <row r="1313" spans="1:9">
      <c r="A1313" s="1" t="s">
        <v>1325</v>
      </c>
      <c r="B1313">
        <f>HYPERLINK("https://www.suredividend.com/sure-analysis-research-database/","Heritage-Crystal Clean Inc")</f>
        <v>0</v>
      </c>
      <c r="C1313">
        <v>-0.005199306759098</v>
      </c>
      <c r="D1313">
        <v>-0.08130601792573601</v>
      </c>
      <c r="E1313">
        <v>-0.06908855011352501</v>
      </c>
      <c r="F1313">
        <v>-0.10368519675203</v>
      </c>
      <c r="G1313">
        <v>-0.013067400275103</v>
      </c>
      <c r="H1313">
        <v>0.7144563918757461</v>
      </c>
      <c r="I1313">
        <v>0.993055555555555</v>
      </c>
    </row>
    <row r="1314" spans="1:9">
      <c r="A1314" s="1" t="s">
        <v>1326</v>
      </c>
      <c r="B1314">
        <f>HYPERLINK("https://www.suredividend.com/sure-analysis-research-database/","HC2 Holdings Inc")</f>
        <v>0</v>
      </c>
      <c r="C1314">
        <v>0.051428571428571</v>
      </c>
      <c r="D1314">
        <v>-0.065989847715736</v>
      </c>
      <c r="E1314">
        <v>-0.0935960591133</v>
      </c>
      <c r="F1314">
        <v>0.128834355828221</v>
      </c>
      <c r="G1314">
        <v>0.46935516071072</v>
      </c>
      <c r="H1314">
        <v>0.517713531570916</v>
      </c>
      <c r="I1314">
        <v>0.277999652717485</v>
      </c>
    </row>
    <row r="1315" spans="1:9">
      <c r="A1315" s="1" t="s">
        <v>1327</v>
      </c>
      <c r="B1315">
        <f>HYPERLINK("https://www.suredividend.com/sure-analysis-research-database/","HCI Group Inc")</f>
        <v>0</v>
      </c>
      <c r="C1315">
        <v>-0.05195899452324</v>
      </c>
      <c r="D1315">
        <v>-0.037640501493217</v>
      </c>
      <c r="E1315">
        <v>-0.4480382505976651</v>
      </c>
      <c r="F1315">
        <v>-0.186936058079092</v>
      </c>
      <c r="G1315">
        <v>-0.102265413481843</v>
      </c>
      <c r="H1315">
        <v>0.7938852189810111</v>
      </c>
      <c r="I1315">
        <v>0.7817977391676141</v>
      </c>
    </row>
    <row r="1316" spans="1:9">
      <c r="A1316" s="1" t="s">
        <v>1328</v>
      </c>
      <c r="B1316">
        <f>HYPERLINK("https://www.suredividend.com/sure-analysis-research-database/","Hackett Group Inc (The)")</f>
        <v>0</v>
      </c>
      <c r="C1316">
        <v>0.127280863360039</v>
      </c>
      <c r="D1316">
        <v>0.195826726323337</v>
      </c>
      <c r="E1316">
        <v>0.159732595440409</v>
      </c>
      <c r="F1316">
        <v>0.159130847663382</v>
      </c>
      <c r="G1316">
        <v>0.4113552109284661</v>
      </c>
      <c r="H1316">
        <v>0.8442654870013551</v>
      </c>
      <c r="I1316">
        <v>0.365526229290768</v>
      </c>
    </row>
    <row r="1317" spans="1:9">
      <c r="A1317" s="1" t="s">
        <v>1329</v>
      </c>
      <c r="B1317">
        <f>HYPERLINK("https://www.suredividend.com/sure-analysis-research-database/","HashiCorp Inc")</f>
        <v>0</v>
      </c>
      <c r="C1317">
        <v>0.362244897959183</v>
      </c>
      <c r="D1317">
        <v>-0.159244264507422</v>
      </c>
      <c r="E1317">
        <v>-0.341824157764995</v>
      </c>
      <c r="F1317">
        <v>-0.384116871704745</v>
      </c>
      <c r="G1317">
        <v>-0.341824157764995</v>
      </c>
      <c r="H1317">
        <v>-0.341824157764995</v>
      </c>
      <c r="I1317">
        <v>-0.341824157764995</v>
      </c>
    </row>
    <row r="1318" spans="1:9">
      <c r="A1318" s="1" t="s">
        <v>1330</v>
      </c>
      <c r="B1318">
        <f>HYPERLINK("https://www.suredividend.com/sure-analysis-research-database/","Healthcare Services Group, Inc.")</f>
        <v>0</v>
      </c>
      <c r="C1318">
        <v>-0.043064876957494</v>
      </c>
      <c r="D1318">
        <v>-0.07355266292694501</v>
      </c>
      <c r="E1318">
        <v>-0.228267684216698</v>
      </c>
      <c r="F1318">
        <v>-0.025121218854873</v>
      </c>
      <c r="G1318">
        <v>-0.3858843122335</v>
      </c>
      <c r="H1318">
        <v>-0.115268470257301</v>
      </c>
      <c r="I1318">
        <v>-0.5625014382988951</v>
      </c>
    </row>
    <row r="1319" spans="1:9">
      <c r="A1319" s="1" t="s">
        <v>1331</v>
      </c>
      <c r="B1319">
        <f>HYPERLINK("https://www.suredividend.com/sure-analysis-HD/","Home Depot, Inc.")</f>
        <v>0</v>
      </c>
      <c r="C1319">
        <v>-0.07974978090719501</v>
      </c>
      <c r="D1319">
        <v>-0.176457702589593</v>
      </c>
      <c r="E1319">
        <v>-0.122100455093991</v>
      </c>
      <c r="F1319">
        <v>-0.261806382955513</v>
      </c>
      <c r="G1319">
        <v>-0.052639307317935</v>
      </c>
      <c r="H1319">
        <v>0.5912380534349151</v>
      </c>
      <c r="I1319">
        <v>1.33013512365739</v>
      </c>
    </row>
    <row r="1320" spans="1:9">
      <c r="A1320" s="1" t="s">
        <v>1332</v>
      </c>
      <c r="B1320">
        <f>HYPERLINK("https://www.suredividend.com/sure-analysis-research-database/","HD Supply Holdings Inc")</f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1333</v>
      </c>
      <c r="B1321">
        <f>HYPERLINK("https://www.suredividend.com/sure-analysis-research-database/","Hudson Technologies, Inc.")</f>
        <v>0</v>
      </c>
      <c r="C1321">
        <v>0.138564273789649</v>
      </c>
      <c r="D1321">
        <v>0.771428571428571</v>
      </c>
      <c r="E1321">
        <v>1.017751479289941</v>
      </c>
      <c r="F1321">
        <v>0.536036036036035</v>
      </c>
      <c r="G1321">
        <v>2.497435897435897</v>
      </c>
      <c r="H1321">
        <v>7.023529411764706</v>
      </c>
      <c r="I1321">
        <v>0.04761904761904701</v>
      </c>
    </row>
    <row r="1322" spans="1:9">
      <c r="A1322" s="1" t="s">
        <v>1334</v>
      </c>
      <c r="B1322">
        <f>HYPERLINK("https://www.suredividend.com/sure-analysis-HE/","Hawaiian Electric Industries, Inc.")</f>
        <v>0</v>
      </c>
      <c r="C1322">
        <v>0.047505371210312</v>
      </c>
      <c r="D1322">
        <v>0.05182163137822601</v>
      </c>
      <c r="E1322">
        <v>0.05194266576847201</v>
      </c>
      <c r="F1322">
        <v>0.06652148233847201</v>
      </c>
      <c r="G1322">
        <v>0.06260352393037301</v>
      </c>
      <c r="H1322">
        <v>0.14206889371836</v>
      </c>
      <c r="I1322">
        <v>0.546660651091968</v>
      </c>
    </row>
    <row r="1323" spans="1:9">
      <c r="A1323" s="1" t="s">
        <v>1335</v>
      </c>
      <c r="B1323">
        <f>HYPERLINK("https://www.suredividend.com/sure-analysis-research-database/","Turtle Beach Corp")</f>
        <v>0</v>
      </c>
      <c r="C1323">
        <v>-0.014848950332821</v>
      </c>
      <c r="D1323">
        <v>-0.102193187120858</v>
      </c>
      <c r="E1323">
        <v>-0.364387182028411</v>
      </c>
      <c r="F1323">
        <v>-0.135669362084456</v>
      </c>
      <c r="G1323">
        <v>-0.249024199843872</v>
      </c>
      <c r="H1323">
        <v>1.653793103448275</v>
      </c>
      <c r="I1323">
        <v>4.530006898137502</v>
      </c>
    </row>
    <row r="1324" spans="1:9">
      <c r="A1324" s="1" t="s">
        <v>1336</v>
      </c>
      <c r="B1324">
        <f>HYPERLINK("https://www.suredividend.com/sure-analysis-research-database/","H&amp;E Equipment Services Inc")</f>
        <v>0</v>
      </c>
      <c r="C1324">
        <v>-0.072531586335985</v>
      </c>
      <c r="D1324">
        <v>-0.141431971912436</v>
      </c>
      <c r="E1324">
        <v>0.005754417301817001</v>
      </c>
      <c r="F1324">
        <v>-0.098572588329198</v>
      </c>
      <c r="G1324">
        <v>0.04113316471388501</v>
      </c>
      <c r="H1324">
        <v>2.399015623124282</v>
      </c>
      <c r="I1324">
        <v>1.051483754774202</v>
      </c>
    </row>
    <row r="1325" spans="1:9">
      <c r="A1325" s="1" t="s">
        <v>1337</v>
      </c>
      <c r="B1325">
        <f>HYPERLINK("https://www.suredividend.com/sure-analysis-research-database/","Heico Corp.")</f>
        <v>0</v>
      </c>
      <c r="C1325">
        <v>0.020296858819468</v>
      </c>
      <c r="D1325">
        <v>-0.030058410448251</v>
      </c>
      <c r="E1325">
        <v>0.05613697837202301</v>
      </c>
      <c r="F1325">
        <v>0.025379513223989</v>
      </c>
      <c r="G1325">
        <v>0.092394116342671</v>
      </c>
      <c r="H1325">
        <v>0.94467179140339</v>
      </c>
      <c r="I1325">
        <v>2.451206953321486</v>
      </c>
    </row>
    <row r="1326" spans="1:9">
      <c r="A1326" s="1" t="s">
        <v>1338</v>
      </c>
      <c r="B1326">
        <f>HYPERLINK("https://www.suredividend.com/sure-analysis-research-database/","Helen of Troy Ltd")</f>
        <v>0</v>
      </c>
      <c r="C1326">
        <v>-0.019173617102866</v>
      </c>
      <c r="D1326">
        <v>-0.112624138080575</v>
      </c>
      <c r="E1326">
        <v>-0.093277795010413</v>
      </c>
      <c r="F1326">
        <v>-0.163005685769215</v>
      </c>
      <c r="G1326">
        <v>-0.109573542210618</v>
      </c>
      <c r="H1326">
        <v>0.5359555622278931</v>
      </c>
      <c r="I1326">
        <v>1.259745996686913</v>
      </c>
    </row>
    <row r="1327" spans="1:9">
      <c r="A1327" s="1" t="s">
        <v>1339</v>
      </c>
      <c r="B1327">
        <f>HYPERLINK("https://www.suredividend.com/sure-analysis-research-database/","Hepion Pharmaceuticals Inc")</f>
        <v>0</v>
      </c>
      <c r="C1327">
        <v>-0.045454545454545</v>
      </c>
      <c r="D1327">
        <v>-0.09482758620689601</v>
      </c>
      <c r="E1327">
        <v>-0.309210526315789</v>
      </c>
      <c r="F1327">
        <v>-0.078947368421052</v>
      </c>
      <c r="G1327">
        <v>-0.363636363636363</v>
      </c>
      <c r="H1327">
        <v>-0.304635761589404</v>
      </c>
      <c r="I1327">
        <v>-0.9987745098039211</v>
      </c>
    </row>
    <row r="1328" spans="1:9">
      <c r="A1328" s="1" t="s">
        <v>1340</v>
      </c>
      <c r="B1328">
        <f>HYPERLINK("https://www.suredividend.com/sure-analysis-research-database/","Hess Corporation")</f>
        <v>0</v>
      </c>
      <c r="C1328">
        <v>0.210765171503957</v>
      </c>
      <c r="D1328">
        <v>0.254741373653056</v>
      </c>
      <c r="E1328">
        <v>0.281585806035026</v>
      </c>
      <c r="F1328">
        <v>0.5555865925575371</v>
      </c>
      <c r="G1328">
        <v>0.6767394783574611</v>
      </c>
      <c r="H1328">
        <v>2.641107186044961</v>
      </c>
      <c r="I1328">
        <v>1.542705348059391</v>
      </c>
    </row>
    <row r="1329" spans="1:9">
      <c r="A1329" s="1" t="s">
        <v>1341</v>
      </c>
      <c r="B1329">
        <f>HYPERLINK("https://www.suredividend.com/sure-analysis-research-database/","Home Federal Bancorp Inc (Louisiana)")</f>
        <v>0</v>
      </c>
      <c r="C1329">
        <v>0.06330365974282801</v>
      </c>
      <c r="D1329">
        <v>0.053921568627451</v>
      </c>
      <c r="E1329">
        <v>0.168338568214669</v>
      </c>
      <c r="F1329">
        <v>0.054852320675105</v>
      </c>
      <c r="G1329">
        <v>0.401043940647868</v>
      </c>
      <c r="H1329">
        <v>1.05723908945641</v>
      </c>
      <c r="I1329">
        <v>0.5473525876773151</v>
      </c>
    </row>
    <row r="1330" spans="1:9">
      <c r="A1330" s="1" t="s">
        <v>1342</v>
      </c>
      <c r="B1330">
        <f>HYPERLINK("https://www.suredividend.com/sure-analysis-research-database/","Heritage Financial Corp.")</f>
        <v>0</v>
      </c>
      <c r="C1330">
        <v>-0.068793235972328</v>
      </c>
      <c r="D1330">
        <v>-0.101074407146885</v>
      </c>
      <c r="E1330">
        <v>-0.006580430905475</v>
      </c>
      <c r="F1330">
        <v>-0.000292939336801</v>
      </c>
      <c r="G1330">
        <v>-0.115351194257632</v>
      </c>
      <c r="H1330">
        <v>0.4875343029216571</v>
      </c>
      <c r="I1330">
        <v>0.157320061328888</v>
      </c>
    </row>
    <row r="1331" spans="1:9">
      <c r="A1331" s="1" t="s">
        <v>1343</v>
      </c>
      <c r="B1331">
        <f>HYPERLINK("https://www.suredividend.com/sure-analysis-research-database/","Hilton Grand Vacations Inc")</f>
        <v>0</v>
      </c>
      <c r="C1331">
        <v>-0.061690784463061</v>
      </c>
      <c r="D1331">
        <v>-0.046808510638297</v>
      </c>
      <c r="E1331">
        <v>0.008389605074688</v>
      </c>
      <c r="F1331">
        <v>-0.05430819420456701</v>
      </c>
      <c r="G1331">
        <v>0.15735086895256</v>
      </c>
      <c r="H1331">
        <v>1.828932261768082</v>
      </c>
      <c r="I1331">
        <v>0.5575221238938051</v>
      </c>
    </row>
    <row r="1332" spans="1:9">
      <c r="A1332" s="1" t="s">
        <v>1344</v>
      </c>
      <c r="B1332">
        <f>HYPERLINK("https://www.suredividend.com/sure-analysis-research-database/","Howard Hughes Corporation")</f>
        <v>0</v>
      </c>
      <c r="C1332">
        <v>0.032980581526764</v>
      </c>
      <c r="D1332">
        <v>-0.008676789587852</v>
      </c>
      <c r="E1332">
        <v>0.104471053498846</v>
      </c>
      <c r="F1332">
        <v>-0.012183140106111</v>
      </c>
      <c r="G1332">
        <v>-0.06326283424951</v>
      </c>
      <c r="H1332">
        <v>0.9394290123456791</v>
      </c>
      <c r="I1332">
        <v>-0.157462498952484</v>
      </c>
    </row>
    <row r="1333" spans="1:9">
      <c r="A1333" s="1" t="s">
        <v>1345</v>
      </c>
      <c r="B1333">
        <f>HYPERLINK("https://www.suredividend.com/sure-analysis-research-database/","Harte-Hanks, Inc.")</f>
        <v>0</v>
      </c>
      <c r="C1333">
        <v>0.05191256830601</v>
      </c>
      <c r="D1333">
        <v>-0.019507971272856</v>
      </c>
      <c r="E1333">
        <v>1.862453531598513</v>
      </c>
      <c r="F1333">
        <v>0.013157894736842</v>
      </c>
      <c r="G1333">
        <v>1.862453531598513</v>
      </c>
      <c r="H1333">
        <v>3.052631578947369</v>
      </c>
      <c r="I1333">
        <v>-0.3984375</v>
      </c>
    </row>
    <row r="1334" spans="1:9">
      <c r="A1334" s="1" t="s">
        <v>1346</v>
      </c>
      <c r="B1334">
        <f>HYPERLINK("https://www.suredividend.com/sure-analysis-research-database/","Hillenbrand Inc")</f>
        <v>0</v>
      </c>
      <c r="C1334">
        <v>-0.081033340693309</v>
      </c>
      <c r="D1334">
        <v>-0.173721074281721</v>
      </c>
      <c r="E1334">
        <v>-0.07707182075413101</v>
      </c>
      <c r="F1334">
        <v>-0.19549383766063</v>
      </c>
      <c r="G1334">
        <v>-0.152828721589637</v>
      </c>
      <c r="H1334">
        <v>1.448825893303679</v>
      </c>
      <c r="I1334">
        <v>0.336630483653413</v>
      </c>
    </row>
    <row r="1335" spans="1:9">
      <c r="A1335" s="1" t="s">
        <v>1347</v>
      </c>
      <c r="B1335">
        <f>HYPERLINK("https://www.suredividend.com/sure-analysis-research-database/","Hibbett Inc")</f>
        <v>0</v>
      </c>
      <c r="C1335">
        <v>-0.08431055398301601</v>
      </c>
      <c r="D1335">
        <v>-0.264575738631289</v>
      </c>
      <c r="E1335">
        <v>-0.391702494301827</v>
      </c>
      <c r="F1335">
        <v>-0.367022265330737</v>
      </c>
      <c r="G1335">
        <v>-0.3625965640168941</v>
      </c>
      <c r="H1335">
        <v>2.98300911105639</v>
      </c>
      <c r="I1335">
        <v>0.6292187376342691</v>
      </c>
    </row>
    <row r="1336" spans="1:9">
      <c r="A1336" s="1" t="s">
        <v>1348</v>
      </c>
      <c r="B1336">
        <f>HYPERLINK("https://www.suredividend.com/sure-analysis-research-database/","Hingham Institution For Savings")</f>
        <v>0</v>
      </c>
      <c r="C1336">
        <v>-0.003614001340677</v>
      </c>
      <c r="D1336">
        <v>-0.165111849174562</v>
      </c>
      <c r="E1336">
        <v>-0.04238336654053201</v>
      </c>
      <c r="F1336">
        <v>-0.185791178431932</v>
      </c>
      <c r="G1336">
        <v>0.154731758855718</v>
      </c>
      <c r="H1336">
        <v>1.460252178187112</v>
      </c>
      <c r="I1336">
        <v>1.081178565449647</v>
      </c>
    </row>
    <row r="1337" spans="1:9">
      <c r="A1337" s="1" t="s">
        <v>1349</v>
      </c>
      <c r="B1337">
        <f>HYPERLINK("https://www.suredividend.com/sure-analysis-HIG/","Hartford Financial Services Group Inc.")</f>
        <v>0</v>
      </c>
      <c r="C1337">
        <v>0.07470605104674501</v>
      </c>
      <c r="D1337">
        <v>0.04016753705813601</v>
      </c>
      <c r="E1337">
        <v>0.050823694356817</v>
      </c>
      <c r="F1337">
        <v>0.09154247549308701</v>
      </c>
      <c r="G1337">
        <v>0.156089871141096</v>
      </c>
      <c r="H1337">
        <v>1.109259353066658</v>
      </c>
      <c r="I1337">
        <v>0.7454831693037161</v>
      </c>
    </row>
    <row r="1338" spans="1:9">
      <c r="A1338" s="1" t="s">
        <v>1350</v>
      </c>
      <c r="B1338">
        <f>HYPERLINK("https://www.suredividend.com/sure-analysis-HII/","Huntington Ingalls Industries Inc")</f>
        <v>0</v>
      </c>
      <c r="C1338">
        <v>0.145657542704259</v>
      </c>
      <c r="D1338">
        <v>0.133554474961717</v>
      </c>
      <c r="E1338">
        <v>0.07109632122403201</v>
      </c>
      <c r="F1338">
        <v>0.19996270830403</v>
      </c>
      <c r="G1338">
        <v>0.09565516902032101</v>
      </c>
      <c r="H1338">
        <v>0.213719770108927</v>
      </c>
      <c r="I1338">
        <v>0.201476498985864</v>
      </c>
    </row>
    <row r="1339" spans="1:9">
      <c r="A1339" s="1" t="s">
        <v>1351</v>
      </c>
      <c r="B1339">
        <f>HYPERLINK("https://www.suredividend.com/sure-analysis-research-database/","Hill International Inc")</f>
        <v>0</v>
      </c>
      <c r="C1339">
        <v>-0.258426966292134</v>
      </c>
      <c r="D1339">
        <v>-0.34</v>
      </c>
      <c r="E1339">
        <v>-0.359223300970873</v>
      </c>
      <c r="F1339">
        <v>-0.323076923076923</v>
      </c>
      <c r="G1339">
        <v>-0.5416666666666661</v>
      </c>
      <c r="H1339">
        <v>-0.274725274725274</v>
      </c>
      <c r="I1339">
        <v>-0.647999999999999</v>
      </c>
    </row>
    <row r="1340" spans="1:9">
      <c r="A1340" s="1" t="s">
        <v>1352</v>
      </c>
      <c r="B1340">
        <f>HYPERLINK("https://www.suredividend.com/sure-analysis-HIW/","Highwoods Properties, Inc.")</f>
        <v>0</v>
      </c>
      <c r="C1340">
        <v>-0.004104903078677001</v>
      </c>
      <c r="D1340">
        <v>-0.06592630935014801</v>
      </c>
      <c r="E1340">
        <v>-0.040928017991109</v>
      </c>
      <c r="F1340">
        <v>-0.009366443677707</v>
      </c>
      <c r="G1340">
        <v>0.044639375752023</v>
      </c>
      <c r="H1340">
        <v>0.318666054691274</v>
      </c>
      <c r="I1340">
        <v>0.063625093466024</v>
      </c>
    </row>
    <row r="1341" spans="1:9">
      <c r="A1341" s="1" t="s">
        <v>1353</v>
      </c>
      <c r="B1341">
        <f>HYPERLINK("https://www.suredividend.com/sure-analysis-research-database/","Hecla Mining Co.")</f>
        <v>0</v>
      </c>
      <c r="C1341">
        <v>0.08169440242057401</v>
      </c>
      <c r="D1341">
        <v>0.4087559601213691</v>
      </c>
      <c r="E1341">
        <v>0.283800768484935</v>
      </c>
      <c r="F1341">
        <v>0.370966195616743</v>
      </c>
      <c r="G1341">
        <v>0.12655196319405</v>
      </c>
      <c r="H1341">
        <v>2.032616533061882</v>
      </c>
      <c r="I1341">
        <v>0.216338056921218</v>
      </c>
    </row>
    <row r="1342" spans="1:9">
      <c r="A1342" s="1" t="s">
        <v>1354</v>
      </c>
      <c r="B1342">
        <f>HYPERLINK("https://www.suredividend.com/sure-analysis-research-database/","Herbalife Nutrition Ltd")</f>
        <v>0</v>
      </c>
      <c r="C1342">
        <v>-0.119668246445497</v>
      </c>
      <c r="D1342">
        <v>-0.341603898980948</v>
      </c>
      <c r="E1342">
        <v>-0.316624511381926</v>
      </c>
      <c r="F1342">
        <v>-0.273882237967261</v>
      </c>
      <c r="G1342">
        <v>-0.350382513661202</v>
      </c>
      <c r="H1342">
        <v>-0.035378123985718</v>
      </c>
      <c r="I1342">
        <v>0.022359821121431</v>
      </c>
    </row>
    <row r="1343" spans="1:9">
      <c r="A1343" s="1" t="s">
        <v>1355</v>
      </c>
      <c r="B1343">
        <f>HYPERLINK("https://www.suredividend.com/sure-analysis-research-database/","Houlihan Lokey Inc")</f>
        <v>0</v>
      </c>
      <c r="C1343">
        <v>-0.16521032310506</v>
      </c>
      <c r="D1343">
        <v>-0.282316294459964</v>
      </c>
      <c r="E1343">
        <v>-0.182299613144911</v>
      </c>
      <c r="F1343">
        <v>-0.203004834741849</v>
      </c>
      <c r="G1343">
        <v>0.232486274039182</v>
      </c>
      <c r="H1343">
        <v>0.5253626820836721</v>
      </c>
      <c r="I1343">
        <v>1.794814489766066</v>
      </c>
    </row>
    <row r="1344" spans="1:9">
      <c r="A1344" s="1" t="s">
        <v>1356</v>
      </c>
      <c r="B1344">
        <f>HYPERLINK("https://www.suredividend.com/sure-analysis-research-database/","Helios Technologies Inc")</f>
        <v>0</v>
      </c>
      <c r="C1344">
        <v>0.000606019796646</v>
      </c>
      <c r="D1344">
        <v>-0.15471550431516</v>
      </c>
      <c r="E1344">
        <v>-0.12007797317126</v>
      </c>
      <c r="F1344">
        <v>-0.292096442570252</v>
      </c>
      <c r="G1344">
        <v>0.05780634028903801</v>
      </c>
      <c r="H1344">
        <v>1.427390636740827</v>
      </c>
      <c r="I1344">
        <v>1.184683691321542</v>
      </c>
    </row>
    <row r="1345" spans="1:9">
      <c r="A1345" s="1" t="s">
        <v>1357</v>
      </c>
      <c r="B1345">
        <f>HYPERLINK("https://www.suredividend.com/sure-analysis-research-database/","Harmonic, Inc.")</f>
        <v>0</v>
      </c>
      <c r="C1345">
        <v>-0.06971677559912801</v>
      </c>
      <c r="D1345">
        <v>-0.253496503496503</v>
      </c>
      <c r="E1345">
        <v>-0.07874865156418501</v>
      </c>
      <c r="F1345">
        <v>-0.273809523809523</v>
      </c>
      <c r="G1345">
        <v>0.005297233666862001</v>
      </c>
      <c r="H1345">
        <v>0.280359820089954</v>
      </c>
      <c r="I1345">
        <v>0.5527272727272721</v>
      </c>
    </row>
    <row r="1346" spans="1:9">
      <c r="A1346" s="1" t="s">
        <v>1358</v>
      </c>
      <c r="B1346">
        <f>HYPERLINK("https://www.suredividend.com/sure-analysis-research-database/","Hamilton Lane Inc")</f>
        <v>0</v>
      </c>
      <c r="C1346">
        <v>-0.06335245379222401</v>
      </c>
      <c r="D1346">
        <v>-0.220968954319392</v>
      </c>
      <c r="E1346">
        <v>-0.18773690546332</v>
      </c>
      <c r="F1346">
        <v>-0.287579963041029</v>
      </c>
      <c r="G1346">
        <v>-0.193705902362481</v>
      </c>
      <c r="H1346">
        <v>0.354827171033101</v>
      </c>
      <c r="I1346">
        <v>3.357133115516209</v>
      </c>
    </row>
    <row r="1347" spans="1:9">
      <c r="A1347" s="1" t="s">
        <v>1359</v>
      </c>
      <c r="B1347">
        <f>HYPERLINK("https://www.suredividend.com/sure-analysis-research-database/","Hilton Worldwide Holdings Inc")</f>
        <v>0</v>
      </c>
      <c r="C1347">
        <v>0.031766032230254</v>
      </c>
      <c r="D1347">
        <v>0.051358291661035</v>
      </c>
      <c r="E1347">
        <v>0.076529200110711</v>
      </c>
      <c r="F1347">
        <v>-0.002628373613693</v>
      </c>
      <c r="G1347">
        <v>0.214994142912924</v>
      </c>
      <c r="H1347">
        <v>1.217818959372772</v>
      </c>
      <c r="I1347">
        <v>1.786484172669602</v>
      </c>
    </row>
    <row r="1348" spans="1:9">
      <c r="A1348" s="1" t="s">
        <v>1360</v>
      </c>
      <c r="B1348">
        <f>HYPERLINK("https://www.suredividend.com/sure-analysis-research-database/","Helix Energy Solutions Group Inc")</f>
        <v>0</v>
      </c>
      <c r="C1348">
        <v>0.156950672645739</v>
      </c>
      <c r="D1348">
        <v>0.354330708661417</v>
      </c>
      <c r="E1348">
        <v>0.188940092165898</v>
      </c>
      <c r="F1348">
        <v>0.6538461538461531</v>
      </c>
      <c r="G1348">
        <v>0.08176100628930801</v>
      </c>
      <c r="H1348">
        <v>2.534246575342466</v>
      </c>
      <c r="I1348">
        <v>-0.295081967213114</v>
      </c>
    </row>
    <row r="1349" spans="1:9">
      <c r="A1349" s="1" t="s">
        <v>1361</v>
      </c>
      <c r="B1349">
        <f>HYPERLINK("https://www.suredividend.com/sure-analysis-research-database/","Houghton Mifflin Harcourt Co")</f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1362</v>
      </c>
      <c r="B1350">
        <f>HYPERLINK("https://www.suredividend.com/sure-analysis-research-database/","Horace Mann Educators Corp.")</f>
        <v>0</v>
      </c>
      <c r="C1350">
        <v>-0.001475651746187</v>
      </c>
      <c r="D1350">
        <v>0.028892622637158</v>
      </c>
      <c r="E1350">
        <v>0.03762542233399201</v>
      </c>
      <c r="F1350">
        <v>0.05734122953680101</v>
      </c>
      <c r="G1350">
        <v>-0.007441742208662</v>
      </c>
      <c r="H1350">
        <v>0.293896061265659</v>
      </c>
      <c r="I1350">
        <v>0.263431742010972</v>
      </c>
    </row>
    <row r="1351" spans="1:9">
      <c r="A1351" s="1" t="s">
        <v>1363</v>
      </c>
      <c r="B1351">
        <f>HYPERLINK("https://www.suredividend.com/sure-analysis-research-database/","HMN Financial Inc.")</f>
        <v>0</v>
      </c>
      <c r="C1351">
        <v>-0.021634615384615</v>
      </c>
      <c r="D1351">
        <v>-0.02085004009623</v>
      </c>
      <c r="E1351">
        <v>0.045649762994617</v>
      </c>
      <c r="F1351">
        <v>-0.007756725678459001</v>
      </c>
      <c r="G1351">
        <v>0.194085316955815</v>
      </c>
      <c r="H1351">
        <v>0.577234092024698</v>
      </c>
      <c r="I1351">
        <v>0.352414075739618</v>
      </c>
    </row>
    <row r="1352" spans="1:9">
      <c r="A1352" s="1" t="s">
        <v>1364</v>
      </c>
      <c r="B1352">
        <f>HYPERLINK("https://www.suredividend.com/sure-analysis-research-database/","HomeStreet Inc")</f>
        <v>0</v>
      </c>
      <c r="C1352">
        <v>-0.136901299204964</v>
      </c>
      <c r="D1352">
        <v>-0.208401508145408</v>
      </c>
      <c r="E1352">
        <v>0.059938561188769</v>
      </c>
      <c r="F1352">
        <v>-0.137917677045484</v>
      </c>
      <c r="G1352">
        <v>0.052830768866864</v>
      </c>
      <c r="H1352">
        <v>1.250286910317143</v>
      </c>
      <c r="I1352">
        <v>0.761126234489744</v>
      </c>
    </row>
    <row r="1353" spans="1:9">
      <c r="A1353" s="1" t="s">
        <v>1365</v>
      </c>
      <c r="B1353">
        <f>HYPERLINK("https://www.suredividend.com/sure-analysis-research-database/","HMS Holdings Corp")</f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1366</v>
      </c>
      <c r="B1354">
        <f>HYPERLINK("https://www.suredividend.com/sure-analysis-research-database/","Hemisphere Media Group Inc")</f>
        <v>0</v>
      </c>
      <c r="C1354">
        <v>-0.206766917293233</v>
      </c>
      <c r="D1354">
        <v>-0.40646976090014</v>
      </c>
      <c r="E1354">
        <v>-0.631762652705061</v>
      </c>
      <c r="F1354">
        <v>-0.419532324621733</v>
      </c>
      <c r="G1354">
        <v>-0.6723602484472051</v>
      </c>
      <c r="H1354">
        <v>-0.4927884615384611</v>
      </c>
      <c r="I1354">
        <v>-0.637768240343347</v>
      </c>
    </row>
    <row r="1355" spans="1:9">
      <c r="A1355" s="1" t="s">
        <v>1367</v>
      </c>
      <c r="B1355">
        <f>HYPERLINK("https://www.suredividend.com/sure-analysis-research-database/","Hanger Inc")</f>
        <v>0</v>
      </c>
      <c r="C1355">
        <v>0.031948881789137</v>
      </c>
      <c r="D1355">
        <v>0.029208709506107</v>
      </c>
      <c r="E1355">
        <v>0.025396825396825</v>
      </c>
      <c r="F1355">
        <v>0.068946497517926</v>
      </c>
      <c r="G1355">
        <v>-0.200824742268041</v>
      </c>
      <c r="H1355">
        <v>0.207476635514018</v>
      </c>
      <c r="I1355">
        <v>0.5046583850931671</v>
      </c>
    </row>
    <row r="1356" spans="1:9">
      <c r="A1356" s="1" t="s">
        <v>1368</v>
      </c>
      <c r="B1356">
        <f>HYPERLINK("https://www.suredividend.com/sure-analysis-HNI/","HNI Corp.")</f>
        <v>0</v>
      </c>
      <c r="C1356">
        <v>-0.087034201123021</v>
      </c>
      <c r="D1356">
        <v>-0.140447966704073</v>
      </c>
      <c r="E1356">
        <v>-0.05631008537267401</v>
      </c>
      <c r="F1356">
        <v>-0.142900957976508</v>
      </c>
      <c r="G1356">
        <v>-0.08773272124458001</v>
      </c>
      <c r="H1356">
        <v>0.707740931356167</v>
      </c>
      <c r="I1356">
        <v>-0.06564759476741701</v>
      </c>
    </row>
    <row r="1357" spans="1:9">
      <c r="A1357" s="1" t="s">
        <v>1369</v>
      </c>
      <c r="B1357">
        <f>HYPERLINK("https://www.suredividend.com/sure-analysis-research-database/","Hallador Energy Co")</f>
        <v>0</v>
      </c>
      <c r="C1357">
        <v>0.495702005730658</v>
      </c>
      <c r="D1357">
        <v>0.8981818181818181</v>
      </c>
      <c r="E1357">
        <v>0.438016528925619</v>
      </c>
      <c r="F1357">
        <v>1.121951219512195</v>
      </c>
      <c r="G1357">
        <v>1.521739130434782</v>
      </c>
      <c r="H1357">
        <v>5.442853616391014</v>
      </c>
      <c r="I1357">
        <v>-0.289670281818552</v>
      </c>
    </row>
    <row r="1358" spans="1:9">
      <c r="A1358" s="1" t="s">
        <v>1370</v>
      </c>
      <c r="B1358">
        <f>HYPERLINK("https://www.suredividend.com/sure-analysis-research-database/","Hooker Furnishings Corporation")</f>
        <v>0</v>
      </c>
      <c r="C1358">
        <v>-0.08891108891108901</v>
      </c>
      <c r="D1358">
        <v>-0.204653474844549</v>
      </c>
      <c r="E1358">
        <v>-0.287914456039258</v>
      </c>
      <c r="F1358">
        <v>-0.208752309974753</v>
      </c>
      <c r="G1358">
        <v>-0.462797868862598</v>
      </c>
      <c r="H1358">
        <v>0.419974621067627</v>
      </c>
      <c r="I1358">
        <v>-0.4871117134799071</v>
      </c>
    </row>
    <row r="1359" spans="1:9">
      <c r="A1359" s="1" t="s">
        <v>1371</v>
      </c>
      <c r="B1359">
        <f>HYPERLINK("https://www.suredividend.com/sure-analysis-HOG/","Harley-Davidson, Inc.")</f>
        <v>0</v>
      </c>
      <c r="C1359">
        <v>-0.031440162271805</v>
      </c>
      <c r="D1359">
        <v>0.004464872653838</v>
      </c>
      <c r="E1359">
        <v>0.031997320048844</v>
      </c>
      <c r="F1359">
        <v>0.017524326023317</v>
      </c>
      <c r="G1359">
        <v>-0.039590493454381</v>
      </c>
      <c r="H1359">
        <v>1.126806672159989</v>
      </c>
      <c r="I1359">
        <v>-0.269120533886403</v>
      </c>
    </row>
    <row r="1360" spans="1:9">
      <c r="A1360" s="1" t="s">
        <v>1372</v>
      </c>
      <c r="B1360">
        <f>HYPERLINK("https://www.suredividend.com/sure-analysis-research-database/","Hologic, Inc.")</f>
        <v>0</v>
      </c>
      <c r="C1360">
        <v>0.05457308648798</v>
      </c>
      <c r="D1360">
        <v>0.09685299612013201</v>
      </c>
      <c r="E1360">
        <v>0.09559351227214001</v>
      </c>
      <c r="F1360">
        <v>-0.003004179728317</v>
      </c>
      <c r="G1360">
        <v>-0.004304722149752</v>
      </c>
      <c r="H1360">
        <v>0.8410516160154361</v>
      </c>
      <c r="I1360">
        <v>0.799387081565299</v>
      </c>
    </row>
    <row r="1361" spans="1:9">
      <c r="A1361" s="1" t="s">
        <v>1373</v>
      </c>
      <c r="B1361">
        <f>HYPERLINK("https://www.suredividend.com/sure-analysis-research-database/","Home Bancshares Inc")</f>
        <v>0</v>
      </c>
      <c r="C1361">
        <v>-0.057544757033248</v>
      </c>
      <c r="D1361">
        <v>-0.134956219629568</v>
      </c>
      <c r="E1361">
        <v>-0.06493045129476001</v>
      </c>
      <c r="F1361">
        <v>-0.08557768660667001</v>
      </c>
      <c r="G1361">
        <v>-0.160388249232919</v>
      </c>
      <c r="H1361">
        <v>0.9765601952423091</v>
      </c>
      <c r="I1361">
        <v>-0.00186445039343</v>
      </c>
    </row>
    <row r="1362" spans="1:9">
      <c r="A1362" s="1" t="s">
        <v>1374</v>
      </c>
      <c r="B1362">
        <f>HYPERLINK("https://www.suredividend.com/sure-analysis-research-database/","At Home Group Inc")</f>
        <v>0</v>
      </c>
      <c r="C1362">
        <v>0.005709624796084001</v>
      </c>
      <c r="D1362">
        <v>0.181411689556052</v>
      </c>
      <c r="E1362">
        <v>0.4754686876745111</v>
      </c>
      <c r="F1362">
        <v>1.392626131953428</v>
      </c>
      <c r="G1362">
        <v>3.28125</v>
      </c>
      <c r="H1362">
        <v>5.124172185430464</v>
      </c>
      <c r="I1362">
        <v>1.466</v>
      </c>
    </row>
    <row r="1363" spans="1:9">
      <c r="A1363" s="1" t="s">
        <v>1375</v>
      </c>
      <c r="B1363">
        <f>HYPERLINK("https://www.suredividend.com/sure-analysis-HON/","Honeywell International Inc")</f>
        <v>0</v>
      </c>
      <c r="C1363">
        <v>0.021776684290425</v>
      </c>
      <c r="D1363">
        <v>-0.09825504335481</v>
      </c>
      <c r="E1363">
        <v>-0.106954944666802</v>
      </c>
      <c r="F1363">
        <v>-0.058727423008928</v>
      </c>
      <c r="G1363">
        <v>-0.143773197061131</v>
      </c>
      <c r="H1363">
        <v>0.535369585224456</v>
      </c>
      <c r="I1363">
        <v>0.8411094007032791</v>
      </c>
    </row>
    <row r="1364" spans="1:9">
      <c r="A1364" s="1" t="s">
        <v>1376</v>
      </c>
      <c r="B1364">
        <f>HYPERLINK("https://www.suredividend.com/sure-analysis-research-database/","HarborOne Bancorp Inc.")</f>
        <v>0</v>
      </c>
      <c r="C1364">
        <v>-0.069956340745253</v>
      </c>
      <c r="D1364">
        <v>-0.08109011870924501</v>
      </c>
      <c r="E1364">
        <v>-0.02064207104978</v>
      </c>
      <c r="F1364">
        <v>-0.06618276719814001</v>
      </c>
      <c r="G1364">
        <v>0.001129367190061</v>
      </c>
      <c r="H1364">
        <v>0.9756139644562031</v>
      </c>
      <c r="I1364">
        <v>0.411721190202203</v>
      </c>
    </row>
    <row r="1365" spans="1:9">
      <c r="A1365" s="1" t="s">
        <v>1377</v>
      </c>
      <c r="B1365">
        <f>HYPERLINK("https://www.suredividend.com/sure-analysis-research-database/","Hope Bancorp Inc")</f>
        <v>0</v>
      </c>
      <c r="C1365">
        <v>-0.06937799043062101</v>
      </c>
      <c r="D1365">
        <v>-0.065476690970679</v>
      </c>
      <c r="E1365">
        <v>0.08567481387933301</v>
      </c>
      <c r="F1365">
        <v>0.066666666666666</v>
      </c>
      <c r="G1365">
        <v>0.047472870721921</v>
      </c>
      <c r="H1365">
        <v>1.179485383721093</v>
      </c>
      <c r="I1365">
        <v>0.05887797043852201</v>
      </c>
    </row>
    <row r="1366" spans="1:9">
      <c r="A1366" s="1" t="s">
        <v>1378</v>
      </c>
      <c r="B1366">
        <f>HYPERLINK("https://www.suredividend.com/sure-analysis-research-database/","Hovnanian Enterprises, Inc.")</f>
        <v>0</v>
      </c>
      <c r="C1366">
        <v>-0.28048433048433</v>
      </c>
      <c r="D1366">
        <v>-0.5785916903053561</v>
      </c>
      <c r="E1366">
        <v>-0.412332751599767</v>
      </c>
      <c r="F1366">
        <v>-0.603189567130175</v>
      </c>
      <c r="G1366">
        <v>-0.562646116546887</v>
      </c>
      <c r="H1366">
        <v>4.581215469613259</v>
      </c>
      <c r="I1366">
        <v>-0.06462962962962901</v>
      </c>
    </row>
    <row r="1367" spans="1:9">
      <c r="A1367" s="1" t="s">
        <v>1379</v>
      </c>
      <c r="B1367">
        <f>HYPERLINK("https://www.suredividend.com/sure-analysis-HP/","Helmerich &amp; Payne, Inc.")</f>
        <v>0</v>
      </c>
      <c r="C1367">
        <v>0.266062176165803</v>
      </c>
      <c r="D1367">
        <v>0.619982099645307</v>
      </c>
      <c r="E1367">
        <v>0.5186639983094871</v>
      </c>
      <c r="F1367">
        <v>1.077947479420368</v>
      </c>
      <c r="G1367">
        <v>0.9013270772786161</v>
      </c>
      <c r="H1367">
        <v>2.419682592996893</v>
      </c>
      <c r="I1367">
        <v>-0.04500420143435</v>
      </c>
    </row>
    <row r="1368" spans="1:9">
      <c r="A1368" s="1" t="s">
        <v>1380</v>
      </c>
      <c r="B1368">
        <f>HYPERLINK("https://www.suredividend.com/sure-analysis-HPE/","Hewlett Packard Enterprise Co")</f>
        <v>0</v>
      </c>
      <c r="C1368">
        <v>-0.082338902147971</v>
      </c>
      <c r="D1368">
        <v>-0.117679117449645</v>
      </c>
      <c r="E1368">
        <v>0.030616962963459</v>
      </c>
      <c r="F1368">
        <v>-0.017528618152085</v>
      </c>
      <c r="G1368">
        <v>-0.00540624434155</v>
      </c>
      <c r="H1368">
        <v>0.7513892684704381</v>
      </c>
      <c r="I1368">
        <v>-0.016630328450585</v>
      </c>
    </row>
    <row r="1369" spans="1:9">
      <c r="A1369" s="1" t="s">
        <v>1381</v>
      </c>
      <c r="B1369">
        <f>HYPERLINK("https://www.suredividend.com/sure-analysis-research-database/","Hudson Pacific Properties Inc")</f>
        <v>0</v>
      </c>
      <c r="C1369">
        <v>-0.044341217799472</v>
      </c>
      <c r="D1369">
        <v>-0.019573905049829</v>
      </c>
      <c r="E1369">
        <v>-0.06595822645657701</v>
      </c>
      <c r="F1369">
        <v>0.041130580402728</v>
      </c>
      <c r="G1369">
        <v>-0.0471740430622</v>
      </c>
      <c r="H1369">
        <v>0.123001484705768</v>
      </c>
      <c r="I1369">
        <v>-0.121954916225749</v>
      </c>
    </row>
    <row r="1370" spans="1:9">
      <c r="A1370" s="1" t="s">
        <v>1382</v>
      </c>
      <c r="B1370">
        <f>HYPERLINK("https://www.suredividend.com/sure-analysis-HPQ/","HP Inc")</f>
        <v>0</v>
      </c>
      <c r="C1370">
        <v>0.04635576654565701</v>
      </c>
      <c r="D1370">
        <v>-0.017842398697795</v>
      </c>
      <c r="E1370">
        <v>0.343415221787204</v>
      </c>
      <c r="F1370">
        <v>0.001713633410771</v>
      </c>
      <c r="G1370">
        <v>0.125198193436794</v>
      </c>
      <c r="H1370">
        <v>1.57080520335913</v>
      </c>
      <c r="I1370">
        <v>1.351649041328019</v>
      </c>
    </row>
    <row r="1371" spans="1:9">
      <c r="A1371" s="1" t="s">
        <v>1383</v>
      </c>
      <c r="B1371">
        <f>HYPERLINK("https://www.suredividend.com/sure-analysis-research-database/","HighPoint Resources Corp")</f>
        <v>0</v>
      </c>
      <c r="C1371">
        <v>-0.375165125495376</v>
      </c>
      <c r="D1371">
        <v>-0.496272630457933</v>
      </c>
      <c r="E1371">
        <v>-0.557943925233644</v>
      </c>
      <c r="F1371">
        <v>-0.4836244541484711</v>
      </c>
      <c r="G1371">
        <v>-0.412057178371659</v>
      </c>
      <c r="H1371">
        <v>-0.9605833333333331</v>
      </c>
      <c r="I1371">
        <v>-0.184482758620689</v>
      </c>
    </row>
    <row r="1372" spans="1:9">
      <c r="A1372" s="1" t="s">
        <v>1384</v>
      </c>
      <c r="B1372">
        <f>HYPERLINK("https://www.suredividend.com/sure-analysis-research-database/","Healthequity Inc")</f>
        <v>0</v>
      </c>
      <c r="C1372">
        <v>0.236270527988698</v>
      </c>
      <c r="D1372">
        <v>0.401882258710452</v>
      </c>
      <c r="E1372">
        <v>0.108630245447347</v>
      </c>
      <c r="F1372">
        <v>0.5825045207956601</v>
      </c>
      <c r="G1372">
        <v>-0.013804761233976</v>
      </c>
      <c r="H1372">
        <v>0.5437706725468571</v>
      </c>
      <c r="I1372">
        <v>0.624738918542585</v>
      </c>
    </row>
    <row r="1373" spans="1:9">
      <c r="A1373" s="1" t="s">
        <v>1385</v>
      </c>
      <c r="B1373">
        <f>HYPERLINK("https://www.suredividend.com/sure-analysis-HR/","Healthcare Realty Trust, Inc.")</f>
        <v>0</v>
      </c>
      <c r="C1373">
        <v>0.024571854058078</v>
      </c>
      <c r="D1373">
        <v>-0.116183918529628</v>
      </c>
      <c r="E1373">
        <v>-0.138756579812103</v>
      </c>
      <c r="F1373">
        <v>-0.121213185634134</v>
      </c>
      <c r="G1373">
        <v>-0.088675333964725</v>
      </c>
      <c r="H1373">
        <v>0.002170398100537</v>
      </c>
      <c r="I1373">
        <v>0.003819035356169</v>
      </c>
    </row>
    <row r="1374" spans="1:9">
      <c r="A1374" s="1" t="s">
        <v>1386</v>
      </c>
      <c r="B1374">
        <f>HYPERLINK("https://www.suredividend.com/sure-analysis-HRB/","H&amp;R Block Inc.")</f>
        <v>0</v>
      </c>
      <c r="C1374">
        <v>0.020968356843309</v>
      </c>
      <c r="D1374">
        <v>0.224659651625943</v>
      </c>
      <c r="E1374">
        <v>0.106149912639766</v>
      </c>
      <c r="F1374">
        <v>0.148769512566543</v>
      </c>
      <c r="G1374">
        <v>0.266217800809471</v>
      </c>
      <c r="H1374">
        <v>1.174442585946507</v>
      </c>
      <c r="I1374">
        <v>0.427962034765916</v>
      </c>
    </row>
    <row r="1375" spans="1:9">
      <c r="A1375" s="1" t="s">
        <v>1387</v>
      </c>
      <c r="B1375">
        <f>HYPERLINK("https://www.suredividend.com/sure-analysis-research-database/","Hill-Rom Holdings Inc")</f>
        <v>0</v>
      </c>
      <c r="C1375">
        <v>0.005804204823939001</v>
      </c>
      <c r="D1375">
        <v>0.03538059331902</v>
      </c>
      <c r="E1375">
        <v>0.376051272820958</v>
      </c>
      <c r="F1375">
        <v>0.6013915143499911</v>
      </c>
      <c r="G1375">
        <v>0.6363788978889491</v>
      </c>
      <c r="H1375">
        <v>0.443340376049582</v>
      </c>
      <c r="I1375">
        <v>1.90788406499669</v>
      </c>
    </row>
    <row r="1376" spans="1:9">
      <c r="A1376" s="1" t="s">
        <v>1388</v>
      </c>
      <c r="B1376">
        <f>HYPERLINK("https://www.suredividend.com/sure-analysis-research-database/","Herc Holdings Inc")</f>
        <v>0</v>
      </c>
      <c r="C1376">
        <v>-0.08111174134997101</v>
      </c>
      <c r="D1376">
        <v>-0.105301914580265</v>
      </c>
      <c r="E1376">
        <v>-0.182457259841212</v>
      </c>
      <c r="F1376">
        <v>-0.06866815713829401</v>
      </c>
      <c r="G1376">
        <v>0.4984937979006691</v>
      </c>
      <c r="H1376">
        <v>6.383474790852189</v>
      </c>
      <c r="I1376">
        <v>2.105206438724352</v>
      </c>
    </row>
    <row r="1377" spans="1:9">
      <c r="A1377" s="1" t="s">
        <v>1389</v>
      </c>
      <c r="B1377">
        <f>HYPERLINK("https://www.suredividend.com/sure-analysis-HRL/","Hormel Foods Corp.")</f>
        <v>0</v>
      </c>
      <c r="C1377">
        <v>0.087582667885269</v>
      </c>
      <c r="D1377">
        <v>0.094007223764711</v>
      </c>
      <c r="E1377">
        <v>0.26529220364029</v>
      </c>
      <c r="F1377">
        <v>0.105867742936976</v>
      </c>
      <c r="G1377">
        <v>0.164976146660968</v>
      </c>
      <c r="H1377">
        <v>0.108906534724153</v>
      </c>
      <c r="I1377">
        <v>0.7392295047281131</v>
      </c>
    </row>
    <row r="1378" spans="1:9">
      <c r="A1378" s="1" t="s">
        <v>1390</v>
      </c>
      <c r="B1378">
        <f>HYPERLINK("https://www.suredividend.com/sure-analysis-research-database/","Harrow Health Inc")</f>
        <v>0</v>
      </c>
      <c r="C1378">
        <v>-0.009817671809256001</v>
      </c>
      <c r="D1378">
        <v>-0.169411764705882</v>
      </c>
      <c r="E1378">
        <v>-0.286147623862487</v>
      </c>
      <c r="F1378">
        <v>-0.18287037037037</v>
      </c>
      <c r="G1378">
        <v>-0.1175</v>
      </c>
      <c r="H1378">
        <v>0.6045454545454541</v>
      </c>
      <c r="I1378">
        <v>0.8726790450928381</v>
      </c>
    </row>
    <row r="1379" spans="1:9">
      <c r="A1379" s="1" t="s">
        <v>1391</v>
      </c>
      <c r="B1379">
        <f>HYPERLINK("https://www.suredividend.com/sure-analysis-research-database/","Heritage Insurance Holdings Inc.")</f>
        <v>0</v>
      </c>
      <c r="C1379">
        <v>-0.07589285714285701</v>
      </c>
      <c r="D1379">
        <v>0.00284219365674</v>
      </c>
      <c r="E1379">
        <v>-0.08106188404510301</v>
      </c>
      <c r="F1379">
        <v>0.06594802430567401</v>
      </c>
      <c r="G1379">
        <v>-0.409083556156093</v>
      </c>
      <c r="H1379">
        <v>-0.378054643057447</v>
      </c>
      <c r="I1379">
        <v>-0.393903903024624</v>
      </c>
    </row>
    <row r="1380" spans="1:9">
      <c r="A1380" s="1" t="s">
        <v>1392</v>
      </c>
      <c r="B1380">
        <f>HYPERLINK("https://www.suredividend.com/sure-analysis-research-database/","Heron Therapeutics Inc")</f>
        <v>0</v>
      </c>
      <c r="C1380">
        <v>0.144249512670565</v>
      </c>
      <c r="D1380">
        <v>-0.325287356321839</v>
      </c>
      <c r="E1380">
        <v>-0.445703493862134</v>
      </c>
      <c r="F1380">
        <v>-0.357064622124863</v>
      </c>
      <c r="G1380">
        <v>-0.6715165081141571</v>
      </c>
      <c r="H1380">
        <v>-0.5860366713681241</v>
      </c>
      <c r="I1380">
        <v>-0.6047138047138041</v>
      </c>
    </row>
    <row r="1381" spans="1:9">
      <c r="A1381" s="1" t="s">
        <v>1393</v>
      </c>
      <c r="B1381">
        <f>HYPERLINK("https://www.suredividend.com/sure-analysis-research-database/","Harsco Corp.")</f>
        <v>0</v>
      </c>
      <c r="C1381">
        <v>-0.161361954108068</v>
      </c>
      <c r="D1381">
        <v>-0.348476135710178</v>
      </c>
      <c r="E1381">
        <v>-0.334312573443008</v>
      </c>
      <c r="F1381">
        <v>-0.32196289646918</v>
      </c>
      <c r="G1381">
        <v>-0.389876144318793</v>
      </c>
      <c r="H1381">
        <v>0.524899057873486</v>
      </c>
      <c r="I1381">
        <v>-0.039830508474576</v>
      </c>
    </row>
    <row r="1382" spans="1:9">
      <c r="A1382" s="1" t="s">
        <v>1394</v>
      </c>
      <c r="B1382">
        <f>HYPERLINK("https://www.suredividend.com/sure-analysis-research-database/","Helius Medical Technologies Inc")</f>
        <v>0</v>
      </c>
      <c r="C1382">
        <v>0.003258064516129</v>
      </c>
      <c r="D1382">
        <v>-0.386568047337278</v>
      </c>
      <c r="E1382">
        <v>-0.7844698544698541</v>
      </c>
      <c r="F1382">
        <v>-0.400751445086705</v>
      </c>
      <c r="G1382">
        <v>-0.8159704142011831</v>
      </c>
      <c r="H1382">
        <v>-0.9920660714285711</v>
      </c>
      <c r="I1382">
        <v>-0.998868601986249</v>
      </c>
    </row>
    <row r="1383" spans="1:9">
      <c r="A1383" s="1" t="s">
        <v>1395</v>
      </c>
      <c r="B1383">
        <f>HYPERLINK("https://www.suredividend.com/sure-analysis-research-database/","Henry Schein Inc.")</f>
        <v>0</v>
      </c>
      <c r="C1383">
        <v>0.05900081140605001</v>
      </c>
      <c r="D1383">
        <v>0.174595011571097</v>
      </c>
      <c r="E1383">
        <v>0.179752066115702</v>
      </c>
      <c r="F1383">
        <v>0.178382561589062</v>
      </c>
      <c r="G1383">
        <v>0.283686946747224</v>
      </c>
      <c r="H1383">
        <v>0.7375427919360971</v>
      </c>
      <c r="I1383">
        <v>0.387863486247451</v>
      </c>
    </row>
    <row r="1384" spans="1:9">
      <c r="A1384" s="1" t="s">
        <v>1396</v>
      </c>
      <c r="B1384">
        <f>HYPERLINK("https://www.suredividend.com/sure-analysis-research-database/","Heidrick &amp; Struggles International, Inc.")</f>
        <v>0</v>
      </c>
      <c r="C1384">
        <v>-0.028796455820822</v>
      </c>
      <c r="D1384">
        <v>-0.12205367353568</v>
      </c>
      <c r="E1384">
        <v>-0.126865589078075</v>
      </c>
      <c r="F1384">
        <v>-0.094347590588192</v>
      </c>
      <c r="G1384">
        <v>0.06676903612308101</v>
      </c>
      <c r="H1384">
        <v>0.9022092815857851</v>
      </c>
      <c r="I1384">
        <v>0.714556348768395</v>
      </c>
    </row>
    <row r="1385" spans="1:9">
      <c r="A1385" s="1" t="s">
        <v>1397</v>
      </c>
      <c r="B1385">
        <f>HYPERLINK("https://www.suredividend.com/sure-analysis-research-database/","Heska Corp.")</f>
        <v>0</v>
      </c>
      <c r="C1385">
        <v>-0.031076265146115</v>
      </c>
      <c r="D1385">
        <v>-0.109990834097158</v>
      </c>
      <c r="E1385">
        <v>-0.4569351230425051</v>
      </c>
      <c r="F1385">
        <v>-0.255082470272343</v>
      </c>
      <c r="G1385">
        <v>-0.242884990253411</v>
      </c>
      <c r="H1385">
        <v>1.23071873974401</v>
      </c>
      <c r="I1385">
        <v>0.337465564738292</v>
      </c>
    </row>
    <row r="1386" spans="1:9">
      <c r="A1386" s="1" t="s">
        <v>1398</v>
      </c>
      <c r="B1386">
        <f>HYPERLINK("https://www.suredividend.com/sure-analysis-research-database/","Hudson Global Inc")</f>
        <v>0</v>
      </c>
      <c r="C1386">
        <v>0.05801844689080601</v>
      </c>
      <c r="D1386">
        <v>0.323901712583767</v>
      </c>
      <c r="E1386">
        <v>1.106635071090047</v>
      </c>
      <c r="F1386">
        <v>0.226206896551724</v>
      </c>
      <c r="G1386">
        <v>1.017588652482269</v>
      </c>
      <c r="H1386">
        <v>3.101499423298732</v>
      </c>
      <c r="I1386">
        <v>1.735384615384615</v>
      </c>
    </row>
    <row r="1387" spans="1:9">
      <c r="A1387" s="1" t="s">
        <v>1399</v>
      </c>
      <c r="B1387">
        <f>HYPERLINK("https://www.suredividend.com/sure-analysis-research-database/","Host Hotels &amp; Resorts Inc")</f>
        <v>0</v>
      </c>
      <c r="C1387">
        <v>0.039747232031436</v>
      </c>
      <c r="D1387">
        <v>0.09307310973158801</v>
      </c>
      <c r="E1387">
        <v>0.16863428550965</v>
      </c>
      <c r="F1387">
        <v>0.127639846346112</v>
      </c>
      <c r="G1387">
        <v>0.12183802675681</v>
      </c>
      <c r="H1387">
        <v>0.78269024163738</v>
      </c>
      <c r="I1387">
        <v>0.217525401385416</v>
      </c>
    </row>
    <row r="1388" spans="1:9">
      <c r="A1388" s="1" t="s">
        <v>1400</v>
      </c>
      <c r="B1388">
        <f>HYPERLINK("https://www.suredividend.com/sure-analysis-research-database/","Healthstream Inc")</f>
        <v>0</v>
      </c>
      <c r="C1388">
        <v>-0.002006018054162</v>
      </c>
      <c r="D1388">
        <v>-0.211881188118812</v>
      </c>
      <c r="E1388">
        <v>-0.28443006112909</v>
      </c>
      <c r="F1388">
        <v>-0.245068285280728</v>
      </c>
      <c r="G1388">
        <v>-0.115555555555555</v>
      </c>
      <c r="H1388">
        <v>-0.228981015110422</v>
      </c>
      <c r="I1388">
        <v>-0.129396220967114</v>
      </c>
    </row>
    <row r="1389" spans="1:9">
      <c r="A1389" s="1" t="s">
        <v>1401</v>
      </c>
      <c r="B1389">
        <f>HYPERLINK("https://www.suredividend.com/sure-analysis-HSY/","Hershey Company")</f>
        <v>0</v>
      </c>
      <c r="C1389">
        <v>0.09859017987360201</v>
      </c>
      <c r="D1389">
        <v>0.137619315867821</v>
      </c>
      <c r="E1389">
        <v>0.270172089825976</v>
      </c>
      <c r="F1389">
        <v>0.173252866676565</v>
      </c>
      <c r="G1389">
        <v>0.4309061286827721</v>
      </c>
      <c r="H1389">
        <v>0.6190856944701181</v>
      </c>
      <c r="I1389">
        <v>1.339739541163388</v>
      </c>
    </row>
    <row r="1390" spans="1:9">
      <c r="A1390" s="1" t="s">
        <v>1402</v>
      </c>
      <c r="B1390">
        <f>HYPERLINK("https://www.suredividend.com/sure-analysis-research-database/","Hersha Hospitality Trust")</f>
        <v>0</v>
      </c>
      <c r="C1390">
        <v>0.031521739130434</v>
      </c>
      <c r="D1390">
        <v>-0.003151260504201</v>
      </c>
      <c r="E1390">
        <v>0.049778761061947</v>
      </c>
      <c r="F1390">
        <v>0.034896401308615</v>
      </c>
      <c r="G1390">
        <v>-0.108082706766917</v>
      </c>
      <c r="H1390">
        <v>0.9770833333333331</v>
      </c>
      <c r="I1390">
        <v>-0.396225934927279</v>
      </c>
    </row>
    <row r="1391" spans="1:9">
      <c r="A1391" s="1" t="s">
        <v>1403</v>
      </c>
      <c r="B1391">
        <f>HYPERLINK("https://www.suredividend.com/sure-analysis-HTA/","Healthcare Trust of America Inc")</f>
        <v>0</v>
      </c>
      <c r="C1391">
        <v>0.033908093391634</v>
      </c>
      <c r="D1391">
        <v>-0.034219993156617</v>
      </c>
      <c r="E1391">
        <v>-0.044546167053463</v>
      </c>
      <c r="F1391">
        <v>-0.042543113064259</v>
      </c>
      <c r="G1391">
        <v>0.147698924100944</v>
      </c>
      <c r="H1391">
        <v>0.39534055127754</v>
      </c>
      <c r="I1391">
        <v>0.214774260589047</v>
      </c>
    </row>
    <row r="1392" spans="1:9">
      <c r="A1392" s="1" t="s">
        <v>1404</v>
      </c>
      <c r="B1392">
        <f>HYPERLINK("https://www.suredividend.com/sure-analysis-research-database/","HomeTrust Bancshares Inc")</f>
        <v>0</v>
      </c>
      <c r="C1392">
        <v>-0.05097007563301501</v>
      </c>
      <c r="D1392">
        <v>-0.109682434892057</v>
      </c>
      <c r="E1392">
        <v>-0.003167344231944</v>
      </c>
      <c r="F1392">
        <v>-0.06571403597939701</v>
      </c>
      <c r="G1392">
        <v>0.126841953192718</v>
      </c>
      <c r="H1392">
        <v>1.224500335293709</v>
      </c>
      <c r="I1392">
        <v>0.302428853808453</v>
      </c>
    </row>
    <row r="1393" spans="1:9">
      <c r="A1393" s="1" t="s">
        <v>1405</v>
      </c>
      <c r="B1393">
        <f>HYPERLINK("https://www.suredividend.com/sure-analysis-research-database/","Heritage Commerce Corp.")</f>
        <v>0</v>
      </c>
      <c r="C1393">
        <v>-0.025706940874036</v>
      </c>
      <c r="D1393">
        <v>-0.09460826080378401</v>
      </c>
      <c r="E1393">
        <v>-0.018414441480407</v>
      </c>
      <c r="F1393">
        <v>-0.03773728619910401</v>
      </c>
      <c r="G1393">
        <v>-0.030227559619255</v>
      </c>
      <c r="H1393">
        <v>0.8599401285763361</v>
      </c>
      <c r="I1393">
        <v>0.04747252342303301</v>
      </c>
    </row>
    <row r="1394" spans="1:9">
      <c r="A1394" s="1" t="s">
        <v>1406</v>
      </c>
      <c r="B1394">
        <f>HYPERLINK("https://www.suredividend.com/sure-analysis-research-database/","Heat Biologics Inc")</f>
        <v>0</v>
      </c>
      <c r="C1394">
        <v>0.201716738197424</v>
      </c>
      <c r="D1394">
        <v>-0.07590759075907501</v>
      </c>
      <c r="E1394">
        <v>-0.5104895104895101</v>
      </c>
      <c r="F1394">
        <v>-0.078947368421052</v>
      </c>
      <c r="G1394">
        <v>-0.5672333848531681</v>
      </c>
      <c r="H1394">
        <v>-0.3629558846950151</v>
      </c>
      <c r="I1394">
        <v>-0.9480384515458561</v>
      </c>
    </row>
    <row r="1395" spans="1:9">
      <c r="A1395" s="1" t="s">
        <v>1407</v>
      </c>
      <c r="B1395">
        <f>HYPERLINK("https://www.suredividend.com/sure-analysis-research-database/","HTG Molecular Diagnostics Inc")</f>
        <v>0</v>
      </c>
      <c r="C1395">
        <v>-0.4930232558139531</v>
      </c>
      <c r="D1395">
        <v>-0.7301980198019801</v>
      </c>
      <c r="E1395">
        <v>-0.809440559440559</v>
      </c>
      <c r="F1395">
        <v>-0.798892988929889</v>
      </c>
      <c r="G1395">
        <v>-0.751141552511415</v>
      </c>
      <c r="H1395">
        <v>-0.7764102564102561</v>
      </c>
      <c r="I1395">
        <v>-0.9874928284566831</v>
      </c>
    </row>
    <row r="1396" spans="1:9">
      <c r="A1396" s="1" t="s">
        <v>1408</v>
      </c>
      <c r="B1396">
        <f>HYPERLINK("https://www.suredividend.com/sure-analysis-research-database/","Hilltop Holdings Inc")</f>
        <v>0</v>
      </c>
      <c r="C1396">
        <v>-0.09715945771465401</v>
      </c>
      <c r="D1396">
        <v>-0.261761794787199</v>
      </c>
      <c r="E1396">
        <v>-0.161593362289386</v>
      </c>
      <c r="F1396">
        <v>-0.200418515299821</v>
      </c>
      <c r="G1396">
        <v>-0.163391420350197</v>
      </c>
      <c r="H1396">
        <v>0.9288324943107371</v>
      </c>
      <c r="I1396">
        <v>0.159608958466347</v>
      </c>
    </row>
    <row r="1397" spans="1:9">
      <c r="A1397" s="1" t="s">
        <v>1409</v>
      </c>
      <c r="B1397">
        <f>HYPERLINK("https://www.suredividend.com/sure-analysis-research-database/","Heartland Express, Inc.")</f>
        <v>0</v>
      </c>
      <c r="C1397">
        <v>-0.115549790648753</v>
      </c>
      <c r="D1397">
        <v>-0.173776831848517</v>
      </c>
      <c r="E1397">
        <v>-0.203751323551656</v>
      </c>
      <c r="F1397">
        <v>-0.216512767388832</v>
      </c>
      <c r="G1397">
        <v>-0.3304127933896071</v>
      </c>
      <c r="H1397">
        <v>-0.32562620423892</v>
      </c>
      <c r="I1397">
        <v>-0.292746893675566</v>
      </c>
    </row>
    <row r="1398" spans="1:9">
      <c r="A1398" s="1" t="s">
        <v>1410</v>
      </c>
      <c r="B1398">
        <f>HYPERLINK("https://www.suredividend.com/sure-analysis-research-database/","Heartland Financial USA, Inc.")</f>
        <v>0</v>
      </c>
      <c r="C1398">
        <v>-0.08618981573211801</v>
      </c>
      <c r="D1398">
        <v>-0.139662991144796</v>
      </c>
      <c r="E1398">
        <v>-0.072756077750166</v>
      </c>
      <c r="F1398">
        <v>-0.08390456875780801</v>
      </c>
      <c r="G1398">
        <v>-0.06521408664808701</v>
      </c>
      <c r="H1398">
        <v>0.729329228738661</v>
      </c>
      <c r="I1398">
        <v>0.06253815760675401</v>
      </c>
    </row>
    <row r="1399" spans="1:9">
      <c r="A1399" s="1" t="s">
        <v>1411</v>
      </c>
      <c r="B1399">
        <f>HYPERLINK("https://www.suredividend.com/sure-analysis-research-database/","Hertz Global Holdings Inc.")</f>
        <v>0</v>
      </c>
      <c r="C1399">
        <v>-0.049787234042553</v>
      </c>
      <c r="D1399">
        <v>-0.06958333333333301</v>
      </c>
      <c r="E1399">
        <v>-0.146732900267481</v>
      </c>
      <c r="F1399">
        <v>-0.106442577030812</v>
      </c>
      <c r="G1399">
        <v>-0.146732900267481</v>
      </c>
      <c r="H1399">
        <v>-0.146732900267481</v>
      </c>
      <c r="I1399">
        <v>-0.146732900267481</v>
      </c>
    </row>
    <row r="1400" spans="1:9">
      <c r="A1400" s="1" t="s">
        <v>1412</v>
      </c>
      <c r="B1400">
        <f>HYPERLINK("https://www.suredividend.com/sure-analysis-research-database/","Hubbell Inc.")</f>
        <v>0</v>
      </c>
      <c r="C1400">
        <v>-0.014016948249213</v>
      </c>
      <c r="D1400">
        <v>-0.06968557886929</v>
      </c>
      <c r="E1400">
        <v>-0.0065151127847</v>
      </c>
      <c r="F1400">
        <v>-0.106403224676795</v>
      </c>
      <c r="G1400">
        <v>-0.001818847926292</v>
      </c>
      <c r="H1400">
        <v>0.6324167974806071</v>
      </c>
      <c r="I1400">
        <v>0.7819439949450581</v>
      </c>
    </row>
    <row r="1401" spans="1:9">
      <c r="A1401" s="1" t="s">
        <v>1413</v>
      </c>
      <c r="B1401">
        <f>HYPERLINK("https://www.suredividend.com/sure-analysis-research-database/","Hub Group, Inc.")</f>
        <v>0</v>
      </c>
      <c r="C1401">
        <v>-0.245399515738498</v>
      </c>
      <c r="D1401">
        <v>-0.22686678243612</v>
      </c>
      <c r="E1401">
        <v>-0.144171357956885</v>
      </c>
      <c r="F1401">
        <v>-0.260090218423551</v>
      </c>
      <c r="G1401">
        <v>-0.09771279675738201</v>
      </c>
      <c r="H1401">
        <v>0.266869918699186</v>
      </c>
      <c r="I1401">
        <v>0.6002567394094991</v>
      </c>
    </row>
    <row r="1402" spans="1:9">
      <c r="A1402" s="1" t="s">
        <v>1414</v>
      </c>
      <c r="B1402">
        <f>HYPERLINK("https://www.suredividend.com/sure-analysis-research-database/","HubSpot Inc")</f>
        <v>0</v>
      </c>
      <c r="C1402">
        <v>-0.006002320599785001</v>
      </c>
      <c r="D1402">
        <v>-0.036196451752487</v>
      </c>
      <c r="E1402">
        <v>-0.4367484732390091</v>
      </c>
      <c r="F1402">
        <v>-0.324175073958886</v>
      </c>
      <c r="G1402">
        <v>-0.145266510610537</v>
      </c>
      <c r="H1402">
        <v>2.274792325222377</v>
      </c>
      <c r="I1402">
        <v>6.290834697217676</v>
      </c>
    </row>
    <row r="1403" spans="1:9">
      <c r="A1403" s="1" t="s">
        <v>1415</v>
      </c>
      <c r="B1403">
        <f>HYPERLINK("https://www.suredividend.com/sure-analysis-research-database/","Humana Inc.")</f>
        <v>0</v>
      </c>
      <c r="C1403">
        <v>0.041930603114389</v>
      </c>
      <c r="D1403">
        <v>0.178031462770998</v>
      </c>
      <c r="E1403">
        <v>0.047794594402752</v>
      </c>
      <c r="F1403">
        <v>-0.005329701585952001</v>
      </c>
      <c r="G1403">
        <v>0.06512414538102701</v>
      </c>
      <c r="H1403">
        <v>0.236676247309471</v>
      </c>
      <c r="I1403">
        <v>1.251302579153161</v>
      </c>
    </row>
    <row r="1404" spans="1:9">
      <c r="A1404" s="1" t="s">
        <v>1416</v>
      </c>
      <c r="B1404">
        <f>HYPERLINK("https://www.suredividend.com/sure-analysis-HUN/","Huntsman Corp")</f>
        <v>0</v>
      </c>
      <c r="C1404">
        <v>-0.138881861877055</v>
      </c>
      <c r="D1404">
        <v>-0.105293591967618</v>
      </c>
      <c r="E1404">
        <v>0.07773359337402701</v>
      </c>
      <c r="F1404">
        <v>-0.018593105357086</v>
      </c>
      <c r="G1404">
        <v>0.189066457077984</v>
      </c>
      <c r="H1404">
        <v>1.413653735703497</v>
      </c>
      <c r="I1404">
        <v>0.6598400624146671</v>
      </c>
    </row>
    <row r="1405" spans="1:9">
      <c r="A1405" s="1" t="s">
        <v>1417</v>
      </c>
      <c r="B1405">
        <f>HYPERLINK("https://www.suredividend.com/sure-analysis-research-database/","Hurco Companies, Inc.")</f>
        <v>0</v>
      </c>
      <c r="C1405">
        <v>-0.11668290954195</v>
      </c>
      <c r="D1405">
        <v>-0.030319142038307</v>
      </c>
      <c r="E1405">
        <v>-0.08622649118304701</v>
      </c>
      <c r="F1405">
        <v>0.011799250368726</v>
      </c>
      <c r="G1405">
        <v>-0.134961606871719</v>
      </c>
      <c r="H1405">
        <v>0.156710934418241</v>
      </c>
      <c r="I1405">
        <v>0.177721339554663</v>
      </c>
    </row>
    <row r="1406" spans="1:9">
      <c r="A1406" s="1" t="s">
        <v>1418</v>
      </c>
      <c r="B1406">
        <f>HYPERLINK("https://www.suredividend.com/sure-analysis-research-database/","Huron Consulting Group Inc")</f>
        <v>0</v>
      </c>
      <c r="C1406">
        <v>0.170296167247386</v>
      </c>
      <c r="D1406">
        <v>0.138800593346047</v>
      </c>
      <c r="E1406">
        <v>0.04756335282651</v>
      </c>
      <c r="F1406">
        <v>0.07695390781563101</v>
      </c>
      <c r="G1406">
        <v>-0.03639949793795901</v>
      </c>
      <c r="H1406">
        <v>0.140492359932088</v>
      </c>
      <c r="I1406">
        <v>0.281048867699642</v>
      </c>
    </row>
    <row r="1407" spans="1:9">
      <c r="A1407" s="1" t="s">
        <v>1419</v>
      </c>
      <c r="B1407">
        <f>HYPERLINK("https://www.suredividend.com/sure-analysis-research-database/","Houston American Energy Corp")</f>
        <v>0</v>
      </c>
      <c r="C1407">
        <v>-0.116363636363636</v>
      </c>
      <c r="D1407">
        <v>2.155434359174133</v>
      </c>
      <c r="E1407">
        <v>1.336538461538461</v>
      </c>
      <c r="F1407">
        <v>2.398601398601398</v>
      </c>
      <c r="G1407">
        <v>2.197368421052632</v>
      </c>
      <c r="H1407">
        <v>2.80788215936692</v>
      </c>
      <c r="I1407">
        <v>0.110857142857143</v>
      </c>
    </row>
    <row r="1408" spans="1:9">
      <c r="A1408" s="1" t="s">
        <v>1420</v>
      </c>
      <c r="B1408">
        <f>HYPERLINK("https://www.suredividend.com/sure-analysis-research-database/","Haverty Furniture Cos., Inc.")</f>
        <v>0</v>
      </c>
      <c r="C1408">
        <v>-0.102726063829787</v>
      </c>
      <c r="D1408">
        <v>-0.101704730777679</v>
      </c>
      <c r="E1408">
        <v>-0.166280542427331</v>
      </c>
      <c r="F1408">
        <v>-0.109343805171019</v>
      </c>
      <c r="G1408">
        <v>-0.321992172388326</v>
      </c>
      <c r="H1408">
        <v>1.445987094903211</v>
      </c>
      <c r="I1408">
        <v>0.359779936318568</v>
      </c>
    </row>
    <row r="1409" spans="1:9">
      <c r="A1409" s="1" t="s">
        <v>1421</v>
      </c>
      <c r="B1409">
        <f>HYPERLINK("https://www.suredividend.com/sure-analysis-research-database/","Hawthorn Bancshares Inc")</f>
        <v>0</v>
      </c>
      <c r="C1409">
        <v>0.032654629273914</v>
      </c>
      <c r="D1409">
        <v>0.04308548411506501</v>
      </c>
      <c r="E1409">
        <v>0.153776816297097</v>
      </c>
      <c r="F1409">
        <v>0.04230485866066901</v>
      </c>
      <c r="G1409">
        <v>0.362931113161817</v>
      </c>
      <c r="H1409">
        <v>0.711654918142395</v>
      </c>
      <c r="I1409">
        <v>0.81472029813262</v>
      </c>
    </row>
    <row r="1410" spans="1:9">
      <c r="A1410" s="1" t="s">
        <v>1422</v>
      </c>
      <c r="B1410">
        <f>HYPERLINK("https://www.suredividend.com/sure-analysis-research-database/","Hancock Whitney Corp.")</f>
        <v>0</v>
      </c>
      <c r="C1410">
        <v>-0.125901875901875</v>
      </c>
      <c r="D1410">
        <v>-0.113997414759274</v>
      </c>
      <c r="E1410">
        <v>0.012722773932524</v>
      </c>
      <c r="F1410">
        <v>-0.026495161604615</v>
      </c>
      <c r="G1410">
        <v>0.140949394209081</v>
      </c>
      <c r="H1410">
        <v>1.957583155324992</v>
      </c>
      <c r="I1410">
        <v>0.149749811973436</v>
      </c>
    </row>
    <row r="1411" spans="1:9">
      <c r="A1411" s="1" t="s">
        <v>1423</v>
      </c>
      <c r="B1411">
        <f>HYPERLINK("https://www.suredividend.com/sure-analysis-research-database/","Houston Wire &amp; Cable Company")</f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1424</v>
      </c>
      <c r="B1412">
        <f>HYPERLINK("https://www.suredividend.com/sure-analysis-research-database/","Hawkins Inc")</f>
        <v>0</v>
      </c>
      <c r="C1412">
        <v>-0.07232142857142801</v>
      </c>
      <c r="D1412">
        <v>0.058605371479806</v>
      </c>
      <c r="E1412">
        <v>0.090816511329426</v>
      </c>
      <c r="F1412">
        <v>0.056995345761591</v>
      </c>
      <c r="G1412">
        <v>0.242054111240948</v>
      </c>
      <c r="H1412">
        <v>1.486567985736338</v>
      </c>
      <c r="I1412">
        <v>1.038733983478209</v>
      </c>
    </row>
    <row r="1413" spans="1:9">
      <c r="A1413" s="1" t="s">
        <v>1425</v>
      </c>
      <c r="B1413">
        <f>HYPERLINK("https://www.suredividend.com/sure-analysis-research-database/","Hexcel Corp.")</f>
        <v>0</v>
      </c>
      <c r="C1413">
        <v>-0.0008885729518390001</v>
      </c>
      <c r="D1413">
        <v>-0.012735050539817</v>
      </c>
      <c r="E1413">
        <v>-0.08148361145874501</v>
      </c>
      <c r="F1413">
        <v>0.087326515139793</v>
      </c>
      <c r="G1413">
        <v>-0.018241636194088</v>
      </c>
      <c r="H1413">
        <v>0.913813704431183</v>
      </c>
      <c r="I1413">
        <v>0.09696490765943701</v>
      </c>
    </row>
    <row r="1414" spans="1:9">
      <c r="A1414" s="1" t="s">
        <v>1426</v>
      </c>
      <c r="B1414">
        <f>HYPERLINK("https://www.suredividend.com/sure-analysis-research-database/","Hyster-Yale Materials Handling Inc")</f>
        <v>0</v>
      </c>
      <c r="C1414">
        <v>-0.070301291248206</v>
      </c>
      <c r="D1414">
        <v>-0.270800746303927</v>
      </c>
      <c r="E1414">
        <v>-0.316379257596313</v>
      </c>
      <c r="F1414">
        <v>-0.204623006034063</v>
      </c>
      <c r="G1414">
        <v>-0.607720638979492</v>
      </c>
      <c r="H1414">
        <v>-0.044999955787034</v>
      </c>
      <c r="I1414">
        <v>-0.332313944334766</v>
      </c>
    </row>
    <row r="1415" spans="1:9">
      <c r="A1415" s="1" t="s">
        <v>1427</v>
      </c>
      <c r="B1415">
        <f>HYPERLINK("https://www.suredividend.com/sure-analysis-research-database/","Horizon Global Corp")</f>
        <v>0</v>
      </c>
      <c r="C1415">
        <v>0.108742004264392</v>
      </c>
      <c r="D1415">
        <v>-0.374247894103489</v>
      </c>
      <c r="E1415">
        <v>-0.273743016759776</v>
      </c>
      <c r="F1415">
        <v>-0.3483709273182951</v>
      </c>
      <c r="G1415">
        <v>-0.354037267080745</v>
      </c>
      <c r="H1415">
        <v>2.170731707317073</v>
      </c>
      <c r="I1415">
        <v>-0.587628865979381</v>
      </c>
    </row>
    <row r="1416" spans="1:9">
      <c r="A1416" s="1" t="s">
        <v>1428</v>
      </c>
      <c r="B1416">
        <f>HYPERLINK("https://www.suredividend.com/sure-analysis-research-database/","Horizon Therapeutics Plc")</f>
        <v>0</v>
      </c>
      <c r="C1416">
        <v>0.114345910745067</v>
      </c>
      <c r="D1416">
        <v>0.277277716794731</v>
      </c>
      <c r="E1416">
        <v>0.03818700927908601</v>
      </c>
      <c r="F1416">
        <v>0.079806978470675</v>
      </c>
      <c r="G1416">
        <v>0.247560844859011</v>
      </c>
      <c r="H1416">
        <v>2.544319220225404</v>
      </c>
      <c r="I1416">
        <v>6.590345727332029</v>
      </c>
    </row>
    <row r="1417" spans="1:9">
      <c r="A1417" s="1" t="s">
        <v>1429</v>
      </c>
      <c r="B1417">
        <f>HYPERLINK("https://www.suredividend.com/sure-analysis-research-database/","Marinemax, Inc.")</f>
        <v>0</v>
      </c>
      <c r="C1417">
        <v>-0.121834061135371</v>
      </c>
      <c r="D1417">
        <v>-0.215219512195121</v>
      </c>
      <c r="E1417">
        <v>-0.141515474919957</v>
      </c>
      <c r="F1417">
        <v>-0.318766937669376</v>
      </c>
      <c r="G1417">
        <v>-0.183018484663822</v>
      </c>
      <c r="H1417">
        <v>2.66970802919708</v>
      </c>
      <c r="I1417">
        <v>0.9429951690821251</v>
      </c>
    </row>
    <row r="1418" spans="1:9">
      <c r="A1418" s="1" t="s">
        <v>1430</v>
      </c>
      <c r="B1418">
        <f>HYPERLINK("https://www.suredividend.com/sure-analysis-research-database/","IAA Inc")</f>
        <v>0</v>
      </c>
      <c r="C1418">
        <v>-0.08210631395058601</v>
      </c>
      <c r="D1418">
        <v>-0.219605346912794</v>
      </c>
      <c r="E1418">
        <v>-0.361679972231863</v>
      </c>
      <c r="F1418">
        <v>-0.273409719478466</v>
      </c>
      <c r="G1418">
        <v>-0.4079201545396</v>
      </c>
      <c r="H1418">
        <v>0.154063382491371</v>
      </c>
      <c r="I1418">
        <v>0.005742411812961001</v>
      </c>
    </row>
    <row r="1419" spans="1:9">
      <c r="A1419" s="1" t="s">
        <v>1431</v>
      </c>
      <c r="B1419">
        <f>HYPERLINK("https://www.suredividend.com/sure-analysis-research-database/","IAC InterActiveCorp.")</f>
        <v>0</v>
      </c>
      <c r="C1419">
        <v>-0.04422751270046801</v>
      </c>
      <c r="D1419">
        <v>-0.269675749733597</v>
      </c>
      <c r="E1419">
        <v>-0.366917392451834</v>
      </c>
      <c r="F1419">
        <v>-0.26593221635682</v>
      </c>
      <c r="G1419">
        <v>-0.395552475746503</v>
      </c>
      <c r="H1419">
        <v>-0.395552475746503</v>
      </c>
      <c r="I1419">
        <v>-0.395552475746503</v>
      </c>
    </row>
    <row r="1420" spans="1:9">
      <c r="A1420" s="1" t="s">
        <v>1432</v>
      </c>
      <c r="B1420">
        <f>HYPERLINK("https://www.suredividend.com/sure-analysis-research-database/","Integra Lifesciences Holdings Corp")</f>
        <v>0</v>
      </c>
      <c r="C1420">
        <v>-0.034801355097012</v>
      </c>
      <c r="D1420">
        <v>-0.08882104957115801</v>
      </c>
      <c r="E1420">
        <v>-0.07387706855791901</v>
      </c>
      <c r="F1420">
        <v>-0.06433796088968401</v>
      </c>
      <c r="G1420">
        <v>-0.132456747404844</v>
      </c>
      <c r="H1420">
        <v>0.322641907575437</v>
      </c>
      <c r="I1420">
        <v>0.523578026251823</v>
      </c>
    </row>
    <row r="1421" spans="1:9">
      <c r="A1421" s="1" t="s">
        <v>1433</v>
      </c>
      <c r="B1421">
        <f>HYPERLINK("https://www.suredividend.com/sure-analysis-research-database/","Independent Bank Corporation (Ionia, MI)")</f>
        <v>0</v>
      </c>
      <c r="C1421">
        <v>-0.10575296108291</v>
      </c>
      <c r="D1421">
        <v>-0.174092928219533</v>
      </c>
      <c r="E1421">
        <v>-0.018920812894183</v>
      </c>
      <c r="F1421">
        <v>-0.106274678909942</v>
      </c>
      <c r="G1421">
        <v>-0.077613138558737</v>
      </c>
      <c r="H1421">
        <v>0.971536754145449</v>
      </c>
      <c r="I1421">
        <v>0.241309658023299</v>
      </c>
    </row>
    <row r="1422" spans="1:9">
      <c r="A1422" s="1" t="s">
        <v>1434</v>
      </c>
      <c r="B1422">
        <f>HYPERLINK("https://www.suredividend.com/sure-analysis-research-database/","iBio Inc")</f>
        <v>0</v>
      </c>
      <c r="C1422">
        <v>0.05090077209036301</v>
      </c>
      <c r="D1422">
        <v>-0.286407766990291</v>
      </c>
      <c r="E1422">
        <v>-0.591666666666666</v>
      </c>
      <c r="F1422">
        <v>-0.330601092896174</v>
      </c>
      <c r="G1422">
        <v>-0.701219512195121</v>
      </c>
      <c r="H1422">
        <v>-0.6109052408681841</v>
      </c>
      <c r="I1422">
        <v>-0.9125000000000001</v>
      </c>
    </row>
    <row r="1423" spans="1:9">
      <c r="A1423" s="1" t="s">
        <v>1435</v>
      </c>
      <c r="B1423">
        <f>HYPERLINK("https://www.suredividend.com/sure-analysis-research-database/","Interactive Brokers Group Inc")</f>
        <v>0</v>
      </c>
      <c r="C1423">
        <v>-0.007449072666463</v>
      </c>
      <c r="D1423">
        <v>-0.125278500125266</v>
      </c>
      <c r="E1423">
        <v>-0.079022909463818</v>
      </c>
      <c r="F1423">
        <v>-0.176713436001417</v>
      </c>
      <c r="G1423">
        <v>-0.142100664218278</v>
      </c>
      <c r="H1423">
        <v>0.453450191114564</v>
      </c>
      <c r="I1423">
        <v>0.971399757236115</v>
      </c>
    </row>
    <row r="1424" spans="1:9">
      <c r="A1424" s="1" t="s">
        <v>1436</v>
      </c>
      <c r="B1424">
        <f>HYPERLINK("https://www.suredividend.com/sure-analysis-IBM/","International Business Machines Corp.")</f>
        <v>0</v>
      </c>
      <c r="C1424">
        <v>-0.003778337531486</v>
      </c>
      <c r="D1424">
        <v>-0.045641213580006</v>
      </c>
      <c r="E1424">
        <v>-0.102457179491543</v>
      </c>
      <c r="F1424">
        <v>-0.041714495128311</v>
      </c>
      <c r="G1424">
        <v>-0.006251756883449</v>
      </c>
      <c r="H1424">
        <v>0.210756368764092</v>
      </c>
      <c r="I1424">
        <v>-0.057172336470877</v>
      </c>
    </row>
    <row r="1425" spans="1:9">
      <c r="A1425" s="1" t="s">
        <v>1437</v>
      </c>
      <c r="B1425">
        <f>HYPERLINK("https://www.suredividend.com/sure-analysis-research-database/","International Bancshares Corp.")</f>
        <v>0</v>
      </c>
      <c r="C1425">
        <v>-0.072134160349184</v>
      </c>
      <c r="D1425">
        <v>-0.10524998283161</v>
      </c>
      <c r="E1425">
        <v>-0.01841176642137</v>
      </c>
      <c r="F1425">
        <v>-0.033695069667738</v>
      </c>
      <c r="G1425">
        <v>-0.120442152575739</v>
      </c>
      <c r="H1425">
        <v>0.7893850788587631</v>
      </c>
      <c r="I1425">
        <v>0.387891429023046</v>
      </c>
    </row>
    <row r="1426" spans="1:9">
      <c r="A1426" s="1" t="s">
        <v>1438</v>
      </c>
      <c r="B1426">
        <f>HYPERLINK("https://www.suredividend.com/sure-analysis-research-database/","Installed Building Products Inc")</f>
        <v>0</v>
      </c>
      <c r="C1426">
        <v>-0.209103421156114</v>
      </c>
      <c r="D1426">
        <v>-0.320716991869712</v>
      </c>
      <c r="E1426">
        <v>-0.273950386760176</v>
      </c>
      <c r="F1426">
        <v>-0.422376191416416</v>
      </c>
      <c r="G1426">
        <v>-0.382660629095292</v>
      </c>
      <c r="H1426">
        <v>1.232372030556719</v>
      </c>
      <c r="I1426">
        <v>0.6107492737112501</v>
      </c>
    </row>
    <row r="1427" spans="1:9">
      <c r="A1427" s="1" t="s">
        <v>1439</v>
      </c>
      <c r="B1427">
        <f>HYPERLINK("https://www.suredividend.com/sure-analysis-research-database/","Independent Bank Group Inc")</f>
        <v>0</v>
      </c>
      <c r="C1427">
        <v>-0.110433346041428</v>
      </c>
      <c r="D1427">
        <v>-0.107370568732466</v>
      </c>
      <c r="E1427">
        <v>-0.025997517685102</v>
      </c>
      <c r="F1427">
        <v>-0.025098151725367</v>
      </c>
      <c r="G1427">
        <v>-0.051757770167757</v>
      </c>
      <c r="H1427">
        <v>2.23242025157465</v>
      </c>
      <c r="I1427">
        <v>0.300856521100822</v>
      </c>
    </row>
    <row r="1428" spans="1:9">
      <c r="A1428" s="1" t="s">
        <v>1440</v>
      </c>
      <c r="B1428">
        <f>HYPERLINK("https://www.suredividend.com/sure-analysis-research-database/","Icad Inc")</f>
        <v>0</v>
      </c>
      <c r="C1428">
        <v>-0.115479115479115</v>
      </c>
      <c r="D1428">
        <v>-0.408866995073891</v>
      </c>
      <c r="E1428">
        <v>-0.6644920782851811</v>
      </c>
      <c r="F1428">
        <v>-0.5</v>
      </c>
      <c r="G1428">
        <v>-0.7976391231028661</v>
      </c>
      <c r="H1428">
        <v>-0.586681974741676</v>
      </c>
      <c r="I1428">
        <v>-0.307692307692307</v>
      </c>
    </row>
    <row r="1429" spans="1:9">
      <c r="A1429" s="1" t="s">
        <v>1441</v>
      </c>
      <c r="B1429">
        <f>HYPERLINK("https://www.suredividend.com/sure-analysis-research-database/","County Bancorp Inc")</f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1442</v>
      </c>
      <c r="B1430">
        <f>HYPERLINK("https://www.suredividend.com/sure-analysis-research-database/","Immucell Corp.")</f>
        <v>0</v>
      </c>
      <c r="C1430">
        <v>0.029919447640966</v>
      </c>
      <c r="D1430">
        <v>0.016283242113869</v>
      </c>
      <c r="E1430">
        <v>-0.035560344827586</v>
      </c>
      <c r="F1430">
        <v>0.118736015799802</v>
      </c>
      <c r="G1430">
        <v>-0.006659267480577001</v>
      </c>
      <c r="H1430">
        <v>1.199017199017198</v>
      </c>
      <c r="I1430">
        <v>0.6728971962616821</v>
      </c>
    </row>
    <row r="1431" spans="1:9">
      <c r="A1431" s="1" t="s">
        <v>1443</v>
      </c>
      <c r="B1431">
        <f>HYPERLINK("https://www.suredividend.com/sure-analysis-research-database/","Independence Contract Drilling Inc")</f>
        <v>0</v>
      </c>
      <c r="C1431">
        <v>0.10576923076923</v>
      </c>
      <c r="D1431">
        <v>0.09004739336492801</v>
      </c>
      <c r="E1431">
        <v>0.008771929824561001</v>
      </c>
      <c r="F1431">
        <v>0.533333333333333</v>
      </c>
      <c r="G1431">
        <v>0.373134328358208</v>
      </c>
      <c r="H1431">
        <v>-0.416983523447401</v>
      </c>
      <c r="I1431">
        <v>-0.9569288389513101</v>
      </c>
    </row>
    <row r="1432" spans="1:9">
      <c r="A1432" s="1" t="s">
        <v>1444</v>
      </c>
      <c r="B1432">
        <f>HYPERLINK("https://www.suredividend.com/sure-analysis-ICE/","Intercontinental Exchange Inc")</f>
        <v>0</v>
      </c>
      <c r="C1432">
        <v>-0.053867193435648</v>
      </c>
      <c r="D1432">
        <v>-0.013472950716426</v>
      </c>
      <c r="E1432">
        <v>-0.032382136405135</v>
      </c>
      <c r="F1432">
        <v>-0.08682931121719401</v>
      </c>
      <c r="G1432">
        <v>0.042926391322262</v>
      </c>
      <c r="H1432">
        <v>0.4462490781657381</v>
      </c>
      <c r="I1432">
        <v>1.227664324455829</v>
      </c>
    </row>
    <row r="1433" spans="1:9">
      <c r="A1433" s="1" t="s">
        <v>1445</v>
      </c>
      <c r="B1433">
        <f>HYPERLINK("https://www.suredividend.com/sure-analysis-research-database/","ICF International, Inc")</f>
        <v>0</v>
      </c>
      <c r="C1433">
        <v>0.107349627144297</v>
      </c>
      <c r="D1433">
        <v>-0.04761356207503301</v>
      </c>
      <c r="E1433">
        <v>0.014836394584265</v>
      </c>
      <c r="F1433">
        <v>-0.031082324308592</v>
      </c>
      <c r="G1433">
        <v>0.08806039881290501</v>
      </c>
      <c r="H1433">
        <v>0.569080835894167</v>
      </c>
      <c r="I1433">
        <v>1.454678387894113</v>
      </c>
    </row>
    <row r="1434" spans="1:9">
      <c r="A1434" s="1" t="s">
        <v>1446</v>
      </c>
      <c r="B1434">
        <f>HYPERLINK("https://www.suredividend.com/sure-analysis-research-database/","Ichor Holdings Ltd")</f>
        <v>0</v>
      </c>
      <c r="C1434">
        <v>-0.184988839285714</v>
      </c>
      <c r="D1434">
        <v>-0.401434426229508</v>
      </c>
      <c r="E1434">
        <v>-0.285469667318982</v>
      </c>
      <c r="F1434">
        <v>-0.365413860525744</v>
      </c>
      <c r="G1434">
        <v>-0.5034002040122401</v>
      </c>
      <c r="H1434">
        <v>0.3479464697738801</v>
      </c>
      <c r="I1434">
        <v>0.704200700116686</v>
      </c>
    </row>
    <row r="1435" spans="1:9">
      <c r="A1435" s="1" t="s">
        <v>1447</v>
      </c>
      <c r="B1435">
        <f>HYPERLINK("https://www.suredividend.com/sure-analysis-research-database/","Iconix Brand Group, Inc.")</f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1448</v>
      </c>
      <c r="B1436">
        <f>HYPERLINK("https://www.suredividend.com/sure-analysis-research-database/","Intercept Pharmaceuticals Inc")</f>
        <v>0</v>
      </c>
      <c r="C1436">
        <v>0.088565763384005</v>
      </c>
      <c r="D1436">
        <v>-0.072635135135135</v>
      </c>
      <c r="E1436">
        <v>-0.020808561236623</v>
      </c>
      <c r="F1436">
        <v>0.011049723756906</v>
      </c>
      <c r="G1436">
        <v>-0.187869822485207</v>
      </c>
      <c r="H1436">
        <v>-0.7793703951774951</v>
      </c>
      <c r="I1436">
        <v>-0.8465480294419081</v>
      </c>
    </row>
    <row r="1437" spans="1:9">
      <c r="A1437" s="1" t="s">
        <v>1449</v>
      </c>
      <c r="B1437">
        <f>HYPERLINK("https://www.suredividend.com/sure-analysis-research-database/","ICU Medical, Inc.")</f>
        <v>0</v>
      </c>
      <c r="C1437">
        <v>-0.054399323181049</v>
      </c>
      <c r="D1437">
        <v>0.016137097140779</v>
      </c>
      <c r="E1437">
        <v>-0.03162363541847101</v>
      </c>
      <c r="F1437">
        <v>-0.058144434145108</v>
      </c>
      <c r="G1437">
        <v>0.05592820028342001</v>
      </c>
      <c r="H1437">
        <v>0.030090779226763</v>
      </c>
      <c r="I1437">
        <v>0.520680272108843</v>
      </c>
    </row>
    <row r="1438" spans="1:9">
      <c r="A1438" s="1" t="s">
        <v>1450</v>
      </c>
      <c r="B1438">
        <f>HYPERLINK("https://www.suredividend.com/sure-analysis-research-database/","Idacorp, Inc.")</f>
        <v>0</v>
      </c>
      <c r="C1438">
        <v>0.02830613900658</v>
      </c>
      <c r="D1438">
        <v>0.040642247867536</v>
      </c>
      <c r="E1438">
        <v>0.09928551741683801</v>
      </c>
      <c r="F1438">
        <v>0.013732984846882</v>
      </c>
      <c r="G1438">
        <v>0.160703565243404</v>
      </c>
      <c r="H1438">
        <v>0.285243640821329</v>
      </c>
      <c r="I1438">
        <v>0.5415948147707671</v>
      </c>
    </row>
    <row r="1439" spans="1:9">
      <c r="A1439" s="1" t="s">
        <v>1451</v>
      </c>
      <c r="B1439">
        <f>HYPERLINK("https://www.suredividend.com/sure-analysis-research-database/","Interdigital Inc")</f>
        <v>0</v>
      </c>
      <c r="C1439">
        <v>-0.03999369557508101</v>
      </c>
      <c r="D1439">
        <v>-0.120224861916757</v>
      </c>
      <c r="E1439">
        <v>-0.100323328227632</v>
      </c>
      <c r="F1439">
        <v>-0.140389823547758</v>
      </c>
      <c r="G1439">
        <v>-0.153016102566955</v>
      </c>
      <c r="H1439">
        <v>0.383243024739861</v>
      </c>
      <c r="I1439">
        <v>-0.184778608033899</v>
      </c>
    </row>
    <row r="1440" spans="1:9">
      <c r="A1440" s="1" t="s">
        <v>1452</v>
      </c>
      <c r="B1440">
        <f>HYPERLINK("https://www.suredividend.com/sure-analysis-research-database/","Intellicheck Inc")</f>
        <v>0</v>
      </c>
      <c r="C1440">
        <v>-0.084388185654008</v>
      </c>
      <c r="D1440">
        <v>-0.5769980506822611</v>
      </c>
      <c r="E1440">
        <v>-0.7473806752037251</v>
      </c>
      <c r="F1440">
        <v>-0.5303030303030301</v>
      </c>
      <c r="G1440">
        <v>-0.735365853658536</v>
      </c>
      <c r="H1440">
        <v>-0.5313174946004321</v>
      </c>
      <c r="I1440">
        <v>-0.31974921630094</v>
      </c>
    </row>
    <row r="1441" spans="1:9">
      <c r="A1441" s="1" t="s">
        <v>1453</v>
      </c>
      <c r="B1441">
        <f>HYPERLINK("https://www.suredividend.com/sure-analysis-research-database/","Idera Pharmaceuticals, Inc.")</f>
        <v>0</v>
      </c>
      <c r="C1441">
        <v>0.05747126436781601</v>
      </c>
      <c r="D1441">
        <v>-0.296743617183916</v>
      </c>
      <c r="E1441">
        <v>-0.5106382978723401</v>
      </c>
      <c r="F1441">
        <v>-0.19298245614035</v>
      </c>
      <c r="G1441">
        <v>-0.581818181818181</v>
      </c>
      <c r="H1441">
        <v>-0.7458563535911601</v>
      </c>
      <c r="I1441">
        <v>-0.9744444444444441</v>
      </c>
    </row>
    <row r="1442" spans="1:9">
      <c r="A1442" s="1" t="s">
        <v>1454</v>
      </c>
      <c r="B1442">
        <f>HYPERLINK("https://www.suredividend.com/sure-analysis-research-database/","IDT Corp.")</f>
        <v>0</v>
      </c>
      <c r="C1442">
        <v>-0.135716280368612</v>
      </c>
      <c r="D1442">
        <v>-0.237872445210539</v>
      </c>
      <c r="E1442">
        <v>-0.382482043096568</v>
      </c>
      <c r="F1442">
        <v>-0.299139492753623</v>
      </c>
      <c r="G1442">
        <v>0.367049469964664</v>
      </c>
      <c r="H1442">
        <v>4.861742424242424</v>
      </c>
      <c r="I1442">
        <v>2.429704901319799</v>
      </c>
    </row>
    <row r="1443" spans="1:9">
      <c r="A1443" s="1" t="s">
        <v>1455</v>
      </c>
      <c r="B1443">
        <f>HYPERLINK("https://www.suredividend.com/sure-analysis-research-database/","Interpace Biosciences Inc")</f>
        <v>0</v>
      </c>
      <c r="C1443">
        <v>-0.184615384615384</v>
      </c>
      <c r="D1443">
        <v>-0.377386196769456</v>
      </c>
      <c r="E1443">
        <v>-0.501176470588235</v>
      </c>
      <c r="F1443">
        <v>-0.43239625167336</v>
      </c>
      <c r="G1443">
        <v>-0.452903225806451</v>
      </c>
      <c r="H1443">
        <v>0.304615384615384</v>
      </c>
      <c r="I1443">
        <v>0.304615384615384</v>
      </c>
    </row>
    <row r="1444" spans="1:9">
      <c r="A1444" s="1" t="s">
        <v>1456</v>
      </c>
      <c r="B1444">
        <f>HYPERLINK("https://www.suredividend.com/sure-analysis-research-database/","Idexx Laboratories, Inc.")</f>
        <v>0</v>
      </c>
      <c r="C1444">
        <v>-0.045002787443049</v>
      </c>
      <c r="D1444">
        <v>-0.061528289411542</v>
      </c>
      <c r="E1444">
        <v>-0.217854050224356</v>
      </c>
      <c r="F1444">
        <v>-0.245542629772499</v>
      </c>
      <c r="G1444">
        <v>-0.071439252336448</v>
      </c>
      <c r="H1444">
        <v>0.9024969362745091</v>
      </c>
      <c r="I1444">
        <v>2.234244791666667</v>
      </c>
    </row>
    <row r="1445" spans="1:9">
      <c r="A1445" s="1" t="s">
        <v>1457</v>
      </c>
      <c r="B1445">
        <f>HYPERLINK("https://www.suredividend.com/sure-analysis-research-database/","IEC Electronics Corp.")</f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1458</v>
      </c>
      <c r="B1446">
        <f>HYPERLINK("https://www.suredividend.com/sure-analysis-research-database/","IES Holdings Inc")</f>
        <v>0</v>
      </c>
      <c r="C1446">
        <v>-0.120218579234972</v>
      </c>
      <c r="D1446">
        <v>-0.245165071302988</v>
      </c>
      <c r="E1446">
        <v>-0.174182517631972</v>
      </c>
      <c r="F1446">
        <v>-0.236966824644549</v>
      </c>
      <c r="G1446">
        <v>-0.233941316415543</v>
      </c>
      <c r="H1446">
        <v>1.170786516853932</v>
      </c>
      <c r="I1446">
        <v>1.140720221606648</v>
      </c>
    </row>
    <row r="1447" spans="1:9">
      <c r="A1447" s="1" t="s">
        <v>1459</v>
      </c>
      <c r="B1447">
        <f>HYPERLINK("https://www.suredividend.com/sure-analysis-research-database/","Idex Corporation")</f>
        <v>0</v>
      </c>
      <c r="C1447">
        <v>-0.028399530923367</v>
      </c>
      <c r="D1447">
        <v>-0.135036993327583</v>
      </c>
      <c r="E1447">
        <v>-0.105108853533425</v>
      </c>
      <c r="F1447">
        <v>-0.191712508223485</v>
      </c>
      <c r="G1447">
        <v>-0.127475723532148</v>
      </c>
      <c r="H1447">
        <v>0.325983458606854</v>
      </c>
      <c r="I1447">
        <v>1.203418443685406</v>
      </c>
    </row>
    <row r="1448" spans="1:9">
      <c r="A1448" s="1" t="s">
        <v>1460</v>
      </c>
      <c r="B1448">
        <f>HYPERLINK("https://www.suredividend.com/sure-analysis-IFF/","International Flavors &amp; Fragrances Inc.")</f>
        <v>0</v>
      </c>
      <c r="C1448">
        <v>0.009926149703858</v>
      </c>
      <c r="D1448">
        <v>-0.134230508797468</v>
      </c>
      <c r="E1448">
        <v>-0.144731503787442</v>
      </c>
      <c r="F1448">
        <v>-0.162160067973045</v>
      </c>
      <c r="G1448">
        <v>-0.106544386074258</v>
      </c>
      <c r="H1448">
        <v>0.09175702987774201</v>
      </c>
      <c r="I1448">
        <v>0.05324854499209401</v>
      </c>
    </row>
    <row r="1449" spans="1:9">
      <c r="A1449" s="1" t="s">
        <v>1461</v>
      </c>
      <c r="B1449">
        <f>HYPERLINK("https://www.suredividend.com/sure-analysis-research-database/","Independence Holding Co.")</f>
        <v>0</v>
      </c>
      <c r="C1449">
        <v>0.004932117284973001</v>
      </c>
      <c r="D1449">
        <v>0.012771113017866</v>
      </c>
      <c r="E1449">
        <v>0.330837089759721</v>
      </c>
      <c r="F1449">
        <v>0.006882690483801</v>
      </c>
      <c r="G1449">
        <v>0.410450844513937</v>
      </c>
      <c r="H1449">
        <v>0.36454481264735</v>
      </c>
      <c r="I1449">
        <v>2.24887733935125</v>
      </c>
    </row>
    <row r="1450" spans="1:9">
      <c r="A1450" s="1" t="s">
        <v>1462</v>
      </c>
      <c r="B1450">
        <f>HYPERLINK("https://www.suredividend.com/sure-analysis-research-database/","Information Services Group Inc.")</f>
        <v>0</v>
      </c>
      <c r="C1450">
        <v>-0.060491413622874</v>
      </c>
      <c r="D1450">
        <v>-0.030619648817297</v>
      </c>
      <c r="E1450">
        <v>-0.071164381656886</v>
      </c>
      <c r="F1450">
        <v>-0.119674226749779</v>
      </c>
      <c r="G1450">
        <v>0.5625</v>
      </c>
      <c r="H1450">
        <v>1.892275718739175</v>
      </c>
      <c r="I1450">
        <v>1.228449426207632</v>
      </c>
    </row>
    <row r="1451" spans="1:9">
      <c r="A1451" s="1" t="s">
        <v>1463</v>
      </c>
      <c r="B1451">
        <f>HYPERLINK("https://www.suredividend.com/sure-analysis-research-database/","Insteel Industries, Inc.")</f>
        <v>0</v>
      </c>
      <c r="C1451">
        <v>-0.03810264385692001</v>
      </c>
      <c r="D1451">
        <v>-0.08638589425119801</v>
      </c>
      <c r="E1451">
        <v>-0.056968169181587</v>
      </c>
      <c r="F1451">
        <v>-0.067109774859475</v>
      </c>
      <c r="G1451">
        <v>0.163053084864326</v>
      </c>
      <c r="H1451">
        <v>1.136097808067783</v>
      </c>
      <c r="I1451">
        <v>0.136262733582978</v>
      </c>
    </row>
    <row r="1452" spans="1:9">
      <c r="A1452" s="1" t="s">
        <v>1464</v>
      </c>
      <c r="B1452">
        <f>HYPERLINK("https://www.suredividend.com/sure-analysis-research-database/","i3 Verticals Inc")</f>
        <v>0</v>
      </c>
      <c r="C1452">
        <v>0.026995757809487</v>
      </c>
      <c r="D1452">
        <v>0.154813529921942</v>
      </c>
      <c r="E1452">
        <v>0.040234374999999</v>
      </c>
      <c r="F1452">
        <v>0.16849495392716</v>
      </c>
      <c r="G1452">
        <v>-0.211196682464455</v>
      </c>
      <c r="H1452">
        <v>0.401578947368421</v>
      </c>
      <c r="I1452">
        <v>0.451226158038146</v>
      </c>
    </row>
    <row r="1453" spans="1:9">
      <c r="A1453" s="1" t="s">
        <v>1465</v>
      </c>
      <c r="B1453">
        <f>HYPERLINK("https://www.suredividend.com/sure-analysis-research-database/","IntriCon Corporation")</f>
        <v>0</v>
      </c>
      <c r="C1453">
        <v>0.012679628064243</v>
      </c>
      <c r="D1453">
        <v>0.523204068658614</v>
      </c>
      <c r="E1453">
        <v>0.420272673384706</v>
      </c>
      <c r="F1453">
        <v>0.4817563388991951</v>
      </c>
      <c r="G1453">
        <v>-0.056321386372587</v>
      </c>
      <c r="H1453">
        <v>0.9639344262295081</v>
      </c>
      <c r="I1453">
        <v>1.618579234972677</v>
      </c>
    </row>
    <row r="1454" spans="1:9">
      <c r="A1454" s="1" t="s">
        <v>1466</v>
      </c>
      <c r="B1454">
        <f>HYPERLINK("https://www.suredividend.com/sure-analysis-IIPR/","Innovative Industrial Properties Inc")</f>
        <v>0</v>
      </c>
      <c r="C1454">
        <v>-0.114224711710629</v>
      </c>
      <c r="D1454">
        <v>-0.184747357203464</v>
      </c>
      <c r="E1454">
        <v>-0.280110987132111</v>
      </c>
      <c r="F1454">
        <v>-0.349187116758546</v>
      </c>
      <c r="G1454">
        <v>-0.05673121342456901</v>
      </c>
      <c r="H1454">
        <v>1.470512695447577</v>
      </c>
      <c r="I1454">
        <v>9.966766200023269</v>
      </c>
    </row>
    <row r="1455" spans="1:9">
      <c r="A1455" s="1" t="s">
        <v>1467</v>
      </c>
      <c r="B1455">
        <f>HYPERLINK("https://www.suredividend.com/sure-analysis-research-database/","Ii-Vi Inc.")</f>
        <v>0</v>
      </c>
      <c r="C1455">
        <v>-0.08664898320070701</v>
      </c>
      <c r="D1455">
        <v>-0.127656579873328</v>
      </c>
      <c r="E1455">
        <v>0.07678943710910301</v>
      </c>
      <c r="F1455">
        <v>-0.092931362505488</v>
      </c>
      <c r="G1455">
        <v>-0.238761974944731</v>
      </c>
      <c r="H1455">
        <v>1.267008046817849</v>
      </c>
      <c r="I1455">
        <v>0.967619047619047</v>
      </c>
    </row>
    <row r="1456" spans="1:9">
      <c r="A1456" s="1" t="s">
        <v>1468</v>
      </c>
      <c r="B1456">
        <f>HYPERLINK("https://www.suredividend.com/sure-analysis-research-database/","Illumina Inc")</f>
        <v>0</v>
      </c>
      <c r="C1456">
        <v>0.030281690140844</v>
      </c>
      <c r="D1456">
        <v>-0.16944759836106</v>
      </c>
      <c r="E1456">
        <v>-0.179152538238235</v>
      </c>
      <c r="F1456">
        <v>-0.115524129954789</v>
      </c>
      <c r="G1456">
        <v>-0.156666666666666</v>
      </c>
      <c r="H1456">
        <v>0.108698517298187</v>
      </c>
      <c r="I1456">
        <v>0.9374136342699211</v>
      </c>
    </row>
    <row r="1457" spans="1:9">
      <c r="A1457" s="1" t="s">
        <v>1469</v>
      </c>
      <c r="B1457">
        <f>HYPERLINK("https://www.suredividend.com/sure-analysis-ILPT/","Industrial Logistics Properties Trust")</f>
        <v>0</v>
      </c>
      <c r="C1457">
        <v>-0.08283752860411901</v>
      </c>
      <c r="D1457">
        <v>-0.171890560626784</v>
      </c>
      <c r="E1457">
        <v>-0.257167003981051</v>
      </c>
      <c r="F1457">
        <v>-0.188420822432631</v>
      </c>
      <c r="G1457">
        <v>-0.148791572866669</v>
      </c>
      <c r="H1457">
        <v>0.263396797377379</v>
      </c>
      <c r="I1457">
        <v>0.087369369173837</v>
      </c>
    </row>
    <row r="1458" spans="1:9">
      <c r="A1458" s="1" t="s">
        <v>1470</v>
      </c>
      <c r="B1458">
        <f>HYPERLINK("https://www.suredividend.com/sure-analysis-research-database/","iMedia Brands Inc")</f>
        <v>0</v>
      </c>
      <c r="C1458">
        <v>-0.226229508196721</v>
      </c>
      <c r="D1458">
        <v>-0.248407643312102</v>
      </c>
      <c r="E1458">
        <v>-0.2</v>
      </c>
      <c r="F1458">
        <v>-0.213333333333333</v>
      </c>
      <c r="G1458">
        <v>-0.374005305039787</v>
      </c>
      <c r="H1458">
        <v>1.792899408284023</v>
      </c>
      <c r="I1458">
        <v>2.39568345323741</v>
      </c>
    </row>
    <row r="1459" spans="1:9">
      <c r="A1459" s="1" t="s">
        <v>1471</v>
      </c>
      <c r="B1459">
        <f>HYPERLINK("https://www.suredividend.com/sure-analysis-research-database/","Immunogen, Inc.")</f>
        <v>0</v>
      </c>
      <c r="C1459">
        <v>0.049019607843137</v>
      </c>
      <c r="D1459">
        <v>-0.175654853620955</v>
      </c>
      <c r="E1459">
        <v>-0.075993091537133</v>
      </c>
      <c r="F1459">
        <v>-0.278975741239892</v>
      </c>
      <c r="G1459">
        <v>-0.288563829787234</v>
      </c>
      <c r="H1459">
        <v>0.5329512893982801</v>
      </c>
      <c r="I1459">
        <v>0.651234567901234</v>
      </c>
    </row>
    <row r="1460" spans="1:9">
      <c r="A1460" s="1" t="s">
        <v>1472</v>
      </c>
      <c r="B1460">
        <f>HYPERLINK("https://www.suredividend.com/sure-analysis-research-database/","Impac Mortgage Holdings, Inc.")</f>
        <v>0</v>
      </c>
      <c r="C1460">
        <v>0.020707886620649</v>
      </c>
      <c r="D1460">
        <v>-0.350467289719626</v>
      </c>
      <c r="E1460">
        <v>-0.45703125</v>
      </c>
      <c r="F1460">
        <v>-0.3739302765516621</v>
      </c>
      <c r="G1460">
        <v>-0.6435897435897431</v>
      </c>
      <c r="H1460">
        <v>-0.691111111111111</v>
      </c>
      <c r="I1460">
        <v>-0.9437702265372161</v>
      </c>
    </row>
    <row r="1461" spans="1:9">
      <c r="A1461" s="1" t="s">
        <v>1473</v>
      </c>
      <c r="B1461">
        <f>HYPERLINK("https://www.suredividend.com/sure-analysis-research-database/","Ingles Markets, Inc.")</f>
        <v>0</v>
      </c>
      <c r="C1461">
        <v>0.036294272703398</v>
      </c>
      <c r="D1461">
        <v>0.182681366239483</v>
      </c>
      <c r="E1461">
        <v>0.42366121952826</v>
      </c>
      <c r="F1461">
        <v>0.105587693681292</v>
      </c>
      <c r="G1461">
        <v>0.519618417583471</v>
      </c>
      <c r="H1461">
        <v>1.654348554203415</v>
      </c>
      <c r="I1461">
        <v>1.393319844169963</v>
      </c>
    </row>
    <row r="1462" spans="1:9">
      <c r="A1462" s="1" t="s">
        <v>1474</v>
      </c>
      <c r="B1462">
        <f>HYPERLINK("https://www.suredividend.com/sure-analysis-research-database/","Immersion Corp")</f>
        <v>0</v>
      </c>
      <c r="C1462">
        <v>-0.083809523809523</v>
      </c>
      <c r="D1462">
        <v>-0.097560975609756</v>
      </c>
      <c r="E1462">
        <v>-0.289512555391432</v>
      </c>
      <c r="F1462">
        <v>-0.157618213660245</v>
      </c>
      <c r="G1462">
        <v>-0.461366181410974</v>
      </c>
      <c r="H1462">
        <v>-0.266768292682926</v>
      </c>
      <c r="I1462">
        <v>-0.419782870928829</v>
      </c>
    </row>
    <row r="1463" spans="1:9">
      <c r="A1463" s="1" t="s">
        <v>1475</v>
      </c>
      <c r="B1463">
        <f>HYPERLINK("https://www.suredividend.com/sure-analysis-research-database/","Immunic Inc")</f>
        <v>0</v>
      </c>
      <c r="C1463">
        <v>-0.041436464088397</v>
      </c>
      <c r="D1463">
        <v>-0.121518987341772</v>
      </c>
      <c r="E1463">
        <v>0.200692041522491</v>
      </c>
      <c r="F1463">
        <v>0.08777429467084601</v>
      </c>
      <c r="G1463">
        <v>-0.267417311752287</v>
      </c>
      <c r="H1463">
        <v>0.35546875</v>
      </c>
      <c r="I1463">
        <v>1.776</v>
      </c>
    </row>
    <row r="1464" spans="1:9">
      <c r="A1464" s="1" t="s">
        <v>1476</v>
      </c>
      <c r="B1464">
        <f>HYPERLINK("https://www.suredividend.com/sure-analysis-research-database/","International Money Express Inc.")</f>
        <v>0</v>
      </c>
      <c r="C1464">
        <v>0.011822660098522</v>
      </c>
      <c r="D1464">
        <v>0.230677052127022</v>
      </c>
      <c r="E1464">
        <v>0.207524985302762</v>
      </c>
      <c r="F1464">
        <v>0.286967418546365</v>
      </c>
      <c r="G1464">
        <v>0.3813046402151981</v>
      </c>
      <c r="H1464">
        <v>1.653746770025839</v>
      </c>
      <c r="I1464">
        <v>1.095918367346938</v>
      </c>
    </row>
    <row r="1465" spans="1:9">
      <c r="A1465" s="1" t="s">
        <v>1477</v>
      </c>
      <c r="B1465">
        <f>HYPERLINK("https://www.suredividend.com/sure-analysis-research-database/","First Internet Bancorp")</f>
        <v>0</v>
      </c>
      <c r="C1465">
        <v>-0.117372287570597</v>
      </c>
      <c r="D1465">
        <v>-0.201060895803503</v>
      </c>
      <c r="E1465">
        <v>0.292728132152453</v>
      </c>
      <c r="F1465">
        <v>-0.115119598280901</v>
      </c>
      <c r="G1465">
        <v>0.202352063261593</v>
      </c>
      <c r="H1465">
        <v>2.019013174139759</v>
      </c>
      <c r="I1465">
        <v>0.573339893647218</v>
      </c>
    </row>
    <row r="1466" spans="1:9">
      <c r="A1466" s="1" t="s">
        <v>1478</v>
      </c>
      <c r="B1466">
        <f>HYPERLINK("https://www.suredividend.com/sure-analysis-research-database/","Incyte Corp.")</f>
        <v>0</v>
      </c>
      <c r="C1466">
        <v>0.09571045576407501</v>
      </c>
      <c r="D1466">
        <v>0.09161324786324701</v>
      </c>
      <c r="E1466">
        <v>0.24679682733374</v>
      </c>
      <c r="F1466">
        <v>0.113623978201634</v>
      </c>
      <c r="G1466">
        <v>-0.011369134010643</v>
      </c>
      <c r="H1466">
        <v>-0.145515366924524</v>
      </c>
      <c r="I1466">
        <v>-0.4196251065038341</v>
      </c>
    </row>
    <row r="1467" spans="1:9">
      <c r="A1467" s="1" t="s">
        <v>1479</v>
      </c>
      <c r="B1467">
        <f>HYPERLINK("https://www.suredividend.com/sure-analysis-research-database/","Independent Bank Corp.")</f>
        <v>0</v>
      </c>
      <c r="C1467">
        <v>-0.07908006626303</v>
      </c>
      <c r="D1467">
        <v>-0.09273762143193301</v>
      </c>
      <c r="E1467">
        <v>-0.012697485676309</v>
      </c>
      <c r="F1467">
        <v>-0.031979000707134</v>
      </c>
      <c r="G1467">
        <v>-0.025591272557425</v>
      </c>
      <c r="H1467">
        <v>0.270178495379328</v>
      </c>
      <c r="I1467">
        <v>0.453631670045625</v>
      </c>
    </row>
    <row r="1468" spans="1:9">
      <c r="A1468" s="1" t="s">
        <v>1480</v>
      </c>
      <c r="B1468">
        <f>HYPERLINK("https://www.suredividend.com/sure-analysis-research-database/","Infinity Pharmaceuticals Inc.")</f>
        <v>0</v>
      </c>
      <c r="C1468">
        <v>-0.066770833333333</v>
      </c>
      <c r="D1468">
        <v>-0.373496503496503</v>
      </c>
      <c r="E1468">
        <v>-0.6606439393939391</v>
      </c>
      <c r="F1468">
        <v>-0.601822222222222</v>
      </c>
      <c r="G1468">
        <v>-0.699362416107382</v>
      </c>
      <c r="H1468">
        <v>0.018068181818181</v>
      </c>
      <c r="I1468">
        <v>-0.5130978260869561</v>
      </c>
    </row>
    <row r="1469" spans="1:9">
      <c r="A1469" s="1" t="s">
        <v>1481</v>
      </c>
      <c r="B1469">
        <f>HYPERLINK("https://www.suredividend.com/sure-analysis-research-database/","Infinera Corp.")</f>
        <v>0</v>
      </c>
      <c r="C1469">
        <v>-0.069512195121951</v>
      </c>
      <c r="D1469">
        <v>-0.155038759689922</v>
      </c>
      <c r="E1469">
        <v>-0.05334987593052101</v>
      </c>
      <c r="F1469">
        <v>-0.204379562043795</v>
      </c>
      <c r="G1469">
        <v>-0.227732793522267</v>
      </c>
      <c r="H1469">
        <v>0.343309859154929</v>
      </c>
      <c r="I1469">
        <v>-0.192592592592592</v>
      </c>
    </row>
    <row r="1470" spans="1:9">
      <c r="A1470" s="1" t="s">
        <v>1482</v>
      </c>
      <c r="B1470">
        <f>HYPERLINK("https://www.suredividend.com/sure-analysis-research-database/","IHS Markit Ltd")</f>
        <v>0</v>
      </c>
      <c r="C1470">
        <v>-0.024694683908045</v>
      </c>
      <c r="D1470">
        <v>-0.145428937864398</v>
      </c>
      <c r="E1470">
        <v>-0.08678064321383201</v>
      </c>
      <c r="F1470">
        <v>-0.181432436710053</v>
      </c>
      <c r="G1470">
        <v>0.213073629917047</v>
      </c>
      <c r="H1470">
        <v>0.5547831663693851</v>
      </c>
      <c r="I1470">
        <v>1.789399204349624</v>
      </c>
    </row>
    <row r="1471" spans="1:9">
      <c r="A1471" s="1" t="s">
        <v>1483</v>
      </c>
      <c r="B1471">
        <f>HYPERLINK("https://www.suredividend.com/sure-analysis-research-database/","InfuSystem Holdings Inc")</f>
        <v>0</v>
      </c>
      <c r="C1471">
        <v>-0.222935779816513</v>
      </c>
      <c r="D1471">
        <v>-0.475866336633663</v>
      </c>
      <c r="E1471">
        <v>-0.3418803418803411</v>
      </c>
      <c r="F1471">
        <v>-0.5026423957721661</v>
      </c>
      <c r="G1471">
        <v>-0.6116460339293901</v>
      </c>
      <c r="H1471">
        <v>-0.276068376068376</v>
      </c>
      <c r="I1471">
        <v>3.033333333333333</v>
      </c>
    </row>
    <row r="1472" spans="1:9">
      <c r="A1472" s="1" t="s">
        <v>1484</v>
      </c>
      <c r="B1472">
        <f>HYPERLINK("https://www.suredividend.com/sure-analysis-research-database/","Inogen Inc")</f>
        <v>0</v>
      </c>
      <c r="C1472">
        <v>-0.124459542927733</v>
      </c>
      <c r="D1472">
        <v>-0.079545454545454</v>
      </c>
      <c r="E1472">
        <v>-0.305487506124448</v>
      </c>
      <c r="F1472">
        <v>-0.166176470588235</v>
      </c>
      <c r="G1472">
        <v>-0.5686900958466451</v>
      </c>
      <c r="H1472">
        <v>-0.3918918918918911</v>
      </c>
      <c r="I1472">
        <v>-0.623055444754686</v>
      </c>
    </row>
    <row r="1473" spans="1:9">
      <c r="A1473" s="1" t="s">
        <v>1485</v>
      </c>
      <c r="B1473">
        <f>HYPERLINK("https://www.suredividend.com/sure-analysis-INGR/","Ingredion Inc")</f>
        <v>0</v>
      </c>
      <c r="C1473">
        <v>0.07917875834763001</v>
      </c>
      <c r="D1473">
        <v>-0.107255061148689</v>
      </c>
      <c r="E1473">
        <v>-0.062884423110143</v>
      </c>
      <c r="F1473">
        <v>-0.066885863180093</v>
      </c>
      <c r="G1473">
        <v>-0.009135963460574001</v>
      </c>
      <c r="H1473">
        <v>0.253206169285738</v>
      </c>
      <c r="I1473">
        <v>-0.142334524987855</v>
      </c>
    </row>
    <row r="1474" spans="1:9">
      <c r="A1474" s="1" t="s">
        <v>1486</v>
      </c>
      <c r="B1474">
        <f>HYPERLINK("https://www.suredividend.com/sure-analysis-research-database/","Summit Hotel Properties Inc")</f>
        <v>0</v>
      </c>
      <c r="C1474">
        <v>-0.03479125248508901</v>
      </c>
      <c r="D1474">
        <v>-0.040513833992094</v>
      </c>
      <c r="E1474">
        <v>-0.047105004906771</v>
      </c>
      <c r="F1474">
        <v>-0.005122950819672001</v>
      </c>
      <c r="G1474">
        <v>-0.023138832997987</v>
      </c>
      <c r="H1474">
        <v>1.110869565217391</v>
      </c>
      <c r="I1474">
        <v>-0.29401842386523</v>
      </c>
    </row>
    <row r="1475" spans="1:9">
      <c r="A1475" s="1" t="s">
        <v>1487</v>
      </c>
      <c r="B1475">
        <f>HYPERLINK("https://www.suredividend.com/sure-analysis-research-database/","Inovio Pharmaceuticals Inc")</f>
        <v>0</v>
      </c>
      <c r="C1475">
        <v>-0.03030303030303</v>
      </c>
      <c r="D1475">
        <v>-0.326315789473684</v>
      </c>
      <c r="E1475">
        <v>-0.544159544159544</v>
      </c>
      <c r="F1475">
        <v>-0.358717434869739</v>
      </c>
      <c r="G1475">
        <v>-0.633867276887871</v>
      </c>
      <c r="H1475">
        <v>-0.594423320659062</v>
      </c>
      <c r="I1475">
        <v>-0.474548440065681</v>
      </c>
    </row>
    <row r="1476" spans="1:9">
      <c r="A1476" s="1" t="s">
        <v>1488</v>
      </c>
      <c r="B1476">
        <f>HYPERLINK("https://www.suredividend.com/sure-analysis-research-database/","Innodata Inc")</f>
        <v>0</v>
      </c>
      <c r="C1476">
        <v>0.335820895522388</v>
      </c>
      <c r="D1476">
        <v>0.175697865353037</v>
      </c>
      <c r="E1476">
        <v>-0.301463414634146</v>
      </c>
      <c r="F1476">
        <v>0.209459459459459</v>
      </c>
      <c r="G1476">
        <v>0.027259684361549</v>
      </c>
      <c r="H1476">
        <v>6.261663286004057</v>
      </c>
      <c r="I1476">
        <v>2.492682926829268</v>
      </c>
    </row>
    <row r="1477" spans="1:9">
      <c r="A1477" s="1" t="s">
        <v>1489</v>
      </c>
      <c r="B1477">
        <f>HYPERLINK("https://www.suredividend.com/sure-analysis-research-database/","Inovalon Holdings Inc")</f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1490</v>
      </c>
      <c r="B1478">
        <f>HYPERLINK("https://www.suredividend.com/sure-analysis-research-database/","Inpixon")</f>
        <v>0</v>
      </c>
      <c r="C1478">
        <v>-0.28052503052503</v>
      </c>
      <c r="D1478">
        <v>-0.538837800821757</v>
      </c>
      <c r="E1478">
        <v>-0.7045255108436751</v>
      </c>
      <c r="F1478">
        <v>-0.6071666666666661</v>
      </c>
      <c r="G1478">
        <v>-0.8129365079365081</v>
      </c>
      <c r="H1478">
        <v>-0.7968103448275861</v>
      </c>
      <c r="I1478">
        <v>-0.9999984576626091</v>
      </c>
    </row>
    <row r="1479" spans="1:9">
      <c r="A1479" s="1" t="s">
        <v>1491</v>
      </c>
      <c r="B1479">
        <f>HYPERLINK("https://www.suredividend.com/sure-analysis-research-database/","CoreCard Corporation")</f>
        <v>0</v>
      </c>
      <c r="C1479">
        <v>-0.029020556227327</v>
      </c>
      <c r="D1479">
        <v>0.024496044909415</v>
      </c>
      <c r="E1479">
        <v>0.303994803507632</v>
      </c>
      <c r="F1479">
        <v>0.00099725754176</v>
      </c>
      <c r="G1479">
        <v>0.021888521252227</v>
      </c>
      <c r="H1479">
        <v>-0.017135862913096</v>
      </c>
      <c r="I1479">
        <v>8.272517321016165</v>
      </c>
    </row>
    <row r="1480" spans="1:9">
      <c r="A1480" s="1" t="s">
        <v>1492</v>
      </c>
      <c r="B1480">
        <f>HYPERLINK("https://www.suredividend.com/sure-analysis-research-database/","Inspired Entertainment Inc")</f>
        <v>0</v>
      </c>
      <c r="C1480">
        <v>-0.234957020057306</v>
      </c>
      <c r="D1480">
        <v>-0.176561295296838</v>
      </c>
      <c r="E1480">
        <v>-0.185975609756097</v>
      </c>
      <c r="F1480">
        <v>-0.175925925925926</v>
      </c>
      <c r="G1480">
        <v>0.20814479638009</v>
      </c>
      <c r="H1480">
        <v>4.366834170854271</v>
      </c>
      <c r="I1480">
        <v>0.062686567164178</v>
      </c>
    </row>
    <row r="1481" spans="1:9">
      <c r="A1481" s="1" t="s">
        <v>1493</v>
      </c>
      <c r="B1481">
        <f>HYPERLINK("https://www.suredividend.com/sure-analysis-research-database/","Inseego Corp")</f>
        <v>0</v>
      </c>
      <c r="C1481">
        <v>-0.177057356608478</v>
      </c>
      <c r="D1481">
        <v>-0.337349397590361</v>
      </c>
      <c r="E1481">
        <v>-0.4778481012658221</v>
      </c>
      <c r="F1481">
        <v>-0.433962264150943</v>
      </c>
      <c r="G1481">
        <v>-0.6285875070343271</v>
      </c>
      <c r="H1481">
        <v>-0.7323600973236011</v>
      </c>
      <c r="I1481">
        <v>0.47982062780269</v>
      </c>
    </row>
    <row r="1482" spans="1:9">
      <c r="A1482" s="1" t="s">
        <v>1494</v>
      </c>
      <c r="B1482">
        <f>HYPERLINK("https://www.suredividend.com/sure-analysis-research-database/","Insmed Inc")</f>
        <v>0</v>
      </c>
      <c r="C1482">
        <v>0.134955752212389</v>
      </c>
      <c r="D1482">
        <v>0.08091024020227501</v>
      </c>
      <c r="E1482">
        <v>-0.03171007927519801</v>
      </c>
      <c r="F1482">
        <v>-0.058370044052863</v>
      </c>
      <c r="G1482">
        <v>-0.224372543090414</v>
      </c>
      <c r="H1482">
        <v>0.475834292289988</v>
      </c>
      <c r="I1482">
        <v>0.507936507936507</v>
      </c>
    </row>
    <row r="1483" spans="1:9">
      <c r="A1483" s="1" t="s">
        <v>1495</v>
      </c>
      <c r="B1483">
        <f>HYPERLINK("https://www.suredividend.com/sure-analysis-research-database/","Inspire Medical Systems Inc")</f>
        <v>0</v>
      </c>
      <c r="C1483">
        <v>0.09609301911168501</v>
      </c>
      <c r="D1483">
        <v>0.03578344699840001</v>
      </c>
      <c r="E1483">
        <v>0.003507627049514</v>
      </c>
      <c r="F1483">
        <v>0.06946014083282601</v>
      </c>
      <c r="G1483">
        <v>0.06299144560615201</v>
      </c>
      <c r="H1483">
        <v>2.362580292469591</v>
      </c>
      <c r="I1483">
        <v>8.849479583666932</v>
      </c>
    </row>
    <row r="1484" spans="1:9">
      <c r="A1484" s="1" t="s">
        <v>1496</v>
      </c>
      <c r="B1484">
        <f>HYPERLINK("https://www.suredividend.com/sure-analysis-research-database/","Instructure Holdings Inc")</f>
        <v>0</v>
      </c>
      <c r="C1484">
        <v>-0.08345463367297401</v>
      </c>
      <c r="D1484">
        <v>-0.09961868446139101</v>
      </c>
      <c r="E1484">
        <v>-0.218452627223831</v>
      </c>
      <c r="F1484">
        <v>-0.212260216847372</v>
      </c>
      <c r="G1484">
        <v>-0.09961868446139101</v>
      </c>
      <c r="H1484">
        <v>-0.09961868446139101</v>
      </c>
      <c r="I1484">
        <v>-0.09961868446139101</v>
      </c>
    </row>
    <row r="1485" spans="1:9">
      <c r="A1485" s="1" t="s">
        <v>1497</v>
      </c>
      <c r="B1485">
        <f>HYPERLINK("https://www.suredividend.com/sure-analysis-research-database/","International Seaways Inc")</f>
        <v>0</v>
      </c>
      <c r="C1485">
        <v>0.245931283905967</v>
      </c>
      <c r="D1485">
        <v>0.354619271376049</v>
      </c>
      <c r="E1485">
        <v>0.220296956637246</v>
      </c>
      <c r="F1485">
        <v>0.412753742054541</v>
      </c>
      <c r="G1485">
        <v>0.239364668213624</v>
      </c>
      <c r="H1485">
        <v>-0.02999188140278</v>
      </c>
      <c r="I1485">
        <v>0.2126154243274</v>
      </c>
    </row>
    <row r="1486" spans="1:9">
      <c r="A1486" s="1" t="s">
        <v>1498</v>
      </c>
      <c r="B1486">
        <f>HYPERLINK("https://www.suredividend.com/sure-analysis-research-database/","World Fuel Services Corp.")</f>
        <v>0</v>
      </c>
      <c r="C1486">
        <v>-0.008694937356843001</v>
      </c>
      <c r="D1486">
        <v>-0.06471548384140001</v>
      </c>
      <c r="E1486">
        <v>-0.185396708425448</v>
      </c>
      <c r="F1486">
        <v>0.006659204310459001</v>
      </c>
      <c r="G1486">
        <v>-0.213247570497821</v>
      </c>
      <c r="H1486">
        <v>0.157873144587936</v>
      </c>
      <c r="I1486">
        <v>-0.202963425845255</v>
      </c>
    </row>
    <row r="1487" spans="1:9">
      <c r="A1487" s="1" t="s">
        <v>1499</v>
      </c>
      <c r="B1487">
        <f>HYPERLINK("https://www.suredividend.com/sure-analysis-INTC/","Intel Corp.")</f>
        <v>0</v>
      </c>
      <c r="C1487">
        <v>-0.020587604546429</v>
      </c>
      <c r="D1487">
        <v>-0.173825817807517</v>
      </c>
      <c r="E1487">
        <v>-0.149147843712971</v>
      </c>
      <c r="F1487">
        <v>-0.106449334483777</v>
      </c>
      <c r="G1487">
        <v>-0.27528987611535</v>
      </c>
      <c r="H1487">
        <v>-0.207992563766396</v>
      </c>
      <c r="I1487">
        <v>0.472475319030945</v>
      </c>
    </row>
    <row r="1488" spans="1:9">
      <c r="A1488" s="1" t="s">
        <v>1500</v>
      </c>
      <c r="B1488">
        <f>HYPERLINK("https://www.suredividend.com/sure-analysis-research-database/","Intergroup Corp.")</f>
        <v>0</v>
      </c>
      <c r="C1488">
        <v>-0.07735849056603701</v>
      </c>
      <c r="D1488">
        <v>-0.09994478188845901</v>
      </c>
      <c r="E1488">
        <v>0.002049180327868</v>
      </c>
      <c r="F1488">
        <v>-0.041176470588235</v>
      </c>
      <c r="G1488">
        <v>0.321621621621621</v>
      </c>
      <c r="H1488">
        <v>0.7395944503735321</v>
      </c>
      <c r="I1488">
        <v>0.746166646431606</v>
      </c>
    </row>
    <row r="1489" spans="1:9">
      <c r="A1489" s="1" t="s">
        <v>1501</v>
      </c>
      <c r="B1489">
        <f>HYPERLINK("https://www.suredividend.com/sure-analysis-research-database/","Intest Corp.")</f>
        <v>0</v>
      </c>
      <c r="C1489">
        <v>-0.101761252446184</v>
      </c>
      <c r="D1489">
        <v>-0.287267080745341</v>
      </c>
      <c r="E1489">
        <v>-0.171480144404332</v>
      </c>
      <c r="F1489">
        <v>-0.278301886792452</v>
      </c>
      <c r="G1489">
        <v>-0.103515625</v>
      </c>
      <c r="H1489">
        <v>2.176470588235294</v>
      </c>
      <c r="I1489">
        <v>0.462948207171314</v>
      </c>
    </row>
    <row r="1490" spans="1:9">
      <c r="A1490" s="1" t="s">
        <v>1502</v>
      </c>
      <c r="B1490">
        <f>HYPERLINK("https://www.suredividend.com/sure-analysis-INTU/","Intuit Inc")</f>
        <v>0</v>
      </c>
      <c r="C1490">
        <v>0.017143007100822</v>
      </c>
      <c r="D1490">
        <v>-0.154396805721252</v>
      </c>
      <c r="E1490">
        <v>-0.15551560283469</v>
      </c>
      <c r="F1490">
        <v>-0.275068326185742</v>
      </c>
      <c r="G1490">
        <v>0.124114455641574</v>
      </c>
      <c r="H1490">
        <v>0.8307647677269601</v>
      </c>
      <c r="I1490">
        <v>3.103380738963193</v>
      </c>
    </row>
    <row r="1491" spans="1:9">
      <c r="A1491" s="1" t="s">
        <v>1503</v>
      </c>
      <c r="B1491">
        <f>HYPERLINK("https://www.suredividend.com/sure-analysis-research-database/","Inuvo Inc")</f>
        <v>0</v>
      </c>
      <c r="C1491">
        <v>-0.003322259136212</v>
      </c>
      <c r="D1491">
        <v>-0.025974025974025</v>
      </c>
      <c r="E1491">
        <v>-0.380165289256198</v>
      </c>
      <c r="F1491">
        <v>-0.150943396226415</v>
      </c>
      <c r="G1491">
        <v>-0.3885038728088051</v>
      </c>
      <c r="H1491">
        <v>1.093023255813953</v>
      </c>
      <c r="I1491">
        <v>-0.637096774193548</v>
      </c>
    </row>
    <row r="1492" spans="1:9">
      <c r="A1492" s="1" t="s">
        <v>1504</v>
      </c>
      <c r="B1492">
        <f>HYPERLINK("https://www.suredividend.com/sure-analysis-research-database/","Innoviva Inc")</f>
        <v>0</v>
      </c>
      <c r="C1492">
        <v>0.024771136241249</v>
      </c>
      <c r="D1492">
        <v>0.134764460345855</v>
      </c>
      <c r="E1492">
        <v>0.14569536423841</v>
      </c>
      <c r="F1492">
        <v>0.103188405797101</v>
      </c>
      <c r="G1492">
        <v>0.5991596638655461</v>
      </c>
      <c r="H1492">
        <v>0.515127388535031</v>
      </c>
      <c r="I1492">
        <v>0.341085271317829</v>
      </c>
    </row>
    <row r="1493" spans="1:9">
      <c r="A1493" s="1" t="s">
        <v>1505</v>
      </c>
      <c r="B1493">
        <f>HYPERLINK("https://www.suredividend.com/sure-analysis-research-database/","Identiv Inc")</f>
        <v>0</v>
      </c>
      <c r="C1493">
        <v>-0.202063106796116</v>
      </c>
      <c r="D1493">
        <v>-0.40497737556561</v>
      </c>
      <c r="E1493">
        <v>-0.273480662983425</v>
      </c>
      <c r="F1493">
        <v>-0.532693674484719</v>
      </c>
      <c r="G1493">
        <v>-0.06339031339031301</v>
      </c>
      <c r="H1493">
        <v>3.87037037037037</v>
      </c>
      <c r="I1493">
        <v>0.9774436090225561</v>
      </c>
    </row>
    <row r="1494" spans="1:9">
      <c r="A1494" s="1" t="s">
        <v>1506</v>
      </c>
      <c r="B1494">
        <f>HYPERLINK("https://www.suredividend.com/sure-analysis-INVH/","Invitation Homes Inc")</f>
        <v>0</v>
      </c>
      <c r="C1494">
        <v>0.05402010050251201</v>
      </c>
      <c r="D1494">
        <v>-0.028123038001663</v>
      </c>
      <c r="E1494">
        <v>0.053908883987116</v>
      </c>
      <c r="F1494">
        <v>-0.06992109294802801</v>
      </c>
      <c r="G1494">
        <v>0.281753573327304</v>
      </c>
      <c r="H1494">
        <v>0.913087892593454</v>
      </c>
      <c r="I1494">
        <v>1.166525502509968</v>
      </c>
    </row>
    <row r="1495" spans="1:9">
      <c r="A1495" s="1" t="s">
        <v>1507</v>
      </c>
      <c r="B1495">
        <f>HYPERLINK("https://www.suredividend.com/sure-analysis-research-database/","ION Geophysical Corp")</f>
        <v>0</v>
      </c>
      <c r="C1495">
        <v>-0.6235852107362291</v>
      </c>
      <c r="D1495">
        <v>-0.5891764705882351</v>
      </c>
      <c r="E1495">
        <v>-0.7487769784172661</v>
      </c>
      <c r="F1495">
        <v>-0.603181818181818</v>
      </c>
      <c r="G1495">
        <v>-0.838333333333333</v>
      </c>
      <c r="H1495">
        <v>-0.7591724137931031</v>
      </c>
      <c r="I1495">
        <v>-0.9187906976744181</v>
      </c>
    </row>
    <row r="1496" spans="1:9">
      <c r="A1496" s="1" t="s">
        <v>1508</v>
      </c>
      <c r="B1496">
        <f>HYPERLINK("https://www.suredividend.com/sure-analysis-research-database/","Ionis Pharmaceuticals Inc")</f>
        <v>0</v>
      </c>
      <c r="C1496">
        <v>0.205709240729841</v>
      </c>
      <c r="D1496">
        <v>0.238512696493349</v>
      </c>
      <c r="E1496">
        <v>0.167236467236467</v>
      </c>
      <c r="F1496">
        <v>0.346368715083798</v>
      </c>
      <c r="G1496">
        <v>0.004659146640509</v>
      </c>
      <c r="H1496">
        <v>-0.231043543543543</v>
      </c>
      <c r="I1496">
        <v>-0.030754672344452</v>
      </c>
    </row>
    <row r="1497" spans="1:9">
      <c r="A1497" s="1" t="s">
        <v>1509</v>
      </c>
      <c r="B1497">
        <f>HYPERLINK("https://www.suredividend.com/sure-analysis-research-database/","Income Opportunity Realty Investors, Inc.")</f>
        <v>0</v>
      </c>
      <c r="C1497">
        <v>0.05021645021645001</v>
      </c>
      <c r="D1497">
        <v>0.036752136752136</v>
      </c>
      <c r="E1497">
        <v>0.003773459998013</v>
      </c>
      <c r="F1497">
        <v>0.015062761506276</v>
      </c>
      <c r="G1497">
        <v>0.014324299463988</v>
      </c>
      <c r="H1497">
        <v>0.282241014799154</v>
      </c>
      <c r="I1497">
        <v>0.406197470467534</v>
      </c>
    </row>
    <row r="1498" spans="1:9">
      <c r="A1498" s="1" t="s">
        <v>1510</v>
      </c>
      <c r="B1498">
        <f>HYPERLINK("https://www.suredividend.com/sure-analysis-research-database/","Innospec Inc")</f>
        <v>0</v>
      </c>
      <c r="C1498">
        <v>-0.006248676127939</v>
      </c>
      <c r="D1498">
        <v>-0.047991071428571</v>
      </c>
      <c r="E1498">
        <v>0.10179801035218</v>
      </c>
      <c r="F1498">
        <v>0.038631835288908</v>
      </c>
      <c r="G1498">
        <v>-0.07647546897191801</v>
      </c>
      <c r="H1498">
        <v>0.404077406070618</v>
      </c>
      <c r="I1498">
        <v>0.6524748377552541</v>
      </c>
    </row>
    <row r="1499" spans="1:9">
      <c r="A1499" s="1" t="s">
        <v>1511</v>
      </c>
      <c r="B1499">
        <f>HYPERLINK("https://www.suredividend.com/sure-analysis-research-database/","Iovance Biotherapeutics Inc")</f>
        <v>0</v>
      </c>
      <c r="C1499">
        <v>0.315907393577296</v>
      </c>
      <c r="D1499">
        <v>0.137508069722401</v>
      </c>
      <c r="E1499">
        <v>-0.337842916196918</v>
      </c>
      <c r="F1499">
        <v>-0.077003666841278</v>
      </c>
      <c r="G1499">
        <v>-0.415394824153948</v>
      </c>
      <c r="H1499">
        <v>-0.499431818181818</v>
      </c>
      <c r="I1499">
        <v>1.912396694214876</v>
      </c>
    </row>
    <row r="1500" spans="1:9">
      <c r="A1500" s="1" t="s">
        <v>1512</v>
      </c>
      <c r="B1500">
        <f>HYPERLINK("https://www.suredividend.com/sure-analysis-IP/","International Paper Co.")</f>
        <v>0</v>
      </c>
      <c r="C1500">
        <v>0.07404891304347801</v>
      </c>
      <c r="D1500">
        <v>-0.032206723745317</v>
      </c>
      <c r="E1500">
        <v>-0.09249890939147801</v>
      </c>
      <c r="F1500">
        <v>0.019706149195715</v>
      </c>
      <c r="G1500">
        <v>-0.096684988172915</v>
      </c>
      <c r="H1500">
        <v>0.7622078312917281</v>
      </c>
      <c r="I1500">
        <v>0.211704714995197</v>
      </c>
    </row>
    <row r="1501" spans="1:9">
      <c r="A1501" s="1" t="s">
        <v>1513</v>
      </c>
      <c r="B1501">
        <f>HYPERLINK("https://www.suredividend.com/sure-analysis-research-database/","Inter Parfums, Inc.")</f>
        <v>0</v>
      </c>
      <c r="C1501">
        <v>0.018127962085308</v>
      </c>
      <c r="D1501">
        <v>-0.101308556655315</v>
      </c>
      <c r="E1501">
        <v>0.092001057308134</v>
      </c>
      <c r="F1501">
        <v>-0.191177785579753</v>
      </c>
      <c r="G1501">
        <v>0.214673333022349</v>
      </c>
      <c r="H1501">
        <v>1.047278237334655</v>
      </c>
      <c r="I1501">
        <v>1.645888757513056</v>
      </c>
    </row>
    <row r="1502" spans="1:9">
      <c r="A1502" s="1" t="s">
        <v>1514</v>
      </c>
      <c r="B1502">
        <f>HYPERLINK("https://www.suredividend.com/sure-analysis-IPG/","Interpublic Group Of Cos., Inc.")</f>
        <v>0</v>
      </c>
      <c r="C1502">
        <v>-0.04855172413793001</v>
      </c>
      <c r="D1502">
        <v>-0.08673259985966</v>
      </c>
      <c r="E1502">
        <v>-0.083280839267156</v>
      </c>
      <c r="F1502">
        <v>-0.07185644856593801</v>
      </c>
      <c r="G1502">
        <v>0.162755416808541</v>
      </c>
      <c r="H1502">
        <v>1.574899027227187</v>
      </c>
      <c r="I1502">
        <v>0.6950818544166</v>
      </c>
    </row>
    <row r="1503" spans="1:9">
      <c r="A1503" s="1" t="s">
        <v>1515</v>
      </c>
      <c r="B1503">
        <f>HYPERLINK("https://www.suredividend.com/sure-analysis-research-database/","IPG Photonics Corp")</f>
        <v>0</v>
      </c>
      <c r="C1503">
        <v>-0.165608919382504</v>
      </c>
      <c r="D1503">
        <v>-0.396651162790697</v>
      </c>
      <c r="E1503">
        <v>-0.410649382117761</v>
      </c>
      <c r="F1503">
        <v>-0.434820494945974</v>
      </c>
      <c r="G1503">
        <v>-0.5654756587762391</v>
      </c>
      <c r="H1503">
        <v>-0.157516453065465</v>
      </c>
      <c r="I1503">
        <v>-0.169668003755227</v>
      </c>
    </row>
    <row r="1504" spans="1:9">
      <c r="A1504" s="1" t="s">
        <v>1516</v>
      </c>
      <c r="B1504">
        <f>HYPERLINK("https://www.suredividend.com/sure-analysis-research-database/","Inphi Corp")</f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1517</v>
      </c>
      <c r="B1505">
        <f>HYPERLINK("https://www.suredividend.com/sure-analysis-research-database/","Intrepid Potash Inc")</f>
        <v>0</v>
      </c>
      <c r="C1505">
        <v>0.9301724137931031</v>
      </c>
      <c r="D1505">
        <v>1.629786234437397</v>
      </c>
      <c r="E1505">
        <v>1.702800579430226</v>
      </c>
      <c r="F1505">
        <v>1.619939152820033</v>
      </c>
      <c r="G1505">
        <v>2.67893526125534</v>
      </c>
      <c r="H1505">
        <v>12.47820852395858</v>
      </c>
      <c r="I1505">
        <v>5.185082872928176</v>
      </c>
    </row>
    <row r="1506" spans="1:9">
      <c r="A1506" s="1" t="s">
        <v>1518</v>
      </c>
      <c r="B1506">
        <f>HYPERLINK("https://www.suredividend.com/sure-analysis-research-database/","Ideal Power Inc")</f>
        <v>0</v>
      </c>
      <c r="C1506">
        <v>-0.002375296912113</v>
      </c>
      <c r="D1506">
        <v>-0.116719242902208</v>
      </c>
      <c r="E1506">
        <v>-0.437374413931681</v>
      </c>
      <c r="F1506">
        <v>-0.303482587064676</v>
      </c>
      <c r="G1506">
        <v>-0.139344262295081</v>
      </c>
      <c r="H1506">
        <v>3.285714285714285</v>
      </c>
      <c r="I1506">
        <v>-0.6923076923076921</v>
      </c>
    </row>
    <row r="1507" spans="1:9">
      <c r="A1507" s="1" t="s">
        <v>1519</v>
      </c>
      <c r="B1507">
        <f>HYPERLINK("https://www.suredividend.com/sure-analysis-research-database/","IQVIA Holdings Inc")</f>
        <v>0</v>
      </c>
      <c r="C1507">
        <v>0.08267126708130901</v>
      </c>
      <c r="D1507">
        <v>-0.035821136896579</v>
      </c>
      <c r="E1507">
        <v>-0.041671689772955</v>
      </c>
      <c r="F1507">
        <v>-0.154745870844261</v>
      </c>
      <c r="G1507">
        <v>0.10632770458341</v>
      </c>
      <c r="H1507">
        <v>0.9161176281536231</v>
      </c>
      <c r="I1507">
        <v>2.020645978467384</v>
      </c>
    </row>
    <row r="1508" spans="1:9">
      <c r="A1508" s="1" t="s">
        <v>1520</v>
      </c>
      <c r="B1508">
        <f>HYPERLINK("https://www.suredividend.com/sure-analysis-research-database/","Ingersoll-Rand Inc")</f>
        <v>0</v>
      </c>
      <c r="C1508">
        <v>-0.07490039840637401</v>
      </c>
      <c r="D1508">
        <v>-0.217306888508366</v>
      </c>
      <c r="E1508">
        <v>-0.114897509934532</v>
      </c>
      <c r="F1508">
        <v>-0.249058898102272</v>
      </c>
      <c r="G1508">
        <v>-0.07490592685701</v>
      </c>
      <c r="H1508">
        <v>0.889294809727996</v>
      </c>
      <c r="I1508">
        <v>1.200947867298578</v>
      </c>
    </row>
    <row r="1509" spans="1:9">
      <c r="A1509" s="1" t="s">
        <v>1521</v>
      </c>
      <c r="B1509">
        <f>HYPERLINK("https://www.suredividend.com/sure-analysis-research-database/","Irobot Corp")</f>
        <v>0</v>
      </c>
      <c r="C1509">
        <v>-0.065251165199378</v>
      </c>
      <c r="D1509">
        <v>-0.189371257485029</v>
      </c>
      <c r="E1509">
        <v>-0.340920155793573</v>
      </c>
      <c r="F1509">
        <v>-0.178051001821493</v>
      </c>
      <c r="G1509">
        <v>-0.524791575252303</v>
      </c>
      <c r="H1509">
        <v>0.08451832565591801</v>
      </c>
      <c r="I1509">
        <v>-0.168585905112851</v>
      </c>
    </row>
    <row r="1510" spans="1:9">
      <c r="A1510" s="1" t="s">
        <v>1522</v>
      </c>
      <c r="B1510">
        <f>HYPERLINK("https://www.suredividend.com/sure-analysis-research-database/","Iridium Communications Inc")</f>
        <v>0</v>
      </c>
      <c r="C1510">
        <v>0.017072558373085</v>
      </c>
      <c r="D1510">
        <v>0.08199786324786301</v>
      </c>
      <c r="E1510">
        <v>0.032628090746877</v>
      </c>
      <c r="F1510">
        <v>-0.01889077258416</v>
      </c>
      <c r="G1510">
        <v>-0.007351139426611</v>
      </c>
      <c r="H1510">
        <v>0.7759754493643131</v>
      </c>
      <c r="I1510">
        <v>3.051</v>
      </c>
    </row>
    <row r="1511" spans="1:9">
      <c r="A1511" s="1" t="s">
        <v>1523</v>
      </c>
      <c r="B1511">
        <f>HYPERLINK("https://www.suredividend.com/sure-analysis-research-database/","Investors Real Estate Trust")</f>
        <v>0</v>
      </c>
      <c r="C1511">
        <v>-0.016755096341804</v>
      </c>
      <c r="D1511">
        <v>0.06946998816931101</v>
      </c>
      <c r="E1511">
        <v>0.020928897419987</v>
      </c>
      <c r="F1511">
        <v>0.004321348603049001</v>
      </c>
      <c r="G1511">
        <v>0.002742519301583</v>
      </c>
      <c r="H1511">
        <v>0.5420224099081831</v>
      </c>
      <c r="I1511">
        <v>0.209012136476558</v>
      </c>
    </row>
    <row r="1512" spans="1:9">
      <c r="A1512" s="1" t="s">
        <v>1524</v>
      </c>
      <c r="B1512">
        <f>HYPERLINK("https://www.suredividend.com/sure-analysis-research-database/","IRIDEX Corp.")</f>
        <v>0</v>
      </c>
      <c r="C1512">
        <v>0.009302325581395</v>
      </c>
      <c r="D1512">
        <v>-0.222222222222222</v>
      </c>
      <c r="E1512">
        <v>-0.414304993252361</v>
      </c>
      <c r="F1512">
        <v>-0.289689034369885</v>
      </c>
      <c r="G1512">
        <v>-0.4370946822308691</v>
      </c>
      <c r="H1512">
        <v>1.508670520231213</v>
      </c>
      <c r="I1512">
        <v>-0.5753424657534241</v>
      </c>
    </row>
    <row r="1513" spans="1:9">
      <c r="A1513" s="1" t="s">
        <v>1525</v>
      </c>
      <c r="B1513">
        <f>HYPERLINK("https://www.suredividend.com/sure-analysis-IRM/","Iron Mountain Inc.")</f>
        <v>0</v>
      </c>
      <c r="C1513">
        <v>0.128487069843209</v>
      </c>
      <c r="D1513">
        <v>0.253222378001899</v>
      </c>
      <c r="E1513">
        <v>0.265950010736133</v>
      </c>
      <c r="F1513">
        <v>0.07217133073448101</v>
      </c>
      <c r="G1513">
        <v>0.5339138329024791</v>
      </c>
      <c r="H1513">
        <v>1.60928929588738</v>
      </c>
      <c r="I1513">
        <v>1.215940215196504</v>
      </c>
    </row>
    <row r="1514" spans="1:9">
      <c r="A1514" s="1" t="s">
        <v>1526</v>
      </c>
      <c r="B1514">
        <f>HYPERLINK("https://www.suredividend.com/sure-analysis-research-database/","Iradimed Corp")</f>
        <v>0</v>
      </c>
      <c r="C1514">
        <v>-0.052281979858581</v>
      </c>
      <c r="D1514">
        <v>0.024815218146852</v>
      </c>
      <c r="E1514">
        <v>0.23078207393597</v>
      </c>
      <c r="F1514">
        <v>-0.0233098380059</v>
      </c>
      <c r="G1514">
        <v>0.740564237170077</v>
      </c>
      <c r="H1514">
        <v>1.273696980912871</v>
      </c>
      <c r="I1514">
        <v>4.470624613481755</v>
      </c>
    </row>
    <row r="1515" spans="1:9">
      <c r="A1515" s="1" t="s">
        <v>1527</v>
      </c>
      <c r="B1515">
        <f>HYPERLINK("https://www.suredividend.com/sure-analysis-research-database/","IF Bancorp Inc")</f>
        <v>0</v>
      </c>
      <c r="C1515">
        <v>0.04953820319059601</v>
      </c>
      <c r="D1515">
        <v>-0.106508043328656</v>
      </c>
      <c r="E1515">
        <v>0.064639472301252</v>
      </c>
      <c r="F1515">
        <v>-0.08897426255374001</v>
      </c>
      <c r="G1515">
        <v>0.06275692714009801</v>
      </c>
      <c r="H1515">
        <v>0.447222564355216</v>
      </c>
      <c r="I1515">
        <v>0.272016714840916</v>
      </c>
    </row>
    <row r="1516" spans="1:9">
      <c r="A1516" s="1" t="s">
        <v>1528</v>
      </c>
      <c r="B1516">
        <f>HYPERLINK("https://www.suredividend.com/sure-analysis-IRT/","Independence Realty Trust Inc")</f>
        <v>0</v>
      </c>
      <c r="C1516">
        <v>0.052101666738211</v>
      </c>
      <c r="D1516">
        <v>0.154351726175439</v>
      </c>
      <c r="E1516">
        <v>0.282465988012558</v>
      </c>
      <c r="F1516">
        <v>0.048435707480215</v>
      </c>
      <c r="G1516">
        <v>0.6923192808898481</v>
      </c>
      <c r="H1516">
        <v>2.340147432323608</v>
      </c>
      <c r="I1516">
        <v>2.883047673916175</v>
      </c>
    </row>
    <row r="1517" spans="1:9">
      <c r="A1517" s="1" t="s">
        <v>1529</v>
      </c>
      <c r="B1517">
        <f>HYPERLINK("https://www.suredividend.com/sure-analysis-research-database/","iRhythm Technologies Inc")</f>
        <v>0</v>
      </c>
      <c r="C1517">
        <v>0.09759987847485901</v>
      </c>
      <c r="D1517">
        <v>0.024167257264351</v>
      </c>
      <c r="E1517">
        <v>0.999031677963756</v>
      </c>
      <c r="F1517">
        <v>0.227886821310221</v>
      </c>
      <c r="G1517">
        <v>0.5890697162964591</v>
      </c>
      <c r="H1517">
        <v>0.6209758833426801</v>
      </c>
      <c r="I1517">
        <v>3.13713140566848</v>
      </c>
    </row>
    <row r="1518" spans="1:9">
      <c r="A1518" s="1" t="s">
        <v>1530</v>
      </c>
      <c r="B1518">
        <f>HYPERLINK("https://www.suredividend.com/sure-analysis-research-database/","Ironwood Pharmaceuticals Inc")</f>
        <v>0</v>
      </c>
      <c r="C1518">
        <v>0.001626016260162</v>
      </c>
      <c r="D1518">
        <v>0.05119453924914601</v>
      </c>
      <c r="E1518">
        <v>-0.09809663250366001</v>
      </c>
      <c r="F1518">
        <v>0.056603773584905</v>
      </c>
      <c r="G1518">
        <v>0.161168708765315</v>
      </c>
      <c r="H1518">
        <v>0.217391304347826</v>
      </c>
      <c r="I1518">
        <v>-0.079566679118416</v>
      </c>
    </row>
    <row r="1519" spans="1:9">
      <c r="A1519" s="1" t="s">
        <v>1531</v>
      </c>
      <c r="B1519">
        <f>HYPERLINK("https://www.suredividend.com/sure-analysis-research-database/","Investors Bancorp Inc")</f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1532</v>
      </c>
      <c r="B1520">
        <f>HYPERLINK("https://www.suredividend.com/sure-analysis-research-database/","Issuer Direct Corp")</f>
        <v>0</v>
      </c>
      <c r="C1520">
        <v>0.033015407190021</v>
      </c>
      <c r="D1520">
        <v>-0.00740218540712</v>
      </c>
      <c r="E1520">
        <v>0.054681647940074</v>
      </c>
      <c r="F1520">
        <v>-0.043835523411768</v>
      </c>
      <c r="G1520">
        <v>0.170407315045719</v>
      </c>
      <c r="H1520">
        <v>2.255491329479768</v>
      </c>
      <c r="I1520">
        <v>1.465590305747206</v>
      </c>
    </row>
    <row r="1521" spans="1:9">
      <c r="A1521" s="1" t="s">
        <v>1533</v>
      </c>
      <c r="B1521">
        <f>HYPERLINK("https://www.suredividend.com/sure-analysis-research-database/","IVERIC bio Inc")</f>
        <v>0</v>
      </c>
      <c r="C1521">
        <v>0.153129161118508</v>
      </c>
      <c r="D1521">
        <v>0.267008046817849</v>
      </c>
      <c r="E1521">
        <v>0.011091652072387</v>
      </c>
      <c r="F1521">
        <v>0.035885167464114</v>
      </c>
      <c r="G1521">
        <v>1.910924369747899</v>
      </c>
      <c r="H1521">
        <v>3.395939086294416</v>
      </c>
      <c r="I1521">
        <v>4.931506849315069</v>
      </c>
    </row>
    <row r="1522" spans="1:9">
      <c r="A1522" s="1" t="s">
        <v>1534</v>
      </c>
      <c r="B1522">
        <f>HYPERLINK("https://www.suredividend.com/sure-analysis-research-database/","Insignia Systems, Inc.")</f>
        <v>0</v>
      </c>
      <c r="C1522">
        <v>0.114219114219114</v>
      </c>
      <c r="D1522">
        <v>-0.50721649484536</v>
      </c>
      <c r="E1522">
        <v>0.346478873239436</v>
      </c>
      <c r="F1522">
        <v>-0.585788561525129</v>
      </c>
      <c r="G1522">
        <v>0.9590163934426231</v>
      </c>
      <c r="H1522">
        <v>0.9650565262076051</v>
      </c>
      <c r="I1522">
        <v>0.042529989094874</v>
      </c>
    </row>
    <row r="1523" spans="1:9">
      <c r="A1523" s="1" t="s">
        <v>1535</v>
      </c>
      <c r="B1523">
        <f>HYPERLINK("https://www.suredividend.com/sure-analysis-research-database/","Image Sensing Systems, Inc.")</f>
        <v>0</v>
      </c>
      <c r="C1523">
        <v>-0.055718475073313</v>
      </c>
      <c r="D1523">
        <v>0.513157894736842</v>
      </c>
      <c r="E1523">
        <v>0.433532187694773</v>
      </c>
      <c r="F1523">
        <v>0.455860743754945</v>
      </c>
      <c r="G1523">
        <v>0.8784272546960681</v>
      </c>
      <c r="H1523">
        <v>0.294758640101328</v>
      </c>
      <c r="I1523">
        <v>1.63577947857406</v>
      </c>
    </row>
    <row r="1524" spans="1:9">
      <c r="A1524" s="1" t="s">
        <v>1536</v>
      </c>
      <c r="B1524">
        <f>HYPERLINK("https://www.suredividend.com/sure-analysis-research-database/","Isoray, Inc.")</f>
        <v>0</v>
      </c>
      <c r="C1524">
        <v>0.039155705108595</v>
      </c>
      <c r="D1524">
        <v>-0.121541246444272</v>
      </c>
      <c r="E1524">
        <v>-0.452979066022544</v>
      </c>
      <c r="F1524">
        <v>-0.124033006704486</v>
      </c>
      <c r="G1524">
        <v>-0.605</v>
      </c>
      <c r="H1524">
        <v>-0.385714285714285</v>
      </c>
      <c r="I1524">
        <v>-0.377496793109767</v>
      </c>
    </row>
    <row r="1525" spans="1:9">
      <c r="A1525" s="1" t="s">
        <v>1537</v>
      </c>
      <c r="B1525">
        <f>HYPERLINK("https://www.suredividend.com/sure-analysis-research-database/","Intuitive Surgical Inc")</f>
        <v>0</v>
      </c>
      <c r="C1525">
        <v>0.006658268850098001</v>
      </c>
      <c r="D1525">
        <v>-0.091115877039059</v>
      </c>
      <c r="E1525">
        <v>-0.156259426847662</v>
      </c>
      <c r="F1525">
        <v>-0.221541887002504</v>
      </c>
      <c r="G1525">
        <v>0.032649367728396</v>
      </c>
      <c r="H1525">
        <v>0.6438755497461891</v>
      </c>
      <c r="I1525">
        <v>2.291490490922806</v>
      </c>
    </row>
    <row r="1526" spans="1:9">
      <c r="A1526" s="1" t="s">
        <v>1538</v>
      </c>
      <c r="B1526">
        <f>HYPERLINK("https://www.suredividend.com/sure-analysis-research-database/","Innovative Solutions And Support Inc")</f>
        <v>0</v>
      </c>
      <c r="C1526">
        <v>0.065573770491803</v>
      </c>
      <c r="D1526">
        <v>0.109530583214793</v>
      </c>
      <c r="E1526">
        <v>0.128798842257597</v>
      </c>
      <c r="F1526">
        <v>0.189024390243902</v>
      </c>
      <c r="G1526">
        <v>0.24401913875598</v>
      </c>
      <c r="H1526">
        <v>1.094015946736825</v>
      </c>
      <c r="I1526">
        <v>1.7725446983969</v>
      </c>
    </row>
    <row r="1527" spans="1:9">
      <c r="A1527" s="1" t="s">
        <v>1539</v>
      </c>
      <c r="B1527">
        <f>HYPERLINK("https://www.suredividend.com/sure-analysis-research-database/","Investar Holding Corp")</f>
        <v>0</v>
      </c>
      <c r="C1527">
        <v>-0.03817499871551101</v>
      </c>
      <c r="D1527">
        <v>-0.004573008614272</v>
      </c>
      <c r="E1527">
        <v>0.033717295989927</v>
      </c>
      <c r="F1527">
        <v>0.021382467358864</v>
      </c>
      <c r="G1527">
        <v>-0.100566470155815</v>
      </c>
      <c r="H1527">
        <v>0.8825611681533401</v>
      </c>
      <c r="I1527">
        <v>-0.103328032494778</v>
      </c>
    </row>
    <row r="1528" spans="1:9">
      <c r="A1528" s="1" t="s">
        <v>1540</v>
      </c>
      <c r="B1528">
        <f>HYPERLINK("https://www.suredividend.com/sure-analysis-research-database/","Gartner, Inc.")</f>
        <v>0</v>
      </c>
      <c r="C1528">
        <v>0.034638345133972</v>
      </c>
      <c r="D1528">
        <v>0.042271249257019</v>
      </c>
      <c r="E1528">
        <v>-0.042341300436905</v>
      </c>
      <c r="F1528">
        <v>-0.108339315625747</v>
      </c>
      <c r="G1528">
        <v>0.552765913115949</v>
      </c>
      <c r="H1528">
        <v>2.007769145394006</v>
      </c>
      <c r="I1528">
        <v>1.736619847608556</v>
      </c>
    </row>
    <row r="1529" spans="1:9">
      <c r="A1529" s="1" t="s">
        <v>1541</v>
      </c>
      <c r="B1529">
        <f>HYPERLINK("https://www.suredividend.com/sure-analysis-research-database/","Intra-Cellular Therapies Inc")</f>
        <v>0</v>
      </c>
      <c r="C1529">
        <v>0.076510966013728</v>
      </c>
      <c r="D1529">
        <v>0.4929185047596931</v>
      </c>
      <c r="E1529">
        <v>0.6361323155216281</v>
      </c>
      <c r="F1529">
        <v>0.22850592281238</v>
      </c>
      <c r="G1529">
        <v>1.059577194106342</v>
      </c>
      <c r="H1529">
        <v>2.852606351108448</v>
      </c>
      <c r="I1529">
        <v>3.666182873730044</v>
      </c>
    </row>
    <row r="1530" spans="1:9">
      <c r="A1530" s="1" t="s">
        <v>1542</v>
      </c>
      <c r="B1530">
        <f>HYPERLINK("https://www.suredividend.com/sure-analysis-research-database/","Integer Holdings Corp")</f>
        <v>0</v>
      </c>
      <c r="C1530">
        <v>0.026262880120633</v>
      </c>
      <c r="D1530">
        <v>-0.033033388586312</v>
      </c>
      <c r="E1530">
        <v>-0.08523745519713201</v>
      </c>
      <c r="F1530">
        <v>-0.04579974296062601</v>
      </c>
      <c r="G1530">
        <v>-0.122299838796345</v>
      </c>
      <c r="H1530">
        <v>0.275495861315008</v>
      </c>
      <c r="I1530">
        <v>1.143569553805774</v>
      </c>
    </row>
    <row r="1531" spans="1:9">
      <c r="A1531" s="1" t="s">
        <v>1543</v>
      </c>
      <c r="B1531">
        <f>HYPERLINK("https://www.suredividend.com/sure-analysis-research-database/","Iteris Inc.")</f>
        <v>0</v>
      </c>
      <c r="C1531">
        <v>-0.07641196013289001</v>
      </c>
      <c r="D1531">
        <v>-0.326876513317191</v>
      </c>
      <c r="E1531">
        <v>-0.47940074906367</v>
      </c>
      <c r="F1531">
        <v>-0.305</v>
      </c>
      <c r="G1531">
        <v>-0.560126582278481</v>
      </c>
      <c r="H1531">
        <v>-0.18475073313783</v>
      </c>
      <c r="I1531">
        <v>-0.4990990990990991</v>
      </c>
    </row>
    <row r="1532" spans="1:9">
      <c r="A1532" s="1" t="s">
        <v>1544</v>
      </c>
      <c r="B1532">
        <f>HYPERLINK("https://www.suredividend.com/sure-analysis-research-database/","Investors Title Co.")</f>
        <v>0</v>
      </c>
      <c r="C1532">
        <v>-0.037455908190848</v>
      </c>
      <c r="D1532">
        <v>-0.069142877696116</v>
      </c>
      <c r="E1532">
        <v>0.029709315341448</v>
      </c>
      <c r="F1532">
        <v>-0.013239669900454</v>
      </c>
      <c r="G1532">
        <v>0.155494013874262</v>
      </c>
      <c r="H1532">
        <v>0.8578714019893861</v>
      </c>
      <c r="I1532">
        <v>0.37477441233883</v>
      </c>
    </row>
    <row r="1533" spans="1:9">
      <c r="A1533" s="1" t="s">
        <v>1545</v>
      </c>
      <c r="B1533">
        <f>HYPERLINK("https://www.suredividend.com/sure-analysis-research-database/","Itron Inc.")</f>
        <v>0</v>
      </c>
      <c r="C1533">
        <v>0.006035003017501</v>
      </c>
      <c r="D1533">
        <v>-0.207574077008398</v>
      </c>
      <c r="E1533">
        <v>-0.33311108147753</v>
      </c>
      <c r="F1533">
        <v>-0.270140105078809</v>
      </c>
      <c r="G1533">
        <v>-0.433121741101791</v>
      </c>
      <c r="H1533">
        <v>-0.144104056135546</v>
      </c>
      <c r="I1533">
        <v>-0.154522400676246</v>
      </c>
    </row>
    <row r="1534" spans="1:9">
      <c r="A1534" s="1" t="s">
        <v>1546</v>
      </c>
      <c r="B1534">
        <f>HYPERLINK("https://www.suredividend.com/sure-analysis-research-database/","ITT Inc")</f>
        <v>0</v>
      </c>
      <c r="C1534">
        <v>-0.093157564344005</v>
      </c>
      <c r="D1534">
        <v>-0.271902890816682</v>
      </c>
      <c r="E1534">
        <v>-0.227323005299517</v>
      </c>
      <c r="F1534">
        <v>-0.29071328338965</v>
      </c>
      <c r="G1534">
        <v>-0.212885874445325</v>
      </c>
      <c r="H1534">
        <v>0.5786770411006801</v>
      </c>
      <c r="I1534">
        <v>0.985098705274816</v>
      </c>
    </row>
    <row r="1535" spans="1:9">
      <c r="A1535" s="1" t="s">
        <v>1547</v>
      </c>
      <c r="B1535">
        <f>HYPERLINK("https://www.suredividend.com/sure-analysis-ITW/","Illinois Tool Works, Inc.")</f>
        <v>0</v>
      </c>
      <c r="C1535">
        <v>-0.06009015510643401</v>
      </c>
      <c r="D1535">
        <v>-0.190568746394016</v>
      </c>
      <c r="E1535">
        <v>-0.112403691481707</v>
      </c>
      <c r="F1535">
        <v>-0.200276747354764</v>
      </c>
      <c r="G1535">
        <v>-0.105001267690668</v>
      </c>
      <c r="H1535">
        <v>0.338170482933161</v>
      </c>
      <c r="I1535">
        <v>0.697502568697523</v>
      </c>
    </row>
    <row r="1536" spans="1:9">
      <c r="A1536" s="1" t="s">
        <v>1548</v>
      </c>
      <c r="B1536">
        <f>HYPERLINK("https://www.suredividend.com/sure-analysis-research-database/","Intevac, Inc.")</f>
        <v>0</v>
      </c>
      <c r="C1536">
        <v>0.038306451612903</v>
      </c>
      <c r="D1536">
        <v>-0.086879432624113</v>
      </c>
      <c r="E1536">
        <v>0.088794926004228</v>
      </c>
      <c r="F1536">
        <v>0.093418259023354</v>
      </c>
      <c r="G1536">
        <v>-0.263233190271816</v>
      </c>
      <c r="H1536">
        <v>0.032064128256513</v>
      </c>
      <c r="I1536">
        <v>-0.594488188976377</v>
      </c>
    </row>
    <row r="1537" spans="1:9">
      <c r="A1537" s="1" t="s">
        <v>1549</v>
      </c>
      <c r="B1537">
        <f>HYPERLINK("https://www.suredividend.com/sure-analysis-research-database/","Invacare Corp.")</f>
        <v>0</v>
      </c>
      <c r="C1537">
        <v>-0.08750000000000001</v>
      </c>
      <c r="D1537">
        <v>-0.4710144927536231</v>
      </c>
      <c r="E1537">
        <v>-0.6819172113289761</v>
      </c>
      <c r="F1537">
        <v>-0.463235294117647</v>
      </c>
      <c r="G1537">
        <v>-0.8339021615472121</v>
      </c>
      <c r="H1537">
        <v>-0.775384615384615</v>
      </c>
      <c r="I1537">
        <v>-0.858573725710521</v>
      </c>
    </row>
    <row r="1538" spans="1:9">
      <c r="A1538" s="1" t="s">
        <v>1550</v>
      </c>
      <c r="B1538">
        <f>HYPERLINK("https://www.suredividend.com/sure-analysis-research-database/","Invesco Mortgage Capital Inc")</f>
        <v>0</v>
      </c>
      <c r="C1538">
        <v>-0.0834312573443</v>
      </c>
      <c r="D1538">
        <v>-0.27587359352371</v>
      </c>
      <c r="E1538">
        <v>-0.350476317367264</v>
      </c>
      <c r="F1538">
        <v>-0.245356037151702</v>
      </c>
      <c r="G1538">
        <v>-0.426234331783675</v>
      </c>
      <c r="H1538">
        <v>-0.124421893942795</v>
      </c>
      <c r="I1538">
        <v>-0.712257816995971</v>
      </c>
    </row>
    <row r="1539" spans="1:9">
      <c r="A1539" s="1" t="s">
        <v>1551</v>
      </c>
      <c r="B1539">
        <f>HYPERLINK("https://www.suredividend.com/sure-analysis-IVZ/","Invesco Ltd")</f>
        <v>0</v>
      </c>
      <c r="C1539">
        <v>-0.012693935119887</v>
      </c>
      <c r="D1539">
        <v>-0.149955878662273</v>
      </c>
      <c r="E1539">
        <v>-0.150846121186389</v>
      </c>
      <c r="F1539">
        <v>-0.080902466245048</v>
      </c>
      <c r="G1539">
        <v>-0.188258350309041</v>
      </c>
      <c r="H1539">
        <v>1.607108716433475</v>
      </c>
      <c r="I1539">
        <v>-0.116533445519562</v>
      </c>
    </row>
    <row r="1540" spans="1:9">
      <c r="A1540" s="1" t="s">
        <v>1552</v>
      </c>
      <c r="B1540">
        <f>HYPERLINK("https://www.suredividend.com/sure-analysis-research-database/","IZEA Worldwide Inc")</f>
        <v>0</v>
      </c>
      <c r="C1540">
        <v>0.259259259259259</v>
      </c>
      <c r="D1540">
        <v>0.07086614173228301</v>
      </c>
      <c r="E1540">
        <v>-0.284210526315789</v>
      </c>
      <c r="F1540">
        <v>0.014925373134328</v>
      </c>
      <c r="G1540">
        <v>-0.636363636363636</v>
      </c>
      <c r="H1540">
        <v>6.683615819209041</v>
      </c>
      <c r="I1540">
        <v>-0.617977528089887</v>
      </c>
    </row>
    <row r="1541" spans="1:9">
      <c r="A1541" s="1" t="s">
        <v>1553</v>
      </c>
      <c r="B1541">
        <f>HYPERLINK("https://www.suredividend.com/sure-analysis-JACK/","Jack In The Box, Inc.")</f>
        <v>0</v>
      </c>
      <c r="C1541">
        <v>0.03638616649769</v>
      </c>
      <c r="D1541">
        <v>0.050938533803666</v>
      </c>
      <c r="E1541">
        <v>-0.05108073652637701</v>
      </c>
      <c r="F1541">
        <v>0.05754662975982101</v>
      </c>
      <c r="G1541">
        <v>-0.2051849586437</v>
      </c>
      <c r="H1541">
        <v>0.8031437419152521</v>
      </c>
      <c r="I1541">
        <v>0.010813507105359</v>
      </c>
    </row>
    <row r="1542" spans="1:9">
      <c r="A1542" s="1" t="s">
        <v>1554</v>
      </c>
      <c r="B1542">
        <f>HYPERLINK("https://www.suredividend.com/sure-analysis-research-database/","Jaguar Health Inc")</f>
        <v>0</v>
      </c>
      <c r="C1542">
        <v>0.226866971478336</v>
      </c>
      <c r="D1542">
        <v>-0.4145454545454541</v>
      </c>
      <c r="E1542">
        <v>-0.719651741293532</v>
      </c>
      <c r="F1542">
        <v>-0.458173076923076</v>
      </c>
      <c r="G1542">
        <v>-0.8555128205128201</v>
      </c>
      <c r="H1542">
        <v>-0.6045614035087721</v>
      </c>
      <c r="I1542">
        <v>-0.9997919896640821</v>
      </c>
    </row>
    <row r="1543" spans="1:9">
      <c r="A1543" s="1" t="s">
        <v>1555</v>
      </c>
      <c r="B1543">
        <f>HYPERLINK("https://www.suredividend.com/sure-analysis-research-database/","Jakks Pacific Inc.")</f>
        <v>0</v>
      </c>
      <c r="C1543">
        <v>0.051561365286855</v>
      </c>
      <c r="D1543">
        <v>0.5536480686695281</v>
      </c>
      <c r="E1543">
        <v>0.229202037351443</v>
      </c>
      <c r="F1543">
        <v>0.4251968503937</v>
      </c>
      <c r="G1543">
        <v>1.258970358814352</v>
      </c>
      <c r="H1543">
        <v>1.81055900621118</v>
      </c>
      <c r="I1543">
        <v>-0.716078431372549</v>
      </c>
    </row>
    <row r="1544" spans="1:9">
      <c r="A1544" s="1" t="s">
        <v>1556</v>
      </c>
      <c r="B1544">
        <f>HYPERLINK("https://www.suredividend.com/sure-analysis-research-database/","J. Alexanders Holdings Inc")</f>
        <v>0</v>
      </c>
      <c r="C1544">
        <v>0.008645533141210001</v>
      </c>
      <c r="D1544">
        <v>0.218450826805918</v>
      </c>
      <c r="E1544">
        <v>0.473684210526315</v>
      </c>
      <c r="F1544">
        <v>0.920438957475994</v>
      </c>
      <c r="G1544">
        <v>1.676864244741873</v>
      </c>
      <c r="H1544">
        <v>0.199657240788346</v>
      </c>
      <c r="I1544">
        <v>0.450777202072538</v>
      </c>
    </row>
    <row r="1545" spans="1:9">
      <c r="A1545" s="1" t="s">
        <v>1557</v>
      </c>
      <c r="B1545">
        <f>HYPERLINK("https://www.suredividend.com/sure-analysis-research-database/","Jazz Pharmaceuticals plc")</f>
        <v>0</v>
      </c>
      <c r="C1545">
        <v>0.056338028169014</v>
      </c>
      <c r="D1545">
        <v>0.159043659043659</v>
      </c>
      <c r="E1545">
        <v>0.188699360341151</v>
      </c>
      <c r="F1545">
        <v>0.312794348508634</v>
      </c>
      <c r="G1545">
        <v>-0.009769094138543001</v>
      </c>
      <c r="H1545">
        <v>0.55798789007918</v>
      </c>
      <c r="I1545">
        <v>0.09235190385996901</v>
      </c>
    </row>
    <row r="1546" spans="1:9">
      <c r="A1546" s="1" t="s">
        <v>1558</v>
      </c>
      <c r="B1546">
        <f>HYPERLINK("https://www.suredividend.com/sure-analysis-research-database/","JBG SMITH Properties")</f>
        <v>0</v>
      </c>
      <c r="C1546">
        <v>-0.03676470588235201</v>
      </c>
      <c r="D1546">
        <v>-0.05658436213991701</v>
      </c>
      <c r="E1546">
        <v>-0.07354397214233201</v>
      </c>
      <c r="F1546">
        <v>-0.041797283176593</v>
      </c>
      <c r="G1546">
        <v>-0.1247828659782</v>
      </c>
      <c r="H1546">
        <v>-0.085624258378453</v>
      </c>
      <c r="I1546">
        <v>-0.135253734345923</v>
      </c>
    </row>
    <row r="1547" spans="1:9">
      <c r="A1547" s="1" t="s">
        <v>1559</v>
      </c>
      <c r="B1547">
        <f>HYPERLINK("https://www.suredividend.com/sure-analysis-research-database/","J.B. Hunt Transport Services, Inc.")</f>
        <v>0</v>
      </c>
      <c r="C1547">
        <v>-0.211180409061726</v>
      </c>
      <c r="D1547">
        <v>-0.147017387436395</v>
      </c>
      <c r="E1547">
        <v>-0.09405815703167501</v>
      </c>
      <c r="F1547">
        <v>-0.156740973731067</v>
      </c>
      <c r="G1547">
        <v>0.006249499098230001</v>
      </c>
      <c r="H1547">
        <v>0.684706011406363</v>
      </c>
      <c r="I1547">
        <v>1.016383334388356</v>
      </c>
    </row>
    <row r="1548" spans="1:9">
      <c r="A1548" s="1" t="s">
        <v>1560</v>
      </c>
      <c r="B1548">
        <f>HYPERLINK("https://www.suredividend.com/sure-analysis-JBL/","Jabil Inc")</f>
        <v>0</v>
      </c>
      <c r="C1548">
        <v>-0.06959647116484201</v>
      </c>
      <c r="D1548">
        <v>-0.193645444698519</v>
      </c>
      <c r="E1548">
        <v>-0.084411032726477</v>
      </c>
      <c r="F1548">
        <v>-0.189404614486812</v>
      </c>
      <c r="G1548">
        <v>0.051836419582072</v>
      </c>
      <c r="H1548">
        <v>1.348560140872369</v>
      </c>
      <c r="I1548">
        <v>1.115268187777872</v>
      </c>
    </row>
    <row r="1549" spans="1:9">
      <c r="A1549" s="1" t="s">
        <v>1561</v>
      </c>
      <c r="B1549">
        <f>HYPERLINK("https://www.suredividend.com/sure-analysis-research-database/","Jetblue Airways Corp")</f>
        <v>0</v>
      </c>
      <c r="C1549">
        <v>-0.122855181880576</v>
      </c>
      <c r="D1549">
        <v>-0.139393939393939</v>
      </c>
      <c r="E1549">
        <v>-0.163612565445026</v>
      </c>
      <c r="F1549">
        <v>-0.10252808988764</v>
      </c>
      <c r="G1549">
        <v>-0.370443349753694</v>
      </c>
      <c r="H1549">
        <v>0.4639175257731951</v>
      </c>
      <c r="I1549">
        <v>-0.383502170767004</v>
      </c>
    </row>
    <row r="1550" spans="1:9">
      <c r="A1550" s="1" t="s">
        <v>1562</v>
      </c>
      <c r="B1550">
        <f>HYPERLINK("https://www.suredividend.com/sure-analysis-research-database/","Sanfilippo (John B.) &amp; Son, Inc")</f>
        <v>0</v>
      </c>
      <c r="C1550">
        <v>0.052947665155043</v>
      </c>
      <c r="D1550">
        <v>-0.033198289444069</v>
      </c>
      <c r="E1550">
        <v>0.02615862398471</v>
      </c>
      <c r="F1550">
        <v>-0.047138420585625</v>
      </c>
      <c r="G1550">
        <v>-0.06567059967394701</v>
      </c>
      <c r="H1550">
        <v>0.040572769236545</v>
      </c>
      <c r="I1550">
        <v>0.384392509358467</v>
      </c>
    </row>
    <row r="1551" spans="1:9">
      <c r="A1551" s="1" t="s">
        <v>1563</v>
      </c>
      <c r="B1551">
        <f>HYPERLINK("https://www.suredividend.com/sure-analysis-research-database/","John Bean Technologies Corp")</f>
        <v>0</v>
      </c>
      <c r="C1551">
        <v>-0.046202310115505</v>
      </c>
      <c r="D1551">
        <v>-0.269568690363466</v>
      </c>
      <c r="E1551">
        <v>-0.270084723743809</v>
      </c>
      <c r="F1551">
        <v>-0.289546822123381</v>
      </c>
      <c r="G1551">
        <v>-0.192944110269008</v>
      </c>
      <c r="H1551">
        <v>0.613710319751518</v>
      </c>
      <c r="I1551">
        <v>0.299718712253008</v>
      </c>
    </row>
    <row r="1552" spans="1:9">
      <c r="A1552" s="1" t="s">
        <v>1564</v>
      </c>
      <c r="B1552">
        <f>HYPERLINK("https://www.suredividend.com/sure-analysis-JCI/","Johnson Controls International plc")</f>
        <v>0</v>
      </c>
      <c r="C1552">
        <v>-0.042652007972454</v>
      </c>
      <c r="D1552">
        <v>-0.191956599677728</v>
      </c>
      <c r="E1552">
        <v>-0.128599854129343</v>
      </c>
      <c r="F1552">
        <v>-0.239161482503681</v>
      </c>
      <c r="G1552">
        <v>0.001993238621929</v>
      </c>
      <c r="H1552">
        <v>1.250145365314921</v>
      </c>
      <c r="I1552">
        <v>0.7170220425111551</v>
      </c>
    </row>
    <row r="1553" spans="1:9">
      <c r="A1553" s="1" t="s">
        <v>1565</v>
      </c>
      <c r="B1553">
        <f>HYPERLINK("https://www.suredividend.com/sure-analysis-research-database/","Pineapple Holdings Inc")</f>
        <v>0</v>
      </c>
      <c r="C1553">
        <v>-0.002439024390243</v>
      </c>
      <c r="D1553">
        <v>-0.126068376068376</v>
      </c>
      <c r="E1553">
        <v>-0.623097054812193</v>
      </c>
      <c r="F1553">
        <v>-0.147916666666666</v>
      </c>
      <c r="G1553">
        <v>-0.420581401938006</v>
      </c>
      <c r="H1553">
        <v>-0.24255752581138</v>
      </c>
      <c r="I1553">
        <v>-0.104229177161129</v>
      </c>
    </row>
    <row r="1554" spans="1:9">
      <c r="A1554" s="1" t="s">
        <v>1566</v>
      </c>
      <c r="B1554">
        <f>HYPERLINK("https://www.suredividend.com/sure-analysis-research-database/","Jewett-Cameron Trading Co. Ltd.")</f>
        <v>0</v>
      </c>
      <c r="C1554">
        <v>-0.019259259259259</v>
      </c>
      <c r="D1554">
        <v>-0.234682080924855</v>
      </c>
      <c r="E1554">
        <v>-0.384758364312267</v>
      </c>
      <c r="F1554">
        <v>-0.214709371293001</v>
      </c>
      <c r="G1554">
        <v>-0.351044015292618</v>
      </c>
      <c r="H1554">
        <v>0.09784411276948501</v>
      </c>
      <c r="I1554">
        <v>0.054980079681274</v>
      </c>
    </row>
    <row r="1555" spans="1:9">
      <c r="A1555" s="1" t="s">
        <v>1567</v>
      </c>
      <c r="B1555">
        <f>HYPERLINK("https://www.suredividend.com/sure-analysis-research-database/","Jefferies Financial Group Inc")</f>
        <v>0</v>
      </c>
      <c r="C1555">
        <v>-0.04166666666666601</v>
      </c>
      <c r="D1555">
        <v>-0.149873043422363</v>
      </c>
      <c r="E1555">
        <v>-0.22707525666751</v>
      </c>
      <c r="F1555">
        <v>-0.175509461899133</v>
      </c>
      <c r="G1555">
        <v>0.002178649237472</v>
      </c>
      <c r="H1555">
        <v>1.675478155319346</v>
      </c>
      <c r="I1555">
        <v>0.262173371879858</v>
      </c>
    </row>
    <row r="1556" spans="1:9">
      <c r="A1556" s="1" t="s">
        <v>1568</v>
      </c>
      <c r="B1556">
        <f>HYPERLINK("https://www.suredividend.com/sure-analysis-research-database/","JELD-WEN Holding Inc.")</f>
        <v>0</v>
      </c>
      <c r="C1556">
        <v>-0.131202691337258</v>
      </c>
      <c r="D1556">
        <v>-0.192337763878029</v>
      </c>
      <c r="E1556">
        <v>-0.204160246533127</v>
      </c>
      <c r="F1556">
        <v>-0.216236722306525</v>
      </c>
      <c r="G1556">
        <v>-0.331607893885474</v>
      </c>
      <c r="H1556">
        <v>1.353075170842824</v>
      </c>
      <c r="I1556">
        <v>-0.337820512820512</v>
      </c>
    </row>
    <row r="1557" spans="1:9">
      <c r="A1557" s="1" t="s">
        <v>1569</v>
      </c>
      <c r="B1557">
        <f>HYPERLINK("https://www.suredividend.com/sure-analysis-research-database/","Janus Henderson Group plc")</f>
        <v>0</v>
      </c>
      <c r="C1557">
        <v>-0.071246097076355</v>
      </c>
      <c r="D1557">
        <v>-0.194665892180727</v>
      </c>
      <c r="E1557">
        <v>-0.257256616477008</v>
      </c>
      <c r="F1557">
        <v>-0.211372433706597</v>
      </c>
      <c r="G1557">
        <v>0.020662806947494</v>
      </c>
      <c r="H1557">
        <v>1.365734447754287</v>
      </c>
      <c r="I1557">
        <v>6.865384615384615</v>
      </c>
    </row>
    <row r="1558" spans="1:9">
      <c r="A1558" s="1" t="s">
        <v>1570</v>
      </c>
      <c r="B1558">
        <f>HYPERLINK("https://www.suredividend.com/sure-analysis-research-database/","J.Jill Inc")</f>
        <v>0</v>
      </c>
      <c r="C1558">
        <v>0.033200531208499</v>
      </c>
      <c r="D1558">
        <v>-0.07819905213270101</v>
      </c>
      <c r="E1558">
        <v>-0.07819905213270101</v>
      </c>
      <c r="F1558">
        <v>-0.188738269030239</v>
      </c>
      <c r="G1558">
        <v>0.9948717948717941</v>
      </c>
      <c r="H1558">
        <v>7.828368794326241</v>
      </c>
      <c r="I1558">
        <v>-0.712967028101929</v>
      </c>
    </row>
    <row r="1559" spans="1:9">
      <c r="A1559" s="1" t="s">
        <v>1571</v>
      </c>
      <c r="B1559">
        <f>HYPERLINK("https://www.suredividend.com/sure-analysis-research-database/","J&amp;J Snack Foods Corp.")</f>
        <v>0</v>
      </c>
      <c r="C1559">
        <v>-0.012485746972476</v>
      </c>
      <c r="D1559">
        <v>0.017375191551909</v>
      </c>
      <c r="E1559">
        <v>0.04506040803869901</v>
      </c>
      <c r="F1559">
        <v>-0.007421928633541</v>
      </c>
      <c r="G1559">
        <v>-0.001781004240912</v>
      </c>
      <c r="H1559">
        <v>0.294174103091348</v>
      </c>
      <c r="I1559">
        <v>0.263194170296209</v>
      </c>
    </row>
    <row r="1560" spans="1:9">
      <c r="A1560" s="1" t="s">
        <v>1572</v>
      </c>
      <c r="B1560">
        <f>HYPERLINK("https://www.suredividend.com/sure-analysis-JKHY/","Jack Henry &amp; Associates, Inc.")</f>
        <v>0</v>
      </c>
      <c r="C1560">
        <v>0.08419857235561301</v>
      </c>
      <c r="D1560">
        <v>0.189898945536706</v>
      </c>
      <c r="E1560">
        <v>0.185748309559027</v>
      </c>
      <c r="F1560">
        <v>0.203793489584115</v>
      </c>
      <c r="G1560">
        <v>0.276643705036658</v>
      </c>
      <c r="H1560">
        <v>0.235989620868244</v>
      </c>
      <c r="I1560">
        <v>1.267660641514171</v>
      </c>
    </row>
    <row r="1561" spans="1:9">
      <c r="A1561" s="1" t="s">
        <v>1573</v>
      </c>
      <c r="B1561">
        <f>HYPERLINK("https://www.suredividend.com/sure-analysis-research-database/","Jones Lang Lasalle Inc.")</f>
        <v>0</v>
      </c>
      <c r="C1561">
        <v>-0.053012758431933</v>
      </c>
      <c r="D1561">
        <v>-0.116931050730328</v>
      </c>
      <c r="E1561">
        <v>-0.113310203437943</v>
      </c>
      <c r="F1561">
        <v>-0.164995915942674</v>
      </c>
      <c r="G1561">
        <v>0.255162406518584</v>
      </c>
      <c r="H1561">
        <v>1.103835360149672</v>
      </c>
      <c r="I1561">
        <v>1.171191027159678</v>
      </c>
    </row>
    <row r="1562" spans="1:9">
      <c r="A1562" s="1" t="s">
        <v>1574</v>
      </c>
      <c r="B1562">
        <f>HYPERLINK("https://www.suredividend.com/sure-analysis-research-database/","Jounce Therapeutics Inc")</f>
        <v>0</v>
      </c>
      <c r="C1562">
        <v>-0.07377049180327801</v>
      </c>
      <c r="D1562">
        <v>0.07961783439490401</v>
      </c>
      <c r="E1562">
        <v>-0.203290246768507</v>
      </c>
      <c r="F1562">
        <v>-0.188023952095808</v>
      </c>
      <c r="G1562">
        <v>-0.254125412541254</v>
      </c>
      <c r="H1562">
        <v>0.4303797468354431</v>
      </c>
      <c r="I1562">
        <v>-0.685090571295866</v>
      </c>
    </row>
    <row r="1563" spans="1:9">
      <c r="A1563" s="1" t="s">
        <v>1575</v>
      </c>
      <c r="B1563">
        <f>HYPERLINK("https://www.suredividend.com/sure-analysis-JNJ/","Johnson &amp; Johnson")</f>
        <v>0</v>
      </c>
      <c r="C1563">
        <v>0.030827412330964</v>
      </c>
      <c r="D1563">
        <v>0.078734420862327</v>
      </c>
      <c r="E1563">
        <v>0.129824993311486</v>
      </c>
      <c r="F1563">
        <v>0.058366656096727</v>
      </c>
      <c r="G1563">
        <v>0.137003556375215</v>
      </c>
      <c r="H1563">
        <v>0.265823675476302</v>
      </c>
      <c r="I1563">
        <v>0.6419686830297651</v>
      </c>
    </row>
    <row r="1564" spans="1:9">
      <c r="A1564" s="1" t="s">
        <v>1576</v>
      </c>
      <c r="B1564">
        <f>HYPERLINK("https://www.suredividend.com/sure-analysis-JNPR/","Juniper Networks Inc")</f>
        <v>0</v>
      </c>
      <c r="C1564">
        <v>0.028094820017559</v>
      </c>
      <c r="D1564">
        <v>0.020390379923318</v>
      </c>
      <c r="E1564">
        <v>0.243693908979873</v>
      </c>
      <c r="F1564">
        <v>-0.01018553738219</v>
      </c>
      <c r="G1564">
        <v>0.38733117447279</v>
      </c>
      <c r="H1564">
        <v>0.702175082249991</v>
      </c>
      <c r="I1564">
        <v>0.434316627539042</v>
      </c>
    </row>
    <row r="1565" spans="1:9">
      <c r="A1565" s="1" t="s">
        <v>1577</v>
      </c>
      <c r="B1565">
        <f>HYPERLINK("https://www.suredividend.com/sure-analysis-research-database/","GEE Group Inc")</f>
        <v>0</v>
      </c>
      <c r="C1565">
        <v>0.058660251665433</v>
      </c>
      <c r="D1565">
        <v>0.062395543175487</v>
      </c>
      <c r="E1565">
        <v>0.187175762606349</v>
      </c>
      <c r="F1565">
        <v>0.003684210526315</v>
      </c>
      <c r="G1565">
        <v>0.001926444833625</v>
      </c>
      <c r="H1565">
        <v>0.9727586206896551</v>
      </c>
      <c r="I1565">
        <v>-0.9091904761904761</v>
      </c>
    </row>
    <row r="1566" spans="1:9">
      <c r="A1566" s="1" t="s">
        <v>1578</v>
      </c>
      <c r="B1566">
        <f>HYPERLINK("https://www.suredividend.com/sure-analysis-research-database/","St. Joe Co.")</f>
        <v>0</v>
      </c>
      <c r="C1566">
        <v>0.09650112866817101</v>
      </c>
      <c r="D1566">
        <v>0.160408740989363</v>
      </c>
      <c r="E1566">
        <v>0.322524435731982</v>
      </c>
      <c r="F1566">
        <v>0.121839593681978</v>
      </c>
      <c r="G1566">
        <v>0.275241199763722</v>
      </c>
      <c r="H1566">
        <v>2.344080592973357</v>
      </c>
      <c r="I1566">
        <v>2.476264312977099</v>
      </c>
    </row>
    <row r="1567" spans="1:9">
      <c r="A1567" s="1" t="s">
        <v>1579</v>
      </c>
      <c r="B1567">
        <f>HYPERLINK("https://www.suredividend.com/sure-analysis-research-database/","Johnson Outdoors Inc")</f>
        <v>0</v>
      </c>
      <c r="C1567">
        <v>0.015249118185442</v>
      </c>
      <c r="D1567">
        <v>-0.119312688195806</v>
      </c>
      <c r="E1567">
        <v>-0.25354192949577</v>
      </c>
      <c r="F1567">
        <v>-0.143274218896124</v>
      </c>
      <c r="G1567">
        <v>-0.471602443490632</v>
      </c>
      <c r="H1567">
        <v>0.413744720630207</v>
      </c>
      <c r="I1567">
        <v>1.489038238123196</v>
      </c>
    </row>
    <row r="1568" spans="1:9">
      <c r="A1568" s="1" t="s">
        <v>1580</v>
      </c>
      <c r="B1568">
        <f>HYPERLINK("https://www.suredividend.com/sure-analysis-JPM/","JPMorgan Chase &amp; Co.")</f>
        <v>0</v>
      </c>
      <c r="C1568">
        <v>-0.08197380000393001</v>
      </c>
      <c r="D1568">
        <v>-0.195295297658431</v>
      </c>
      <c r="E1568">
        <v>-0.232840648983234</v>
      </c>
      <c r="F1568">
        <v>-0.19282321791661</v>
      </c>
      <c r="G1568">
        <v>-0.15637554532575</v>
      </c>
      <c r="H1568">
        <v>0.5290349330895671</v>
      </c>
      <c r="I1568">
        <v>0.707092582566323</v>
      </c>
    </row>
    <row r="1569" spans="1:9">
      <c r="A1569" s="1" t="s">
        <v>1581</v>
      </c>
      <c r="B1569">
        <f>HYPERLINK("https://www.suredividend.com/sure-analysis-research-database/","James River Group Holdings Ltd")</f>
        <v>0</v>
      </c>
      <c r="C1569">
        <v>0.118026740433379</v>
      </c>
      <c r="D1569">
        <v>-0.161850909694187</v>
      </c>
      <c r="E1569">
        <v>-0.368181901082037</v>
      </c>
      <c r="F1569">
        <v>-0.156322190987781</v>
      </c>
      <c r="G1569">
        <v>-0.507749144904442</v>
      </c>
      <c r="H1569">
        <v>-0.273451778170596</v>
      </c>
      <c r="I1569">
        <v>-0.30389103382946</v>
      </c>
    </row>
    <row r="1570" spans="1:9">
      <c r="A1570" s="1" t="s">
        <v>1582</v>
      </c>
      <c r="B1570">
        <f>HYPERLINK("https://www.suredividend.com/sure-analysis-research-database/","Coffee Holding Co Inc")</f>
        <v>0</v>
      </c>
      <c r="C1570">
        <v>-0.152808398950131</v>
      </c>
      <c r="D1570">
        <v>-0.275449505039394</v>
      </c>
      <c r="E1570">
        <v>-0.306073309685048</v>
      </c>
      <c r="F1570">
        <v>-0.252339479292133</v>
      </c>
      <c r="G1570">
        <v>-0.323241429919278</v>
      </c>
      <c r="H1570">
        <v>0.193536459103682</v>
      </c>
      <c r="I1570">
        <v>-0.291091979267328</v>
      </c>
    </row>
    <row r="1571" spans="1:9">
      <c r="A1571" s="1" t="s">
        <v>1583</v>
      </c>
      <c r="B1571">
        <f>HYPERLINK("https://www.suredividend.com/sure-analysis-research-database/","Nordstrom, Inc.")</f>
        <v>0</v>
      </c>
      <c r="C1571">
        <v>0.138053593054125</v>
      </c>
      <c r="D1571">
        <v>0.305229059782657</v>
      </c>
      <c r="E1571">
        <v>0.03470289501621</v>
      </c>
      <c r="F1571">
        <v>0.284460037042313</v>
      </c>
      <c r="G1571">
        <v>-0.189103347864826</v>
      </c>
      <c r="H1571">
        <v>0.694138925264103</v>
      </c>
      <c r="I1571">
        <v>-0.315192054803625</v>
      </c>
    </row>
    <row r="1572" spans="1:9">
      <c r="A1572" s="1" t="s">
        <v>1584</v>
      </c>
      <c r="B1572">
        <f>HYPERLINK("https://www.suredividend.com/sure-analysis-research-database/","Joint Corp")</f>
        <v>0</v>
      </c>
      <c r="C1572">
        <v>-0.02784222737819</v>
      </c>
      <c r="D1572">
        <v>-0.38943533697632</v>
      </c>
      <c r="E1572">
        <v>-0.578894472361809</v>
      </c>
      <c r="F1572">
        <v>-0.4897244633886431</v>
      </c>
      <c r="G1572">
        <v>-0.361158757385172</v>
      </c>
      <c r="H1572">
        <v>1.998211091234348</v>
      </c>
      <c r="I1572">
        <v>7.706493506493507</v>
      </c>
    </row>
    <row r="1573" spans="1:9">
      <c r="A1573" s="1" t="s">
        <v>1585</v>
      </c>
      <c r="B1573">
        <f>HYPERLINK("https://www.suredividend.com/sure-analysis-K/","Kellogg Co")</f>
        <v>0</v>
      </c>
      <c r="C1573">
        <v>0.113517060367454</v>
      </c>
      <c r="D1573">
        <v>0.014137870758676</v>
      </c>
      <c r="E1573">
        <v>0.118504091404918</v>
      </c>
      <c r="F1573">
        <v>0.06309836478933001</v>
      </c>
      <c r="G1573">
        <v>0.110903812226488</v>
      </c>
      <c r="H1573">
        <v>0.137401369640364</v>
      </c>
      <c r="I1573">
        <v>0.107725849275523</v>
      </c>
    </row>
    <row r="1574" spans="1:9">
      <c r="A1574" s="1" t="s">
        <v>1586</v>
      </c>
      <c r="B1574">
        <f>HYPERLINK("https://www.suredividend.com/sure-analysis-research-database/","Kadant, Inc.")</f>
        <v>0</v>
      </c>
      <c r="C1574">
        <v>-0.042770712771001</v>
      </c>
      <c r="D1574">
        <v>-0.100406999497372</v>
      </c>
      <c r="E1574">
        <v>-0.079671332039288</v>
      </c>
      <c r="F1574">
        <v>-0.177142678187887</v>
      </c>
      <c r="G1574">
        <v>0.05067720861313101</v>
      </c>
      <c r="H1574">
        <v>1.5887691372959</v>
      </c>
      <c r="I1574">
        <v>2.421124967448858</v>
      </c>
    </row>
    <row r="1575" spans="1:9">
      <c r="A1575" s="1" t="s">
        <v>1587</v>
      </c>
      <c r="B1575">
        <f>HYPERLINK("https://www.suredividend.com/sure-analysis-research-database/","Kala Pharmaceuticals Inc")</f>
        <v>0</v>
      </c>
      <c r="C1575">
        <v>-0.526333333333333</v>
      </c>
      <c r="D1575">
        <v>-0.180192307692307</v>
      </c>
      <c r="E1575">
        <v>-0.6142081447963801</v>
      </c>
      <c r="F1575">
        <v>-0.295371900826446</v>
      </c>
      <c r="G1575">
        <v>-0.8858634538152611</v>
      </c>
      <c r="H1575">
        <v>-0.908421052631578</v>
      </c>
      <c r="I1575">
        <v>-0.9538885884261761</v>
      </c>
    </row>
    <row r="1576" spans="1:9">
      <c r="A1576" s="1" t="s">
        <v>1588</v>
      </c>
      <c r="B1576">
        <f>HYPERLINK("https://www.suredividend.com/sure-analysis-research-database/","Kaiser Aluminum Corp")</f>
        <v>0</v>
      </c>
      <c r="C1576">
        <v>0.105257369115705</v>
      </c>
      <c r="D1576">
        <v>-0.042841168211925</v>
      </c>
      <c r="E1576">
        <v>-0.128315981770015</v>
      </c>
      <c r="F1576">
        <v>0.07800143318729601</v>
      </c>
      <c r="G1576">
        <v>-0.102751033724739</v>
      </c>
      <c r="H1576">
        <v>0.4721458404445291</v>
      </c>
      <c r="I1576">
        <v>0.488035301782858</v>
      </c>
    </row>
    <row r="1577" spans="1:9">
      <c r="A1577" s="1" t="s">
        <v>1589</v>
      </c>
      <c r="B1577">
        <f>HYPERLINK("https://www.suredividend.com/sure-analysis-research-database/","KalVista Pharmaceuticals Inc")</f>
        <v>0</v>
      </c>
      <c r="C1577">
        <v>-0.005540166204986</v>
      </c>
      <c r="D1577">
        <v>0.145135566188197</v>
      </c>
      <c r="E1577">
        <v>-0.165601394538059</v>
      </c>
      <c r="F1577">
        <v>0.085411942554799</v>
      </c>
      <c r="G1577">
        <v>-0.412678936605316</v>
      </c>
      <c r="H1577">
        <v>0.426017874875868</v>
      </c>
      <c r="I1577">
        <v>0.961748633879781</v>
      </c>
    </row>
    <row r="1578" spans="1:9">
      <c r="A1578" s="1" t="s">
        <v>1590</v>
      </c>
      <c r="B1578">
        <f>HYPERLINK("https://www.suredividend.com/sure-analysis-research-database/","Kaman Corp.")</f>
        <v>0</v>
      </c>
      <c r="C1578">
        <v>0.002820874471086</v>
      </c>
      <c r="D1578">
        <v>-0.041488321930504</v>
      </c>
      <c r="E1578">
        <v>0.131670048943535</v>
      </c>
      <c r="F1578">
        <v>-0.006613263785395</v>
      </c>
      <c r="G1578">
        <v>-0.181251307483701</v>
      </c>
      <c r="H1578">
        <v>0.248335698713915</v>
      </c>
      <c r="I1578">
        <v>-0.0009999367721470001</v>
      </c>
    </row>
    <row r="1579" spans="1:9">
      <c r="A1579" s="1" t="s">
        <v>1591</v>
      </c>
      <c r="B1579">
        <f>HYPERLINK("https://www.suredividend.com/sure-analysis-research-database/","KAR Auction Services Inc")</f>
        <v>0</v>
      </c>
      <c r="C1579">
        <v>-0.06139882541377401</v>
      </c>
      <c r="D1579">
        <v>0.07654623392529</v>
      </c>
      <c r="E1579">
        <v>0.119032463399108</v>
      </c>
      <c r="F1579">
        <v>0.125480153649167</v>
      </c>
      <c r="G1579">
        <v>0.137128072445019</v>
      </c>
      <c r="H1579">
        <v>0.430431244914564</v>
      </c>
      <c r="I1579">
        <v>0.20783236001374</v>
      </c>
    </row>
    <row r="1580" spans="1:9">
      <c r="A1580" s="1" t="s">
        <v>1592</v>
      </c>
      <c r="B1580">
        <f>HYPERLINK("https://www.suredividend.com/sure-analysis-research-database/","Kimball International, Inc.")</f>
        <v>0</v>
      </c>
      <c r="C1580">
        <v>-0.113809070164166</v>
      </c>
      <c r="D1580">
        <v>-0.244663072521786</v>
      </c>
      <c r="E1580">
        <v>-0.261543005889194</v>
      </c>
      <c r="F1580">
        <v>-0.209962374458083</v>
      </c>
      <c r="G1580">
        <v>-0.4089747188936</v>
      </c>
      <c r="H1580">
        <v>-0.221630877903073</v>
      </c>
      <c r="I1580">
        <v>-0.464370601980489</v>
      </c>
    </row>
    <row r="1581" spans="1:9">
      <c r="A1581" s="1" t="s">
        <v>1593</v>
      </c>
      <c r="B1581">
        <f>HYPERLINK("https://www.suredividend.com/sure-analysis-research-database/","KB Home")</f>
        <v>0</v>
      </c>
      <c r="C1581">
        <v>-0.106566200215285</v>
      </c>
      <c r="D1581">
        <v>-0.3205451192832151</v>
      </c>
      <c r="E1581">
        <v>-0.161696604871249</v>
      </c>
      <c r="F1581">
        <v>-0.255074245762673</v>
      </c>
      <c r="G1581">
        <v>-0.32220275936973</v>
      </c>
      <c r="H1581">
        <v>0.6893181159014701</v>
      </c>
      <c r="I1581">
        <v>0.7484911364139081</v>
      </c>
    </row>
    <row r="1582" spans="1:9">
      <c r="A1582" s="1" t="s">
        <v>1594</v>
      </c>
      <c r="B1582">
        <f>HYPERLINK("https://www.suredividend.com/sure-analysis-research-database/","KBR Inc")</f>
        <v>0</v>
      </c>
      <c r="C1582">
        <v>0.07677652886264001</v>
      </c>
      <c r="D1582">
        <v>0.183754167853492</v>
      </c>
      <c r="E1582">
        <v>0.338549856956101</v>
      </c>
      <c r="F1582">
        <v>0.189471535390566</v>
      </c>
      <c r="G1582">
        <v>0.4320244447484831</v>
      </c>
      <c r="H1582">
        <v>2.071872690116961</v>
      </c>
      <c r="I1582">
        <v>3.172295426863028</v>
      </c>
    </row>
    <row r="1583" spans="1:9">
      <c r="A1583" s="1" t="s">
        <v>1595</v>
      </c>
      <c r="B1583">
        <f>HYPERLINK("https://www.suredividend.com/sure-analysis-research-database/","Kadmon Holdings Inc")</f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 t="s">
        <v>1596</v>
      </c>
      <c r="B1584">
        <f>HYPERLINK("https://www.suredividend.com/sure-analysis-KDP/","Keurig Dr Pepper Inc")</f>
        <v>0</v>
      </c>
      <c r="C1584">
        <v>-0.0009630887517130001</v>
      </c>
      <c r="D1584">
        <v>-0.04725112505724401</v>
      </c>
      <c r="E1584">
        <v>0.065229579285804</v>
      </c>
      <c r="F1584">
        <v>0.020433327944363</v>
      </c>
      <c r="G1584">
        <v>0.055824898641943</v>
      </c>
      <c r="H1584">
        <v>0.454375036613227</v>
      </c>
      <c r="I1584">
        <v>-0.6076989605707951</v>
      </c>
    </row>
    <row r="1585" spans="1:9">
      <c r="A1585" s="1" t="s">
        <v>1597</v>
      </c>
      <c r="B1585">
        <f>HYPERLINK("https://www.suredividend.com/sure-analysis-research-database/","Kimball Electronics Inc")</f>
        <v>0</v>
      </c>
      <c r="C1585">
        <v>-0.08566895822316201</v>
      </c>
      <c r="D1585">
        <v>-0.213733515234197</v>
      </c>
      <c r="E1585">
        <v>-0.3986086956521731</v>
      </c>
      <c r="F1585">
        <v>-0.205422794117647</v>
      </c>
      <c r="G1585">
        <v>-0.250216825672159</v>
      </c>
      <c r="H1585">
        <v>0.500868055555555</v>
      </c>
      <c r="I1585">
        <v>0.077258566978193</v>
      </c>
    </row>
    <row r="1586" spans="1:9">
      <c r="A1586" s="1" t="s">
        <v>1598</v>
      </c>
      <c r="B1586">
        <f>HYPERLINK("https://www.suredividend.com/sure-analysis-research-database/","Kelly Services, Inc.")</f>
        <v>0</v>
      </c>
      <c r="C1586">
        <v>-0.024321796071094</v>
      </c>
      <c r="D1586">
        <v>0.136952031089043</v>
      </c>
      <c r="E1586">
        <v>0.065372829417773</v>
      </c>
      <c r="F1586">
        <v>0.246779948718255</v>
      </c>
      <c r="G1586">
        <v>-0.117642082466203</v>
      </c>
      <c r="H1586">
        <v>0.6707246748253981</v>
      </c>
      <c r="I1586">
        <v>0.06540547718520401</v>
      </c>
    </row>
    <row r="1587" spans="1:9">
      <c r="A1587" s="1" t="s">
        <v>1599</v>
      </c>
      <c r="B1587">
        <f>HYPERLINK("https://www.suredividend.com/sure-analysis-research-database/","Kewaunee Scientific Corporation")</f>
        <v>0</v>
      </c>
      <c r="C1587">
        <v>-0.021739130434782</v>
      </c>
      <c r="D1587">
        <v>0.10133843212237</v>
      </c>
      <c r="E1587">
        <v>0.09091735543451</v>
      </c>
      <c r="F1587">
        <v>0.133858267716535</v>
      </c>
      <c r="G1587">
        <v>0.190082644628099</v>
      </c>
      <c r="H1587">
        <v>0.846153846153846</v>
      </c>
      <c r="I1587">
        <v>-0.319342030629608</v>
      </c>
    </row>
    <row r="1588" spans="1:9">
      <c r="A1588" s="1" t="s">
        <v>1600</v>
      </c>
      <c r="B1588">
        <f>HYPERLINK("https://www.suredividend.com/sure-analysis-research-database/","Kirby Corp.")</f>
        <v>0</v>
      </c>
      <c r="C1588">
        <v>-0.021892447840141</v>
      </c>
      <c r="D1588">
        <v>-0.005378753922008</v>
      </c>
      <c r="E1588">
        <v>0.21878432808495</v>
      </c>
      <c r="F1588">
        <v>0.120329855267586</v>
      </c>
      <c r="G1588">
        <v>0.07077368505710101</v>
      </c>
      <c r="H1588">
        <v>0.485274431057563</v>
      </c>
      <c r="I1588">
        <v>-0.002696629213483</v>
      </c>
    </row>
    <row r="1589" spans="1:9">
      <c r="A1589" s="1" t="s">
        <v>1601</v>
      </c>
      <c r="B1589">
        <f>HYPERLINK("https://www.suredividend.com/sure-analysis-KEY/","Keycorp")</f>
        <v>0</v>
      </c>
      <c r="C1589">
        <v>-0.15927750410509</v>
      </c>
      <c r="D1589">
        <v>-0.235872217537628</v>
      </c>
      <c r="E1589">
        <v>-0.09572988462608301</v>
      </c>
      <c r="F1589">
        <v>-0.107691369266764</v>
      </c>
      <c r="G1589">
        <v>0.02372359462945</v>
      </c>
      <c r="H1589">
        <v>1.287194835942909</v>
      </c>
      <c r="I1589">
        <v>0.444807370775102</v>
      </c>
    </row>
    <row r="1590" spans="1:9">
      <c r="A1590" s="1" t="s">
        <v>1602</v>
      </c>
      <c r="B1590">
        <f>HYPERLINK("https://www.suredividend.com/sure-analysis-research-database/","Keysight Technologies Inc")</f>
        <v>0</v>
      </c>
      <c r="C1590">
        <v>-0.06787125186192601</v>
      </c>
      <c r="D1590">
        <v>-0.230896654910761</v>
      </c>
      <c r="E1590">
        <v>-0.1468792602691</v>
      </c>
      <c r="F1590">
        <v>-0.303036172582441</v>
      </c>
      <c r="G1590">
        <v>-0.010110041265474</v>
      </c>
      <c r="H1590">
        <v>0.490267136053013</v>
      </c>
      <c r="I1590">
        <v>3.077337110481586</v>
      </c>
    </row>
    <row r="1591" spans="1:9">
      <c r="A1591" s="1" t="s">
        <v>1603</v>
      </c>
      <c r="B1591">
        <f>HYPERLINK("https://www.suredividend.com/sure-analysis-research-database/","Kentucky First Federal Bancorp")</f>
        <v>0</v>
      </c>
      <c r="C1591">
        <v>-0.06649550706033301</v>
      </c>
      <c r="D1591">
        <v>0.008375395196627</v>
      </c>
      <c r="E1591">
        <v>0.033174682105562</v>
      </c>
      <c r="F1591">
        <v>-0.020289386468353</v>
      </c>
      <c r="G1591">
        <v>0.06843760101084301</v>
      </c>
      <c r="H1591">
        <v>0.4884558703127561</v>
      </c>
      <c r="I1591">
        <v>-0.07509157509157501</v>
      </c>
    </row>
    <row r="1592" spans="1:9">
      <c r="A1592" s="1" t="s">
        <v>1604</v>
      </c>
      <c r="B1592">
        <f>HYPERLINK("https://www.suredividend.com/sure-analysis-research-database/","Kforce Inc.")</f>
        <v>0</v>
      </c>
      <c r="C1592">
        <v>0.000137381508448</v>
      </c>
      <c r="D1592">
        <v>0.009327965039541001</v>
      </c>
      <c r="E1592">
        <v>0.139654659590788</v>
      </c>
      <c r="F1592">
        <v>-0.027975090526495</v>
      </c>
      <c r="G1592">
        <v>0.31165971799316</v>
      </c>
      <c r="H1592">
        <v>1.895587808302541</v>
      </c>
      <c r="I1592">
        <v>2.744374437443744</v>
      </c>
    </row>
    <row r="1593" spans="1:9">
      <c r="A1593" s="1" t="s">
        <v>1605</v>
      </c>
      <c r="B1593">
        <f>HYPERLINK("https://www.suredividend.com/sure-analysis-research-database/","Korn Ferry")</f>
        <v>0</v>
      </c>
      <c r="C1593">
        <v>0.002945703965159</v>
      </c>
      <c r="D1593">
        <v>-0.102765549807383</v>
      </c>
      <c r="E1593">
        <v>-0.123384822171777</v>
      </c>
      <c r="F1593">
        <v>-0.13037023880688</v>
      </c>
      <c r="G1593">
        <v>0.018698655553778</v>
      </c>
      <c r="H1593">
        <v>1.629648778962809</v>
      </c>
      <c r="I1593">
        <v>1.258162218719238</v>
      </c>
    </row>
    <row r="1594" spans="1:9">
      <c r="A1594" s="1" t="s">
        <v>1606</v>
      </c>
      <c r="B1594">
        <f>HYPERLINK("https://www.suredividend.com/sure-analysis-KHC/","Kraft Heinz Co")</f>
        <v>0</v>
      </c>
      <c r="C1594">
        <v>0.122346072186836</v>
      </c>
      <c r="D1594">
        <v>0.124085301833782</v>
      </c>
      <c r="E1594">
        <v>0.168751848197679</v>
      </c>
      <c r="F1594">
        <v>0.190466136882493</v>
      </c>
      <c r="G1594">
        <v>0.07570096072890201</v>
      </c>
      <c r="H1594">
        <v>0.580568242127058</v>
      </c>
      <c r="I1594">
        <v>-0.421787495624781</v>
      </c>
    </row>
    <row r="1595" spans="1:9">
      <c r="A1595" s="1" t="s">
        <v>1607</v>
      </c>
      <c r="B1595">
        <f>HYPERLINK("https://www.suredividend.com/sure-analysis-research-database/","OrthoPediatrics corp")</f>
        <v>0</v>
      </c>
      <c r="C1595">
        <v>0.018808777429466</v>
      </c>
      <c r="D1595">
        <v>-0.08724957873057401</v>
      </c>
      <c r="E1595">
        <v>-0.22532973144764</v>
      </c>
      <c r="F1595">
        <v>-0.185599732709655</v>
      </c>
      <c r="G1595">
        <v>-0.04970760233918101</v>
      </c>
      <c r="H1595">
        <v>0.157957244655581</v>
      </c>
      <c r="I1595">
        <v>1.536420395421436</v>
      </c>
    </row>
    <row r="1596" spans="1:9">
      <c r="A1596" s="1" t="s">
        <v>1608</v>
      </c>
      <c r="B1596">
        <f>HYPERLINK("https://www.suredividend.com/sure-analysis-KIM/","Kimco Realty Corp.")</f>
        <v>0</v>
      </c>
      <c r="C1596">
        <v>0.052785923753665</v>
      </c>
      <c r="D1596">
        <v>0.012926604136352</v>
      </c>
      <c r="E1596">
        <v>0.133585341428867</v>
      </c>
      <c r="F1596">
        <v>0.027719387212602</v>
      </c>
      <c r="G1596">
        <v>0.314248059745204</v>
      </c>
      <c r="H1596">
        <v>2.141642705338167</v>
      </c>
      <c r="I1596">
        <v>0.461173939587754</v>
      </c>
    </row>
    <row r="1597" spans="1:9">
      <c r="A1597" s="1" t="s">
        <v>1609</v>
      </c>
      <c r="B1597">
        <f>HYPERLINK("https://www.suredividend.com/sure-analysis-research-database/","Kindred Biosciences Inc")</f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1610</v>
      </c>
      <c r="B1598">
        <f>HYPERLINK("https://www.suredividend.com/sure-analysis-research-database/","Kingstone Cos. Inc")</f>
        <v>0</v>
      </c>
      <c r="C1598">
        <v>-0.08076923076923001</v>
      </c>
      <c r="D1598">
        <v>-0.114437630842766</v>
      </c>
      <c r="E1598">
        <v>-0.206401912604595</v>
      </c>
      <c r="F1598">
        <v>-0.036639929058003</v>
      </c>
      <c r="G1598">
        <v>-0.426507816530492</v>
      </c>
      <c r="H1598">
        <v>-0.04712542859421</v>
      </c>
      <c r="I1598">
        <v>-0.643374069266007</v>
      </c>
    </row>
    <row r="1599" spans="1:9">
      <c r="A1599" s="1" t="s">
        <v>1611</v>
      </c>
      <c r="B1599">
        <f>HYPERLINK("https://www.suredividend.com/sure-analysis-research-database/","Kirkland`s Inc")</f>
        <v>0</v>
      </c>
      <c r="C1599">
        <v>-0.256191289496157</v>
      </c>
      <c r="D1599">
        <v>-0.481856038072575</v>
      </c>
      <c r="E1599">
        <v>-0.610116383169203</v>
      </c>
      <c r="F1599">
        <v>-0.416610850636302</v>
      </c>
      <c r="G1599">
        <v>-0.6912442396313361</v>
      </c>
      <c r="H1599">
        <v>9.706822372464661</v>
      </c>
      <c r="I1599">
        <v>-0.285479901558654</v>
      </c>
    </row>
    <row r="1600" spans="1:9">
      <c r="A1600" s="1" t="s">
        <v>1612</v>
      </c>
      <c r="B1600">
        <f>HYPERLINK("https://www.suredividend.com/sure-analysis-KKR/","KKR &amp; Co. Inc.")</f>
        <v>0</v>
      </c>
      <c r="C1600">
        <v>-0.003786512802019</v>
      </c>
      <c r="D1600">
        <v>-0.202030093214439</v>
      </c>
      <c r="E1600">
        <v>-0.162028119454597</v>
      </c>
      <c r="F1600">
        <v>-0.256656123068146</v>
      </c>
      <c r="G1600">
        <v>0.04578355214343</v>
      </c>
      <c r="H1600">
        <v>1.449567723342939</v>
      </c>
      <c r="I1600">
        <v>1.945488471278155</v>
      </c>
    </row>
    <row r="1601" spans="1:9">
      <c r="A1601" s="1" t="s">
        <v>1613</v>
      </c>
      <c r="B1601">
        <f>HYPERLINK("https://www.suredividend.com/sure-analysis-KLAC/","KLA Corp.")</f>
        <v>0</v>
      </c>
      <c r="C1601">
        <v>-0.08389376496067401</v>
      </c>
      <c r="D1601">
        <v>-0.275621280709146</v>
      </c>
      <c r="E1601">
        <v>-0.01801707137673</v>
      </c>
      <c r="F1601">
        <v>-0.250543943120789</v>
      </c>
      <c r="G1601">
        <v>-0.023444263600789</v>
      </c>
      <c r="H1601">
        <v>1.108792934481008</v>
      </c>
      <c r="I1601">
        <v>2.732107407794379</v>
      </c>
    </row>
    <row r="1602" spans="1:9">
      <c r="A1602" s="1" t="s">
        <v>1614</v>
      </c>
      <c r="B1602">
        <f>HYPERLINK("https://www.suredividend.com/sure-analysis-KLIC/","Kulicke &amp; Soffa Industries, Inc.")</f>
        <v>0</v>
      </c>
      <c r="C1602">
        <v>-0.134881724355301</v>
      </c>
      <c r="D1602">
        <v>-0.152309414515562</v>
      </c>
      <c r="E1602">
        <v>0.046539203820614</v>
      </c>
      <c r="F1602">
        <v>-0.15202997629527</v>
      </c>
      <c r="G1602">
        <v>-0.04940882848319501</v>
      </c>
      <c r="H1602">
        <v>1.229451935472631</v>
      </c>
      <c r="I1602">
        <v>1.839503433585906</v>
      </c>
    </row>
    <row r="1603" spans="1:9">
      <c r="A1603" s="1" t="s">
        <v>1615</v>
      </c>
      <c r="B1603">
        <f>HYPERLINK("https://www.suredividend.com/sure-analysis-research-database/","KLX Energy Services Holdings Inc")</f>
        <v>0</v>
      </c>
      <c r="C1603">
        <v>-0.133333333333333</v>
      </c>
      <c r="D1603">
        <v>0.377483443708609</v>
      </c>
      <c r="E1603">
        <v>0.347732181425486</v>
      </c>
      <c r="F1603">
        <v>1.012903225806451</v>
      </c>
      <c r="G1603">
        <v>-0.282758620689655</v>
      </c>
      <c r="H1603">
        <v>0.5520457654520581</v>
      </c>
      <c r="I1603">
        <v>-0.95838612870957</v>
      </c>
    </row>
    <row r="1604" spans="1:9">
      <c r="A1604" s="1" t="s">
        <v>1616</v>
      </c>
      <c r="B1604">
        <f>HYPERLINK("https://www.suredividend.com/sure-analysis-KMB/","Kimberly-Clark Corp.")</f>
        <v>0</v>
      </c>
      <c r="C1604">
        <v>0.041179377367814</v>
      </c>
      <c r="D1604">
        <v>-0.109218970634242</v>
      </c>
      <c r="E1604">
        <v>-0.035243158101988</v>
      </c>
      <c r="F1604">
        <v>-0.107473795015493</v>
      </c>
      <c r="G1604">
        <v>-0.06036148061819</v>
      </c>
      <c r="H1604">
        <v>-0.034334518072427</v>
      </c>
      <c r="I1604">
        <v>0.112537742416095</v>
      </c>
    </row>
    <row r="1605" spans="1:9">
      <c r="A1605" s="1" t="s">
        <v>1617</v>
      </c>
      <c r="B1605">
        <f>HYPERLINK("https://www.suredividend.com/sure-analysis-KMI/","Kinder Morgan Inc")</f>
        <v>0</v>
      </c>
      <c r="C1605">
        <v>0.122898550724637</v>
      </c>
      <c r="D1605">
        <v>0.099712155878662</v>
      </c>
      <c r="E1605">
        <v>0.082606751620836</v>
      </c>
      <c r="F1605">
        <v>0.24047390329811</v>
      </c>
      <c r="G1605">
        <v>0.246075858164788</v>
      </c>
      <c r="H1605">
        <v>0.575885774722369</v>
      </c>
      <c r="I1605">
        <v>0.17385402273774</v>
      </c>
    </row>
    <row r="1606" spans="1:9">
      <c r="A1606" s="1" t="s">
        <v>1618</v>
      </c>
      <c r="B1606">
        <f>HYPERLINK("https://www.suredividend.com/sure-analysis-research-database/","KemPharm Inc")</f>
        <v>0</v>
      </c>
      <c r="C1606">
        <v>-0.19281663516068</v>
      </c>
      <c r="D1606">
        <v>-0.478632478632478</v>
      </c>
      <c r="E1606">
        <v>-0.562947799385875</v>
      </c>
      <c r="F1606">
        <v>-0.5097588978185991</v>
      </c>
      <c r="G1606">
        <v>-0.503488372093023</v>
      </c>
      <c r="H1606">
        <v>17.1624840493407</v>
      </c>
      <c r="I1606">
        <v>-0.091489361702127</v>
      </c>
    </row>
    <row r="1607" spans="1:9">
      <c r="A1607" s="1" t="s">
        <v>1619</v>
      </c>
      <c r="B1607">
        <f>HYPERLINK("https://www.suredividend.com/sure-analysis-research-database/","Kemper Corporation")</f>
        <v>0</v>
      </c>
      <c r="C1607">
        <v>0.039510818438381</v>
      </c>
      <c r="D1607">
        <v>-0.13156786188078</v>
      </c>
      <c r="E1607">
        <v>-0.155369252689059</v>
      </c>
      <c r="F1607">
        <v>-0.054606930372869</v>
      </c>
      <c r="G1607">
        <v>-0.319878624492986</v>
      </c>
      <c r="H1607">
        <v>-0.13489798059353</v>
      </c>
      <c r="I1607">
        <v>0.5312216793275371</v>
      </c>
    </row>
    <row r="1608" spans="1:9">
      <c r="A1608" s="1" t="s">
        <v>1620</v>
      </c>
      <c r="B1608">
        <f>HYPERLINK("https://www.suredividend.com/sure-analysis-research-database/","Kennametal Inc.")</f>
        <v>0</v>
      </c>
      <c r="C1608">
        <v>-0.115548281505728</v>
      </c>
      <c r="D1608">
        <v>-0.262431791318969</v>
      </c>
      <c r="E1608">
        <v>-0.25838502497667</v>
      </c>
      <c r="F1608">
        <v>-0.242920946600989</v>
      </c>
      <c r="G1608">
        <v>-0.346482688563447</v>
      </c>
      <c r="H1608">
        <v>0.307088366333041</v>
      </c>
      <c r="I1608">
        <v>-0.168123937834043</v>
      </c>
    </row>
    <row r="1609" spans="1:9">
      <c r="A1609" s="1" t="s">
        <v>1621</v>
      </c>
      <c r="B1609">
        <f>HYPERLINK("https://www.suredividend.com/sure-analysis-research-database/","Carmax Inc")</f>
        <v>0</v>
      </c>
      <c r="C1609">
        <v>-0.100274455989021</v>
      </c>
      <c r="D1609">
        <v>-0.190564373897707</v>
      </c>
      <c r="E1609">
        <v>-0.328971416039184</v>
      </c>
      <c r="F1609">
        <v>-0.295170083698072</v>
      </c>
      <c r="G1609">
        <v>-0.293760098484265</v>
      </c>
      <c r="H1609">
        <v>0.553919079058744</v>
      </c>
      <c r="I1609">
        <v>0.6577569080729631</v>
      </c>
    </row>
    <row r="1610" spans="1:9">
      <c r="A1610" s="1" t="s">
        <v>1622</v>
      </c>
      <c r="B1610">
        <f>HYPERLINK("https://www.suredividend.com/sure-analysis-research-database/","Knowles Corp")</f>
        <v>0</v>
      </c>
      <c r="C1610">
        <v>-0.117702008407286</v>
      </c>
      <c r="D1610">
        <v>-0.18401727861771</v>
      </c>
      <c r="E1610">
        <v>-0.036224489795918</v>
      </c>
      <c r="F1610">
        <v>-0.191006423982869</v>
      </c>
      <c r="G1610">
        <v>-0.115222482435597</v>
      </c>
      <c r="H1610">
        <v>0.285034013605442</v>
      </c>
      <c r="I1610">
        <v>0.02052944354403</v>
      </c>
    </row>
    <row r="1611" spans="1:9">
      <c r="A1611" s="1" t="s">
        <v>1623</v>
      </c>
      <c r="B1611">
        <f>HYPERLINK("https://www.suredividend.com/sure-analysis-research-database/","Knoll Inc")</f>
        <v>0</v>
      </c>
      <c r="C1611">
        <v>-0.013126491646778</v>
      </c>
      <c r="D1611">
        <v>0.4431382585782671</v>
      </c>
      <c r="E1611">
        <v>0.5910271455780211</v>
      </c>
      <c r="F1611">
        <v>0.6994081867499581</v>
      </c>
      <c r="G1611">
        <v>1.010111321763648</v>
      </c>
      <c r="H1611">
        <v>0.11670237473669</v>
      </c>
      <c r="I1611">
        <v>0.127332706280074</v>
      </c>
    </row>
    <row r="1612" spans="1:9">
      <c r="A1612" s="1" t="s">
        <v>1624</v>
      </c>
      <c r="B1612">
        <f>HYPERLINK("https://www.suredividend.com/sure-analysis-research-database/","Kiniksa Pharmaceuticals Ltd")</f>
        <v>0</v>
      </c>
      <c r="C1612">
        <v>0.108588351431391</v>
      </c>
      <c r="D1612">
        <v>-0.008826125330979</v>
      </c>
      <c r="E1612">
        <v>-0.019213973799126</v>
      </c>
      <c r="F1612">
        <v>-0.045879354290569</v>
      </c>
      <c r="G1612">
        <v>-0.281509916826615</v>
      </c>
      <c r="H1612">
        <v>-0.364819004524886</v>
      </c>
      <c r="I1612">
        <v>-0.4232152028762191</v>
      </c>
    </row>
    <row r="1613" spans="1:9">
      <c r="A1613" s="1" t="s">
        <v>1625</v>
      </c>
      <c r="B1613">
        <f>HYPERLINK("https://www.suredividend.com/sure-analysis-research-database/","Kinsale Capital Group Inc")</f>
        <v>0</v>
      </c>
      <c r="C1613">
        <v>0.06670042349475201</v>
      </c>
      <c r="D1613">
        <v>0.125764723771547</v>
      </c>
      <c r="E1613">
        <v>0.4020662219600361</v>
      </c>
      <c r="F1613">
        <v>-0.025290377071673</v>
      </c>
      <c r="G1613">
        <v>0.378114778471602</v>
      </c>
      <c r="H1613">
        <v>1.118776955591905</v>
      </c>
      <c r="I1613">
        <v>6.282206313989956</v>
      </c>
    </row>
    <row r="1614" spans="1:9">
      <c r="A1614" s="1" t="s">
        <v>1626</v>
      </c>
      <c r="B1614">
        <f>HYPERLINK("https://www.suredividend.com/sure-analysis-research-database/","Knight-Swift Transportation Holdings Inc")</f>
        <v>0</v>
      </c>
      <c r="C1614">
        <v>-0.181478848204763</v>
      </c>
      <c r="D1614">
        <v>-0.187321868189077</v>
      </c>
      <c r="E1614">
        <v>-0.065230850426786</v>
      </c>
      <c r="F1614">
        <v>-0.242664701925654</v>
      </c>
      <c r="G1614">
        <v>-0.074215545941425</v>
      </c>
      <c r="H1614">
        <v>0.319556078984242</v>
      </c>
      <c r="I1614">
        <v>0.500273665554628</v>
      </c>
    </row>
    <row r="1615" spans="1:9">
      <c r="A1615" s="1" t="s">
        <v>1627</v>
      </c>
      <c r="B1615">
        <f>HYPERLINK("https://www.suredividend.com/sure-analysis-KO/","Coca-Cola Co")</f>
        <v>0</v>
      </c>
      <c r="C1615">
        <v>0.09350824083417401</v>
      </c>
      <c r="D1615">
        <v>0.06723831159025301</v>
      </c>
      <c r="E1615">
        <v>0.211926911599419</v>
      </c>
      <c r="F1615">
        <v>0.106531291588524</v>
      </c>
      <c r="G1615">
        <v>0.248610148270054</v>
      </c>
      <c r="H1615">
        <v>0.471090647872665</v>
      </c>
      <c r="I1615">
        <v>0.7731260413911211</v>
      </c>
    </row>
    <row r="1616" spans="1:9">
      <c r="A1616" s="1" t="s">
        <v>1628</v>
      </c>
      <c r="B1616">
        <f>HYPERLINK("https://www.suredividend.com/sure-analysis-research-database/","Kodiak Sciences Inc")</f>
        <v>0</v>
      </c>
      <c r="C1616">
        <v>-0.13358302122347</v>
      </c>
      <c r="D1616">
        <v>-0.893443881467833</v>
      </c>
      <c r="E1616">
        <v>-0.9380191122622131</v>
      </c>
      <c r="F1616">
        <v>-0.9181410710073131</v>
      </c>
      <c r="G1616">
        <v>-0.939594394638349</v>
      </c>
      <c r="H1616">
        <v>-0.8627644848724541</v>
      </c>
      <c r="I1616">
        <v>-0.316929133858267</v>
      </c>
    </row>
    <row r="1617" spans="1:9">
      <c r="A1617" s="1" t="s">
        <v>1629</v>
      </c>
      <c r="B1617">
        <f>HYPERLINK("https://www.suredividend.com/sure-analysis-research-database/","Eastman Kodak Co.")</f>
        <v>0</v>
      </c>
      <c r="C1617">
        <v>0.390134529147982</v>
      </c>
      <c r="D1617">
        <v>0.374722838137472</v>
      </c>
      <c r="E1617">
        <v>-0.115549215406562</v>
      </c>
      <c r="F1617">
        <v>0.324786324786324</v>
      </c>
      <c r="G1617">
        <v>-0.164420485175202</v>
      </c>
      <c r="H1617">
        <v>1.924528301886792</v>
      </c>
      <c r="I1617">
        <v>-0.364102564102564</v>
      </c>
    </row>
    <row r="1618" spans="1:9">
      <c r="A1618" s="1" t="s">
        <v>1630</v>
      </c>
      <c r="B1618">
        <f>HYPERLINK("https://www.suredividend.com/sure-analysis-research-database/","Manycore Tech Inc")</f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1631</v>
      </c>
      <c r="B1619">
        <f>HYPERLINK("https://www.suredividend.com/sure-analysis-research-database/","Koppers Holdings Inc")</f>
        <v>0</v>
      </c>
      <c r="C1619">
        <v>-0.06902532084634</v>
      </c>
      <c r="D1619">
        <v>-0.145372625813949</v>
      </c>
      <c r="E1619">
        <v>-0.196217069306812</v>
      </c>
      <c r="F1619">
        <v>-0.141004551011656</v>
      </c>
      <c r="G1619">
        <v>-0.221807933847875</v>
      </c>
      <c r="H1619">
        <v>1.383553128191465</v>
      </c>
      <c r="I1619">
        <v>-0.334492103912462</v>
      </c>
    </row>
    <row r="1620" spans="1:9">
      <c r="A1620" s="1" t="s">
        <v>1632</v>
      </c>
      <c r="B1620">
        <f>HYPERLINK("https://www.suredividend.com/sure-analysis-research-database/","Kopin Corp.")</f>
        <v>0</v>
      </c>
      <c r="C1620">
        <v>-0.163793103448275</v>
      </c>
      <c r="D1620">
        <v>-0.445714285714285</v>
      </c>
      <c r="E1620">
        <v>-0.586353944562899</v>
      </c>
      <c r="F1620">
        <v>-0.5256723716381411</v>
      </c>
      <c r="G1620">
        <v>-0.7645631067961161</v>
      </c>
      <c r="H1620">
        <v>4.434173669467787</v>
      </c>
      <c r="I1620">
        <v>-0.468493150684931</v>
      </c>
    </row>
    <row r="1621" spans="1:9">
      <c r="A1621" s="1" t="s">
        <v>1633</v>
      </c>
      <c r="B1621">
        <f>HYPERLINK("https://www.suredividend.com/sure-analysis-research-database/","Kosmos Energy Ltd")</f>
        <v>0</v>
      </c>
      <c r="C1621">
        <v>0.313253012048192</v>
      </c>
      <c r="D1621">
        <v>0.66593886462882</v>
      </c>
      <c r="E1621">
        <v>1.00262467191601</v>
      </c>
      <c r="F1621">
        <v>1.205202312138728</v>
      </c>
      <c r="G1621">
        <v>1.847014925373134</v>
      </c>
      <c r="H1621">
        <v>7.714024668798537</v>
      </c>
      <c r="I1621">
        <v>0.3182218690071</v>
      </c>
    </row>
    <row r="1622" spans="1:9">
      <c r="A1622" s="1" t="s">
        <v>1634</v>
      </c>
      <c r="B1622">
        <f>HYPERLINK("https://www.suredividend.com/sure-analysis-research-database/","Karyopharm Therapeutics Inc")</f>
        <v>0</v>
      </c>
      <c r="C1622">
        <v>0.169415292353823</v>
      </c>
      <c r="D1622">
        <v>-0.029850746268656</v>
      </c>
      <c r="E1622">
        <v>0.395348837209302</v>
      </c>
      <c r="F1622">
        <v>0.213063763608087</v>
      </c>
      <c r="G1622">
        <v>-0.196704428424304</v>
      </c>
      <c r="H1622">
        <v>-0.647537279710799</v>
      </c>
      <c r="I1622">
        <v>-0.288321167883211</v>
      </c>
    </row>
    <row r="1623" spans="1:9">
      <c r="A1623" s="1" t="s">
        <v>1635</v>
      </c>
      <c r="B1623">
        <f>HYPERLINK("https://www.suredividend.com/sure-analysis-KR/","Kroger Co.")</f>
        <v>0</v>
      </c>
      <c r="C1623">
        <v>0.06055646481178401</v>
      </c>
      <c r="D1623">
        <v>0.192708770049757</v>
      </c>
      <c r="E1623">
        <v>0.5257429886982</v>
      </c>
      <c r="F1623">
        <v>0.294429425630235</v>
      </c>
      <c r="G1623">
        <v>0.602250623646933</v>
      </c>
      <c r="H1623">
        <v>0.900348983841168</v>
      </c>
      <c r="I1623">
        <v>1.156701046177513</v>
      </c>
    </row>
    <row r="1624" spans="1:9">
      <c r="A1624" s="1" t="s">
        <v>1636</v>
      </c>
      <c r="B1624">
        <f>HYPERLINK("https://www.suredividend.com/sure-analysis-research-database/","Kraton Corp")</f>
        <v>0</v>
      </c>
      <c r="C1624">
        <v>0.008242950108459001</v>
      </c>
      <c r="D1624">
        <v>0.008899500759713</v>
      </c>
      <c r="E1624">
        <v>0.13643031784841</v>
      </c>
      <c r="F1624">
        <v>0.003454231433505</v>
      </c>
      <c r="G1624">
        <v>0.136708241623868</v>
      </c>
      <c r="H1624">
        <v>5.7953216374269</v>
      </c>
      <c r="I1624">
        <v>0.6558603491271811</v>
      </c>
    </row>
    <row r="1625" spans="1:9">
      <c r="A1625" s="1" t="s">
        <v>1637</v>
      </c>
      <c r="B1625">
        <f>HYPERLINK("https://www.suredividend.com/sure-analysis-KRC/","Kilroy Realty Corp.")</f>
        <v>0</v>
      </c>
      <c r="C1625">
        <v>0.016333739957898</v>
      </c>
      <c r="D1625">
        <v>0.07128663829100901</v>
      </c>
      <c r="E1625">
        <v>0.08290165244387901</v>
      </c>
      <c r="F1625">
        <v>0.126898801761233</v>
      </c>
      <c r="G1625">
        <v>0.135822372036785</v>
      </c>
      <c r="H1625">
        <v>0.281243219226914</v>
      </c>
      <c r="I1625">
        <v>0.159440164939713</v>
      </c>
    </row>
    <row r="1626" spans="1:9">
      <c r="A1626" s="1" t="s">
        <v>1638</v>
      </c>
      <c r="B1626">
        <f>HYPERLINK("https://www.suredividend.com/sure-analysis-KREF/","KKR Real Estate Finance Trust Inc")</f>
        <v>0</v>
      </c>
      <c r="C1626">
        <v>0.07832620779207401</v>
      </c>
      <c r="D1626">
        <v>-0.033004864892231</v>
      </c>
      <c r="E1626">
        <v>-0.005038737663616</v>
      </c>
      <c r="F1626">
        <v>0.029664734105377</v>
      </c>
      <c r="G1626">
        <v>0.146364752421225</v>
      </c>
      <c r="H1626">
        <v>0.6869133740676211</v>
      </c>
      <c r="I1626">
        <v>0.450395907688272</v>
      </c>
    </row>
    <row r="1627" spans="1:9">
      <c r="A1627" s="1" t="s">
        <v>1639</v>
      </c>
      <c r="B1627">
        <f>HYPERLINK("https://www.suredividend.com/sure-analysis-KRG/","Kite Realty Group Trust")</f>
        <v>0</v>
      </c>
      <c r="C1627">
        <v>0.023703446193817</v>
      </c>
      <c r="D1627">
        <v>0.014505893019038</v>
      </c>
      <c r="E1627">
        <v>0.04262753319357</v>
      </c>
      <c r="F1627">
        <v>0.04597523870949601</v>
      </c>
      <c r="G1627">
        <v>0.15519217070829</v>
      </c>
      <c r="H1627">
        <v>1.896824883182106</v>
      </c>
      <c r="I1627">
        <v>0.38801027053176</v>
      </c>
    </row>
    <row r="1628" spans="1:9">
      <c r="A1628" s="1" t="s">
        <v>1640</v>
      </c>
      <c r="B1628">
        <f>HYPERLINK("https://www.suredividend.com/sure-analysis-research-database/","Kearny Financial Corp.")</f>
        <v>0</v>
      </c>
      <c r="C1628">
        <v>-0.07377049180327801</v>
      </c>
      <c r="D1628">
        <v>-0.09436656660740801</v>
      </c>
      <c r="E1628">
        <v>-0.03403792353124</v>
      </c>
      <c r="F1628">
        <v>-0.054040684621882</v>
      </c>
      <c r="G1628">
        <v>0.036411996698156</v>
      </c>
      <c r="H1628">
        <v>0.6806836312501691</v>
      </c>
      <c r="I1628">
        <v>-0.033354330463725</v>
      </c>
    </row>
    <row r="1629" spans="1:9">
      <c r="A1629" s="1" t="s">
        <v>1641</v>
      </c>
      <c r="B1629">
        <f>HYPERLINK("https://www.suredividend.com/sure-analysis-research-database/","Kronos Worldwide, Inc.")</f>
        <v>0</v>
      </c>
      <c r="C1629">
        <v>0.05401844532279301</v>
      </c>
      <c r="D1629">
        <v>0.042433561148501</v>
      </c>
      <c r="E1629">
        <v>0.24212994231859</v>
      </c>
      <c r="F1629">
        <v>0.07993547385543701</v>
      </c>
      <c r="G1629">
        <v>0.000644164681013</v>
      </c>
      <c r="H1629">
        <v>1.157351850603384</v>
      </c>
      <c r="I1629">
        <v>0.341302908112367</v>
      </c>
    </row>
    <row r="1630" spans="1:9">
      <c r="A1630" s="1" t="s">
        <v>1642</v>
      </c>
      <c r="B1630">
        <f>HYPERLINK("https://www.suredividend.com/sure-analysis-research-database/","Krystal Biotech Inc")</f>
        <v>0</v>
      </c>
      <c r="C1630">
        <v>0.046333718244803</v>
      </c>
      <c r="D1630">
        <v>0.163937058445728</v>
      </c>
      <c r="E1630">
        <v>0.487889983579638</v>
      </c>
      <c r="F1630">
        <v>0.03631165117941301</v>
      </c>
      <c r="G1630">
        <v>-0.062588904694167</v>
      </c>
      <c r="H1630">
        <v>0.617358322177599</v>
      </c>
      <c r="I1630">
        <v>5.812969924812029</v>
      </c>
    </row>
    <row r="1631" spans="1:9">
      <c r="A1631" s="1" t="s">
        <v>1643</v>
      </c>
      <c r="B1631">
        <f>HYPERLINK("https://www.suredividend.com/sure-analysis-KSS/","Kohl`s Corp.")</f>
        <v>0</v>
      </c>
      <c r="C1631">
        <v>-0.033433687212803</v>
      </c>
      <c r="D1631">
        <v>0.288896683309633</v>
      </c>
      <c r="E1631">
        <v>0.3331934572984691</v>
      </c>
      <c r="F1631">
        <v>0.246620330538315</v>
      </c>
      <c r="G1631">
        <v>0.046279874720849</v>
      </c>
      <c r="H1631">
        <v>2.543853737603773</v>
      </c>
      <c r="I1631">
        <v>0.8577171397246921</v>
      </c>
    </row>
    <row r="1632" spans="1:9">
      <c r="A1632" s="1" t="s">
        <v>1644</v>
      </c>
      <c r="B1632">
        <f>HYPERLINK("https://www.suredividend.com/sure-analysis-KSU/","Kansas City Southern")</f>
        <v>0</v>
      </c>
      <c r="C1632">
        <v>-0.055828911400546</v>
      </c>
      <c r="D1632">
        <v>0.043096710012079</v>
      </c>
      <c r="E1632">
        <v>-0.0005126972573760001</v>
      </c>
      <c r="F1632">
        <v>0.447523275300595</v>
      </c>
      <c r="G1632">
        <v>0.5065121925938241</v>
      </c>
      <c r="H1632">
        <v>0.97498225751659</v>
      </c>
      <c r="I1632">
        <v>2.622229103924256</v>
      </c>
    </row>
    <row r="1633" spans="1:9">
      <c r="A1633" s="1" t="s">
        <v>1645</v>
      </c>
      <c r="B1633">
        <f>HYPERLINK("https://www.suredividend.com/sure-analysis-KTB/","Kontoor Brands Inc")</f>
        <v>0</v>
      </c>
      <c r="C1633">
        <v>-0.08855922679253701</v>
      </c>
      <c r="D1633">
        <v>-0.196983589156605</v>
      </c>
      <c r="E1633">
        <v>-0.162883643923113</v>
      </c>
      <c r="F1633">
        <v>-0.200274529680563</v>
      </c>
      <c r="G1633">
        <v>-0.340420894425052</v>
      </c>
      <c r="H1633">
        <v>1.427097299367937</v>
      </c>
      <c r="I1633">
        <v>0.001234567901234</v>
      </c>
    </row>
    <row r="1634" spans="1:9">
      <c r="A1634" s="1" t="s">
        <v>1646</v>
      </c>
      <c r="B1634">
        <f>HYPERLINK("https://www.suredividend.com/sure-analysis-research-database/","Key Tronic Corp.")</f>
        <v>0</v>
      </c>
      <c r="C1634">
        <v>-0.007042253521126001</v>
      </c>
      <c r="D1634">
        <v>-0.09615384615384601</v>
      </c>
      <c r="E1634">
        <v>-0.126934984520123</v>
      </c>
      <c r="F1634">
        <v>-0.09832134292565901</v>
      </c>
      <c r="G1634">
        <v>-0.274131274131274</v>
      </c>
      <c r="H1634">
        <v>0.476439790575916</v>
      </c>
      <c r="I1634">
        <v>-0.213389121338912</v>
      </c>
    </row>
    <row r="1635" spans="1:9">
      <c r="A1635" s="1" t="s">
        <v>1647</v>
      </c>
      <c r="B1635">
        <f>HYPERLINK("https://www.suredividend.com/sure-analysis-research-database/","Kratos Defense &amp; Security Solutions Inc")</f>
        <v>0</v>
      </c>
      <c r="C1635">
        <v>0.05035577449370501</v>
      </c>
      <c r="D1635">
        <v>0.137522228808535</v>
      </c>
      <c r="E1635">
        <v>-0.146352313167259</v>
      </c>
      <c r="F1635">
        <v>-0.010824742268041</v>
      </c>
      <c r="G1635">
        <v>-0.29835466179159</v>
      </c>
      <c r="H1635">
        <v>0.374641833810888</v>
      </c>
      <c r="I1635">
        <v>1.596752368064953</v>
      </c>
    </row>
    <row r="1636" spans="1:9">
      <c r="A1636" s="1" t="s">
        <v>1648</v>
      </c>
      <c r="B1636">
        <f>HYPERLINK("https://www.suredividend.com/sure-analysis-research-database/","Kura Oncology Inc")</f>
        <v>0</v>
      </c>
      <c r="C1636">
        <v>0.01638311279143</v>
      </c>
      <c r="D1636">
        <v>0.182551319648093</v>
      </c>
      <c r="E1636">
        <v>-0.104883462819089</v>
      </c>
      <c r="F1636">
        <v>0.152142857142857</v>
      </c>
      <c r="G1636">
        <v>-0.435816719132563</v>
      </c>
      <c r="H1636">
        <v>0.5584541062801931</v>
      </c>
      <c r="I1636">
        <v>0.597029702970296</v>
      </c>
    </row>
    <row r="1637" spans="1:9">
      <c r="A1637" s="1" t="s">
        <v>1649</v>
      </c>
      <c r="B1637">
        <f>HYPERLINK("https://www.suredividend.com/sure-analysis-research-database/","KVH Industries, Inc.")</f>
        <v>0</v>
      </c>
      <c r="C1637">
        <v>-0.041387024608501</v>
      </c>
      <c r="D1637">
        <v>-0.08829787234042501</v>
      </c>
      <c r="E1637">
        <v>-0.168768186226964</v>
      </c>
      <c r="F1637">
        <v>-0.06746463547334</v>
      </c>
      <c r="G1637">
        <v>-0.377632534495279</v>
      </c>
      <c r="H1637">
        <v>-0.008101851851851001</v>
      </c>
      <c r="I1637">
        <v>0.06459627329192501</v>
      </c>
    </row>
    <row r="1638" spans="1:9">
      <c r="A1638" s="1" t="s">
        <v>1650</v>
      </c>
      <c r="B1638">
        <f>HYPERLINK("https://www.suredividend.com/sure-analysis-research-database/","Kennedy-Wilson Holdings Inc")</f>
        <v>0</v>
      </c>
      <c r="C1638">
        <v>0.023432234875321</v>
      </c>
      <c r="D1638">
        <v>-0.000936226921162</v>
      </c>
      <c r="E1638">
        <v>0.06716038037578001</v>
      </c>
      <c r="F1638">
        <v>0.001572752485963</v>
      </c>
      <c r="G1638">
        <v>0.208112559984904</v>
      </c>
      <c r="H1638">
        <v>0.8879502709595151</v>
      </c>
      <c r="I1638">
        <v>0.360751313937792</v>
      </c>
    </row>
    <row r="1639" spans="1:9">
      <c r="A1639" s="1" t="s">
        <v>1651</v>
      </c>
      <c r="B1639">
        <f>HYPERLINK("https://www.suredividend.com/sure-analysis-research-database/","Quaker Houghton")</f>
        <v>0</v>
      </c>
      <c r="C1639">
        <v>-0.100268850913986</v>
      </c>
      <c r="D1639">
        <v>-0.257449981134588</v>
      </c>
      <c r="E1639">
        <v>-0.31792148508955</v>
      </c>
      <c r="F1639">
        <v>-0.303587222218353</v>
      </c>
      <c r="G1639">
        <v>-0.339039078488283</v>
      </c>
      <c r="H1639">
        <v>0.24340992738486</v>
      </c>
      <c r="I1639">
        <v>0.236476998823028</v>
      </c>
    </row>
    <row r="1640" spans="1:9">
      <c r="A1640" s="1" t="s">
        <v>1652</v>
      </c>
      <c r="B1640">
        <f>HYPERLINK("https://www.suredividend.com/sure-analysis-research-database/","Kezar Life Sciences Inc")</f>
        <v>0</v>
      </c>
      <c r="C1640">
        <v>0.019034670292318</v>
      </c>
      <c r="D1640">
        <v>0.055633802816901</v>
      </c>
      <c r="E1640">
        <v>0.715102974828375</v>
      </c>
      <c r="F1640">
        <v>-0.103468899521531</v>
      </c>
      <c r="G1640">
        <v>1.611498257839721</v>
      </c>
      <c r="H1640">
        <v>2.422374429223745</v>
      </c>
      <c r="I1640">
        <v>-0.155492957746478</v>
      </c>
    </row>
    <row r="1641" spans="1:9">
      <c r="A1641" s="1" t="s">
        <v>1653</v>
      </c>
      <c r="B1641">
        <f>HYPERLINK("https://www.suredividend.com/sure-analysis-research-database/","Loews Corp.")</f>
        <v>0</v>
      </c>
      <c r="C1641">
        <v>0.02906333912494</v>
      </c>
      <c r="D1641">
        <v>0.057115041375953</v>
      </c>
      <c r="E1641">
        <v>0.131931232788651</v>
      </c>
      <c r="F1641">
        <v>0.127943213296399</v>
      </c>
      <c r="G1641">
        <v>0.202229152442287</v>
      </c>
      <c r="H1641">
        <v>0.9309882866220891</v>
      </c>
      <c r="I1641">
        <v>0.441457786195193</v>
      </c>
    </row>
    <row r="1642" spans="1:9">
      <c r="A1642" s="1" t="s">
        <v>1654</v>
      </c>
      <c r="B1642">
        <f>HYPERLINK("https://www.suredividend.com/sure-analysis-LAD/","Lithia Motors, Inc.")</f>
        <v>0</v>
      </c>
      <c r="C1642">
        <v>-0.130601256356566</v>
      </c>
      <c r="D1642">
        <v>-0.05220225033483</v>
      </c>
      <c r="E1642">
        <v>-0.136243192833172</v>
      </c>
      <c r="F1642">
        <v>-0.020188552347464</v>
      </c>
      <c r="G1642">
        <v>-0.247976919743064</v>
      </c>
      <c r="H1642">
        <v>2.323499142367066</v>
      </c>
      <c r="I1642">
        <v>2.712645528193572</v>
      </c>
    </row>
    <row r="1643" spans="1:9">
      <c r="A1643" s="1" t="s">
        <v>1655</v>
      </c>
      <c r="B1643">
        <f>HYPERLINK("https://www.suredividend.com/sure-analysis-LADR/","Ladder Capital Corp")</f>
        <v>0</v>
      </c>
      <c r="C1643">
        <v>0.07456159082949601</v>
      </c>
      <c r="D1643">
        <v>0.043005314518335</v>
      </c>
      <c r="E1643">
        <v>0.08260686224731201</v>
      </c>
      <c r="F1643">
        <v>0.06649033122239401</v>
      </c>
      <c r="G1643">
        <v>0.150297632654554</v>
      </c>
      <c r="H1643">
        <v>1.289353958143767</v>
      </c>
      <c r="I1643">
        <v>0.247434232054498</v>
      </c>
    </row>
    <row r="1644" spans="1:9">
      <c r="A1644" s="1" t="s">
        <v>1656</v>
      </c>
      <c r="B1644">
        <f>HYPERLINK("https://www.suredividend.com/sure-analysis-research-database/","Lakeland Industries, Inc.")</f>
        <v>0</v>
      </c>
      <c r="C1644">
        <v>-0.005367686527106</v>
      </c>
      <c r="D1644">
        <v>-0.107847857486759</v>
      </c>
      <c r="E1644">
        <v>-0.090775269872423</v>
      </c>
      <c r="F1644">
        <v>-0.146082949308755</v>
      </c>
      <c r="G1644">
        <v>-0.322733918128654</v>
      </c>
      <c r="H1644">
        <v>0.115593016255268</v>
      </c>
      <c r="I1644">
        <v>0.8437810945273631</v>
      </c>
    </row>
    <row r="1645" spans="1:9">
      <c r="A1645" s="1" t="s">
        <v>1657</v>
      </c>
      <c r="B1645">
        <f>HYPERLINK("https://www.suredividend.com/sure-analysis-LAMR/","Lamar Advertising Co")</f>
        <v>0</v>
      </c>
      <c r="C1645">
        <v>0.017391759442568</v>
      </c>
      <c r="D1645">
        <v>0.010439565856014</v>
      </c>
      <c r="E1645">
        <v>-0.035848478992185</v>
      </c>
      <c r="F1645">
        <v>-0.061366251142593</v>
      </c>
      <c r="G1645">
        <v>0.206167447065028</v>
      </c>
      <c r="H1645">
        <v>1.468922236066191</v>
      </c>
      <c r="I1645">
        <v>0.937528246670114</v>
      </c>
    </row>
    <row r="1646" spans="1:9">
      <c r="A1646" s="1" t="s">
        <v>1658</v>
      </c>
      <c r="B1646">
        <f>HYPERLINK("https://www.suredividend.com/sure-analysis-LANC/","Lancaster Colony Corp.")</f>
        <v>0</v>
      </c>
      <c r="C1646">
        <v>-0.004554201411161</v>
      </c>
      <c r="D1646">
        <v>-0.059716115335188</v>
      </c>
      <c r="E1646">
        <v>-0.09138971881032201</v>
      </c>
      <c r="F1646">
        <v>-0.058296535557967</v>
      </c>
      <c r="G1646">
        <v>-0.124108107375913</v>
      </c>
      <c r="H1646">
        <v>0.138588836561621</v>
      </c>
      <c r="I1646">
        <v>0.330960548885077</v>
      </c>
    </row>
    <row r="1647" spans="1:9">
      <c r="A1647" s="1" t="s">
        <v>1659</v>
      </c>
      <c r="B1647">
        <f>HYPERLINK("https://www.suredividend.com/sure-analysis-LAND/","Gladstone Land Corp")</f>
        <v>0</v>
      </c>
      <c r="C1647">
        <v>0.113560171739209</v>
      </c>
      <c r="D1647">
        <v>0.208793547425993</v>
      </c>
      <c r="E1647">
        <v>0.740889447390198</v>
      </c>
      <c r="F1647">
        <v>0.182654011237592</v>
      </c>
      <c r="G1647">
        <v>0.9240447524292511</v>
      </c>
      <c r="H1647">
        <v>2.447199583839084</v>
      </c>
      <c r="I1647">
        <v>3.241790598928883</v>
      </c>
    </row>
    <row r="1648" spans="1:9">
      <c r="A1648" s="1" t="s">
        <v>1660</v>
      </c>
      <c r="B1648">
        <f>HYPERLINK("https://www.suredividend.com/sure-analysis-research-database/","Landmark Bancorp Inc")</f>
        <v>0</v>
      </c>
      <c r="C1648">
        <v>-0.007966616084977</v>
      </c>
      <c r="D1648">
        <v>-0.07631770432276201</v>
      </c>
      <c r="E1648">
        <v>-0.012029438878058</v>
      </c>
      <c r="F1648">
        <v>-0.08146992911687601</v>
      </c>
      <c r="G1648">
        <v>0.081239766468749</v>
      </c>
      <c r="H1648">
        <v>0.52503921945985</v>
      </c>
      <c r="I1648">
        <v>0.258839556926987</v>
      </c>
    </row>
    <row r="1649" spans="1:9">
      <c r="A1649" s="1" t="s">
        <v>1661</v>
      </c>
      <c r="B1649">
        <f>HYPERLINK("https://www.suredividend.com/sure-analysis-research-database/","nLIGHT Inc")</f>
        <v>0</v>
      </c>
      <c r="C1649">
        <v>-0.110781990521326</v>
      </c>
      <c r="D1649">
        <v>-0.343681679055531</v>
      </c>
      <c r="E1649">
        <v>-0.429494488787533</v>
      </c>
      <c r="F1649">
        <v>-0.3732776617954071</v>
      </c>
      <c r="G1649">
        <v>-0.515337423312883</v>
      </c>
      <c r="H1649">
        <v>0.137983320697498</v>
      </c>
      <c r="I1649">
        <v>-0.4430426716141</v>
      </c>
    </row>
    <row r="1650" spans="1:9">
      <c r="A1650" s="1" t="s">
        <v>1662</v>
      </c>
      <c r="B1650">
        <f>HYPERLINK("https://www.suredividend.com/sure-analysis-research-database/","Laureate Education Inc")</f>
        <v>0</v>
      </c>
      <c r="C1650">
        <v>-0.04968454258675</v>
      </c>
      <c r="D1650">
        <v>0.011754827875734</v>
      </c>
      <c r="E1650">
        <v>0.131848623465429</v>
      </c>
      <c r="F1650">
        <v>-0.015522875816993</v>
      </c>
      <c r="G1650">
        <v>0.131848623465429</v>
      </c>
      <c r="H1650">
        <v>0.131848623465429</v>
      </c>
      <c r="I1650">
        <v>0.131848623465429</v>
      </c>
    </row>
    <row r="1651" spans="1:9">
      <c r="A1651" s="1" t="s">
        <v>1663</v>
      </c>
      <c r="B1651">
        <f>HYPERLINK("https://www.suredividend.com/sure-analysis-research-database/","Lawson Products, Inc.")</f>
        <v>0</v>
      </c>
      <c r="C1651">
        <v>-0.06977356503422801</v>
      </c>
      <c r="D1651">
        <v>-0.241031149301826</v>
      </c>
      <c r="E1651">
        <v>-0.31742658423493</v>
      </c>
      <c r="F1651">
        <v>-0.354703196347032</v>
      </c>
      <c r="G1651">
        <v>-0.297055312375646</v>
      </c>
      <c r="H1651">
        <v>0.287067395264116</v>
      </c>
      <c r="I1651">
        <v>0.8449086161879891</v>
      </c>
    </row>
    <row r="1652" spans="1:9">
      <c r="A1652" s="1" t="s">
        <v>1664</v>
      </c>
      <c r="B1652">
        <f>HYPERLINK("https://www.suredividend.com/sure-analysis-LAZ/","Lazard Ltd.")</f>
        <v>0</v>
      </c>
      <c r="C1652">
        <v>-0.045179856115107</v>
      </c>
      <c r="D1652">
        <v>-0.2429099820425</v>
      </c>
      <c r="E1652">
        <v>-0.323805195572737</v>
      </c>
      <c r="F1652">
        <v>-0.230589070098019</v>
      </c>
      <c r="G1652">
        <v>-0.234321238931926</v>
      </c>
      <c r="H1652">
        <v>0.40320309229084</v>
      </c>
      <c r="I1652">
        <v>-0.063423556675859</v>
      </c>
    </row>
    <row r="1653" spans="1:9">
      <c r="A1653" s="1" t="s">
        <v>1665</v>
      </c>
      <c r="B1653">
        <f>HYPERLINK("https://www.suredividend.com/sure-analysis-research-database/","L Brands Inc")</f>
        <v>0</v>
      </c>
      <c r="C1653">
        <v>0.079270762997974</v>
      </c>
      <c r="D1653">
        <v>0.215420880541403</v>
      </c>
      <c r="E1653">
        <v>0.8158312676510751</v>
      </c>
      <c r="F1653">
        <v>1.153701877213123</v>
      </c>
      <c r="G1653">
        <v>2.281286566514618</v>
      </c>
      <c r="H1653">
        <v>2.471989921150379</v>
      </c>
      <c r="I1653">
        <v>0.3623996781518271</v>
      </c>
    </row>
    <row r="1654" spans="1:9">
      <c r="A1654" s="1" t="s">
        <v>1666</v>
      </c>
      <c r="B1654">
        <f>HYPERLINK("https://www.suredividend.com/sure-analysis-research-database/","Lakeland Bancorp, Inc.")</f>
        <v>0</v>
      </c>
      <c r="C1654">
        <v>-0.114891243725599</v>
      </c>
      <c r="D1654">
        <v>-0.21754436133969</v>
      </c>
      <c r="E1654">
        <v>-0.102004787044424</v>
      </c>
      <c r="F1654">
        <v>-0.158210760262455</v>
      </c>
      <c r="G1654">
        <v>-0.06346265063084901</v>
      </c>
      <c r="H1654">
        <v>0.756191487949007</v>
      </c>
      <c r="I1654">
        <v>-0.002714727396123</v>
      </c>
    </row>
    <row r="1655" spans="1:9">
      <c r="A1655" s="1" t="s">
        <v>1667</v>
      </c>
      <c r="B1655">
        <f>HYPERLINK("https://www.suredividend.com/sure-analysis-research-database/","Luther Burbank Corp")</f>
        <v>0</v>
      </c>
      <c r="C1655">
        <v>-0.012601927353595</v>
      </c>
      <c r="D1655">
        <v>-0.06234821233730101</v>
      </c>
      <c r="E1655">
        <v>0.026202050863257</v>
      </c>
      <c r="F1655">
        <v>-0.042312255095804</v>
      </c>
      <c r="G1655">
        <v>0.198822777632774</v>
      </c>
      <c r="H1655">
        <v>0.628242427205828</v>
      </c>
      <c r="I1655">
        <v>0.252727409525242</v>
      </c>
    </row>
    <row r="1656" spans="1:9">
      <c r="A1656" s="1" t="s">
        <v>1668</v>
      </c>
      <c r="B1656">
        <f>HYPERLINK("https://www.suredividend.com/sure-analysis-research-database/","Liberty Broadband Corp")</f>
        <v>0</v>
      </c>
      <c r="C1656">
        <v>-0.018370196193695</v>
      </c>
      <c r="D1656">
        <v>-0.092829009914437</v>
      </c>
      <c r="E1656">
        <v>-0.191099000908265</v>
      </c>
      <c r="F1656">
        <v>-0.169732753262896</v>
      </c>
      <c r="G1656">
        <v>-0.11159140786061</v>
      </c>
      <c r="H1656">
        <v>0.114457328772837</v>
      </c>
      <c r="I1656">
        <v>0.561725508534019</v>
      </c>
    </row>
    <row r="1657" spans="1:9">
      <c r="A1657" s="1" t="s">
        <v>1669</v>
      </c>
      <c r="B1657">
        <f>HYPERLINK("https://www.suredividend.com/sure-analysis-research-database/","Liberty Broadband Corp")</f>
        <v>0</v>
      </c>
      <c r="C1657">
        <v>-0.016248574686431</v>
      </c>
      <c r="D1657">
        <v>-0.08540382958987601</v>
      </c>
      <c r="E1657">
        <v>-0.173462666906173</v>
      </c>
      <c r="F1657">
        <v>-0.143140906269397</v>
      </c>
      <c r="G1657">
        <v>-0.111540194374718</v>
      </c>
      <c r="H1657">
        <v>0.122367672168469</v>
      </c>
      <c r="I1657">
        <v>0.594916233391103</v>
      </c>
    </row>
    <row r="1658" spans="1:9">
      <c r="A1658" s="1" t="s">
        <v>1670</v>
      </c>
      <c r="B1658">
        <f>HYPERLINK("https://www.suredividend.com/sure-analysis-research-database/","Liberty Oilfield Services Inc")</f>
        <v>0</v>
      </c>
      <c r="C1658">
        <v>0.2796992481203</v>
      </c>
      <c r="D1658">
        <v>0.367068273092369</v>
      </c>
      <c r="E1658">
        <v>0.118265440210249</v>
      </c>
      <c r="F1658">
        <v>0.7546391752577311</v>
      </c>
      <c r="G1658">
        <v>0.5906542056074761</v>
      </c>
      <c r="H1658">
        <v>5.47148288973384</v>
      </c>
      <c r="I1658">
        <v>-0.192473205008374</v>
      </c>
    </row>
    <row r="1659" spans="1:9">
      <c r="A1659" s="1" t="s">
        <v>1671</v>
      </c>
      <c r="B1659">
        <f>HYPERLINK("https://www.suredividend.com/sure-analysis-research-database/","Liberty Global plc")</f>
        <v>0</v>
      </c>
      <c r="C1659">
        <v>-0.003555906756222</v>
      </c>
      <c r="D1659">
        <v>-0.108833922261484</v>
      </c>
      <c r="E1659">
        <v>-0.139249146757679</v>
      </c>
      <c r="F1659">
        <v>-0.09084354722422401</v>
      </c>
      <c r="G1659">
        <v>-0.04722327162825801</v>
      </c>
      <c r="H1659">
        <v>0.387238723872387</v>
      </c>
      <c r="I1659">
        <v>-0.263864565090484</v>
      </c>
    </row>
    <row r="1660" spans="1:9">
      <c r="A1660" s="1" t="s">
        <v>1672</v>
      </c>
      <c r="B1660">
        <f>HYPERLINK("https://www.suredividend.com/sure-analysis-research-database/","Liberty Global plc")</f>
        <v>0</v>
      </c>
      <c r="C1660">
        <v>-0.003468208092485</v>
      </c>
      <c r="D1660">
        <v>-0.09769713886950401</v>
      </c>
      <c r="E1660">
        <v>-0.119209809264305</v>
      </c>
      <c r="F1660">
        <v>-0.07938768244927001</v>
      </c>
      <c r="G1660">
        <v>-0.018595825426945</v>
      </c>
      <c r="H1660">
        <v>0.500870574579222</v>
      </c>
      <c r="I1660">
        <v>-0.232185273159144</v>
      </c>
    </row>
    <row r="1661" spans="1:9">
      <c r="A1661" s="1" t="s">
        <v>1673</v>
      </c>
      <c r="B1661">
        <f>HYPERLINK("https://www.suredividend.com/sure-analysis-research-database/","LendingClub Corp")</f>
        <v>0</v>
      </c>
      <c r="C1661">
        <v>-0.119791666666666</v>
      </c>
      <c r="D1661">
        <v>-0.439236831190377</v>
      </c>
      <c r="E1661">
        <v>-0.604678362573099</v>
      </c>
      <c r="F1661">
        <v>-0.440860215053763</v>
      </c>
      <c r="G1661">
        <v>-0.08338983050847401</v>
      </c>
      <c r="H1661">
        <v>0.8294993234100131</v>
      </c>
      <c r="I1661">
        <v>-0.5047619047619041</v>
      </c>
    </row>
    <row r="1662" spans="1:9">
      <c r="A1662" s="1" t="s">
        <v>1674</v>
      </c>
      <c r="B1662">
        <f>HYPERLINK("https://www.suredividend.com/sure-analysis-research-database/","Lannett Co., Inc.")</f>
        <v>0</v>
      </c>
      <c r="C1662">
        <v>0.018301514154048</v>
      </c>
      <c r="D1662">
        <v>-0.516625</v>
      </c>
      <c r="E1662">
        <v>-0.694308300395256</v>
      </c>
      <c r="F1662">
        <v>-0.5225925925925921</v>
      </c>
      <c r="G1662">
        <v>-0.8375210084033611</v>
      </c>
      <c r="H1662">
        <v>-0.9044004944375771</v>
      </c>
      <c r="I1662">
        <v>-0.969551181102362</v>
      </c>
    </row>
    <row r="1663" spans="1:9">
      <c r="A1663" s="1" t="s">
        <v>1675</v>
      </c>
      <c r="B1663">
        <f>HYPERLINK("https://www.suredividend.com/sure-analysis-research-database/","LCI Industries")</f>
        <v>0</v>
      </c>
      <c r="C1663">
        <v>-0.143749486315443</v>
      </c>
      <c r="D1663">
        <v>-0.273234622159437</v>
      </c>
      <c r="E1663">
        <v>-0.257746178832015</v>
      </c>
      <c r="F1663">
        <v>-0.326575385677477</v>
      </c>
      <c r="G1663">
        <v>-0.254680602951802</v>
      </c>
      <c r="H1663">
        <v>0.540953296601708</v>
      </c>
      <c r="I1663">
        <v>0.265055778784026</v>
      </c>
    </row>
    <row r="1664" spans="1:9">
      <c r="A1664" s="1" t="s">
        <v>1676</v>
      </c>
      <c r="B1664">
        <f>HYPERLINK("https://www.suredividend.com/sure-analysis-research-database/","LCNB Corp")</f>
        <v>0</v>
      </c>
      <c r="C1664">
        <v>-0.05181918412348401</v>
      </c>
      <c r="D1664">
        <v>-0.129677980852915</v>
      </c>
      <c r="E1664">
        <v>0.008921920001877</v>
      </c>
      <c r="F1664">
        <v>-0.109624851819833</v>
      </c>
      <c r="G1664">
        <v>-0.021415079310894</v>
      </c>
      <c r="H1664">
        <v>0.614098966788975</v>
      </c>
      <c r="I1664">
        <v>-0.048446256576508</v>
      </c>
    </row>
    <row r="1665" spans="1:9">
      <c r="A1665" s="1" t="s">
        <v>1677</v>
      </c>
      <c r="B1665">
        <f>HYPERLINK("https://www.suredividend.com/sure-analysis-research-database/","Lineage Cell Therapeutics Inc")</f>
        <v>0</v>
      </c>
      <c r="C1665">
        <v>0</v>
      </c>
      <c r="D1665">
        <v>-0.333333333333333</v>
      </c>
      <c r="E1665">
        <v>-0.4638297872340421</v>
      </c>
      <c r="F1665">
        <v>-0.485714285714285</v>
      </c>
      <c r="G1665">
        <v>-0.4497816593886461</v>
      </c>
      <c r="H1665">
        <v>0.639344262295082</v>
      </c>
      <c r="I1665">
        <v>-0.583924974408083</v>
      </c>
    </row>
    <row r="1666" spans="1:9">
      <c r="A1666" s="1" t="s">
        <v>1678</v>
      </c>
      <c r="B1666">
        <f>HYPERLINK("https://www.suredividend.com/sure-analysis-research-database/","Lifetime Brands, Inc.")</f>
        <v>0</v>
      </c>
      <c r="C1666">
        <v>-0.06460875807609401</v>
      </c>
      <c r="D1666">
        <v>-0.119594594594594</v>
      </c>
      <c r="E1666">
        <v>-0.296185465662709</v>
      </c>
      <c r="F1666">
        <v>-0.181887247361382</v>
      </c>
      <c r="G1666">
        <v>-0.103265544888338</v>
      </c>
      <c r="H1666">
        <v>1.842867740105598</v>
      </c>
      <c r="I1666">
        <v>-0.306317145625485</v>
      </c>
    </row>
    <row r="1667" spans="1:9">
      <c r="A1667" s="1" t="s">
        <v>1679</v>
      </c>
      <c r="B1667">
        <f>HYPERLINK("https://www.suredividend.com/sure-analysis-research-database/","Lydall, Inc.")</f>
        <v>0</v>
      </c>
      <c r="C1667">
        <v>0.001774766053565</v>
      </c>
      <c r="D1667">
        <v>0.02594183740912</v>
      </c>
      <c r="E1667">
        <v>0.8402489626556011</v>
      </c>
      <c r="F1667">
        <v>1.067599067599067</v>
      </c>
      <c r="G1667">
        <v>2.753929866989117</v>
      </c>
      <c r="H1667">
        <v>1.492573263749498</v>
      </c>
      <c r="I1667">
        <v>0.214355564247995</v>
      </c>
    </row>
    <row r="1668" spans="1:9">
      <c r="A1668" s="1" t="s">
        <v>1680</v>
      </c>
      <c r="B1668">
        <f>HYPERLINK("https://www.suredividend.com/sure-analysis-research-database/","Leidos Holdings Inc")</f>
        <v>0</v>
      </c>
      <c r="C1668">
        <v>0.06858710562414201</v>
      </c>
      <c r="D1668">
        <v>0.163456830161546</v>
      </c>
      <c r="E1668">
        <v>0.09569938493749901</v>
      </c>
      <c r="F1668">
        <v>0.231118651797516</v>
      </c>
      <c r="G1668">
        <v>0.093209491055148</v>
      </c>
      <c r="H1668">
        <v>0.208599161981765</v>
      </c>
      <c r="I1668">
        <v>1.346193727707287</v>
      </c>
    </row>
    <row r="1669" spans="1:9">
      <c r="A1669" s="1" t="s">
        <v>1681</v>
      </c>
      <c r="B1669">
        <f>HYPERLINK("https://www.suredividend.com/sure-analysis-research-database/","Lands` End, Inc.")</f>
        <v>0</v>
      </c>
      <c r="C1669">
        <v>-0.077783995523223</v>
      </c>
      <c r="D1669">
        <v>-0.134908136482939</v>
      </c>
      <c r="E1669">
        <v>-0.252607709750566</v>
      </c>
      <c r="F1669">
        <v>-0.160468670402445</v>
      </c>
      <c r="G1669">
        <v>-0.301694915254237</v>
      </c>
      <c r="H1669">
        <v>1.445103857566765</v>
      </c>
      <c r="I1669">
        <v>-0.203864734299516</v>
      </c>
    </row>
    <row r="1670" spans="1:9">
      <c r="A1670" s="1" t="s">
        <v>1682</v>
      </c>
      <c r="B1670">
        <f>HYPERLINK("https://www.suredividend.com/sure-analysis-research-database/","Lear Corp.")</f>
        <v>0</v>
      </c>
      <c r="C1670">
        <v>-0.133739012846517</v>
      </c>
      <c r="D1670">
        <v>-0.325714375935813</v>
      </c>
      <c r="E1670">
        <v>-0.277645344838084</v>
      </c>
      <c r="F1670">
        <v>-0.295860957270763</v>
      </c>
      <c r="G1670">
        <v>-0.287106940636017</v>
      </c>
      <c r="H1670">
        <v>0.5769838153604521</v>
      </c>
      <c r="I1670">
        <v>0.0392990004494</v>
      </c>
    </row>
    <row r="1671" spans="1:9">
      <c r="A1671" s="1" t="s">
        <v>1683</v>
      </c>
      <c r="B1671">
        <f>HYPERLINK("https://www.suredividend.com/sure-analysis-research-database/","Leaf Group Ltd")</f>
        <v>0</v>
      </c>
      <c r="C1671">
        <v>0.013126491646777</v>
      </c>
      <c r="D1671">
        <v>0.403305785123967</v>
      </c>
      <c r="E1671">
        <v>0.732653061224489</v>
      </c>
      <c r="F1671">
        <v>0.8258064516129031</v>
      </c>
      <c r="G1671">
        <v>2.087272727272727</v>
      </c>
      <c r="H1671">
        <v>0.205965909090909</v>
      </c>
      <c r="I1671">
        <v>0.6421663442940041</v>
      </c>
    </row>
    <row r="1672" spans="1:9">
      <c r="A1672" s="1" t="s">
        <v>1684</v>
      </c>
      <c r="B1672">
        <f>HYPERLINK("https://www.suredividend.com/sure-analysis-LECO/","Lincoln Electric Holdings, Inc.")</f>
        <v>0</v>
      </c>
      <c r="C1672">
        <v>-0.013418333639409</v>
      </c>
      <c r="D1672">
        <v>-0.041357071722365</v>
      </c>
      <c r="E1672">
        <v>-0.05979014301037101</v>
      </c>
      <c r="F1672">
        <v>-0.06795767043409301</v>
      </c>
      <c r="G1672">
        <v>0.06275046090552501</v>
      </c>
      <c r="H1672">
        <v>0.791930155276623</v>
      </c>
      <c r="I1672">
        <v>0.739891174490376</v>
      </c>
    </row>
    <row r="1673" spans="1:9">
      <c r="A1673" s="1" t="s">
        <v>1685</v>
      </c>
      <c r="B1673">
        <f>HYPERLINK("https://www.suredividend.com/sure-analysis-research-database/","Lee Enterprises, Inc.")</f>
        <v>0</v>
      </c>
      <c r="C1673">
        <v>-0.097949080622347</v>
      </c>
      <c r="D1673">
        <v>-0.368251609707776</v>
      </c>
      <c r="E1673">
        <v>0.181018518518518</v>
      </c>
      <c r="F1673">
        <v>-0.261436016213086</v>
      </c>
      <c r="G1673">
        <v>-0.104912280701754</v>
      </c>
      <c r="H1673">
        <v>2.188351456067992</v>
      </c>
      <c r="I1673">
        <v>-0.055185185185185</v>
      </c>
    </row>
    <row r="1674" spans="1:9">
      <c r="A1674" s="1" t="s">
        <v>1686</v>
      </c>
      <c r="B1674">
        <f>HYPERLINK("https://www.suredividend.com/sure-analysis-LEG/","Leggett &amp; Platt, Inc.")</f>
        <v>0</v>
      </c>
      <c r="C1674">
        <v>-0.027913279132791</v>
      </c>
      <c r="D1674">
        <v>-0.125066467629654</v>
      </c>
      <c r="E1674">
        <v>-0.197985909415113</v>
      </c>
      <c r="F1674">
        <v>-0.118263763762533</v>
      </c>
      <c r="G1674">
        <v>-0.235842745938484</v>
      </c>
      <c r="H1674">
        <v>0.448941670706091</v>
      </c>
      <c r="I1674">
        <v>-0.149342857278371</v>
      </c>
    </row>
    <row r="1675" spans="1:9">
      <c r="A1675" s="1" t="s">
        <v>1687</v>
      </c>
      <c r="B1675">
        <f>HYPERLINK("https://www.suredividend.com/sure-analysis-research-database/","Legacy Housing Corp")</f>
        <v>0</v>
      </c>
      <c r="C1675">
        <v>-0.226778242677824</v>
      </c>
      <c r="D1675">
        <v>-0.259911894273127</v>
      </c>
      <c r="E1675">
        <v>0.09413854351687301</v>
      </c>
      <c r="F1675">
        <v>-0.301851152247827</v>
      </c>
      <c r="G1675">
        <v>-0.01229289150187</v>
      </c>
      <c r="H1675">
        <v>1.044247787610619</v>
      </c>
      <c r="I1675">
        <v>0.536159600997506</v>
      </c>
    </row>
    <row r="1676" spans="1:9">
      <c r="A1676" s="1" t="s">
        <v>1688</v>
      </c>
      <c r="B1676">
        <f>HYPERLINK("https://www.suredividend.com/sure-analysis-research-database/","Lennar Corp.")</f>
        <v>0</v>
      </c>
      <c r="C1676">
        <v>-0.132640379618122</v>
      </c>
      <c r="D1676">
        <v>-0.287490289653713</v>
      </c>
      <c r="E1676">
        <v>-0.206496865057954</v>
      </c>
      <c r="F1676">
        <v>-0.33656137088181</v>
      </c>
      <c r="G1676">
        <v>-0.266612978571572</v>
      </c>
      <c r="H1676">
        <v>0.9191204593689921</v>
      </c>
      <c r="I1676">
        <v>0.557848598301524</v>
      </c>
    </row>
    <row r="1677" spans="1:9">
      <c r="A1677" s="1" t="s">
        <v>1689</v>
      </c>
      <c r="B1677">
        <f>HYPERLINK("https://www.suredividend.com/sure-analysis-research-database/","Centrus Energy Corp")</f>
        <v>0</v>
      </c>
      <c r="C1677">
        <v>-0.07773049645390001</v>
      </c>
      <c r="D1677">
        <v>-0.294793926247288</v>
      </c>
      <c r="E1677">
        <v>-0.342568250758341</v>
      </c>
      <c r="F1677">
        <v>-0.348627529553195</v>
      </c>
      <c r="G1677">
        <v>0.484474885844748</v>
      </c>
      <c r="H1677">
        <v>5.031539888682746</v>
      </c>
      <c r="I1677">
        <v>4.566780821917808</v>
      </c>
    </row>
    <row r="1678" spans="1:9">
      <c r="A1678" s="1" t="s">
        <v>1690</v>
      </c>
      <c r="B1678">
        <f>HYPERLINK("https://www.suredividend.com/sure-analysis-research-database/","Levi Strauss &amp; Co.")</f>
        <v>0</v>
      </c>
      <c r="C1678">
        <v>-0.04731075697211101</v>
      </c>
      <c r="D1678">
        <v>-0.168192155004109</v>
      </c>
      <c r="E1678">
        <v>-0.221230724137369</v>
      </c>
      <c r="F1678">
        <v>-0.232328096470635</v>
      </c>
      <c r="G1678">
        <v>-0.332789240921329</v>
      </c>
      <c r="H1678">
        <v>0.540468502129921</v>
      </c>
      <c r="I1678">
        <v>-0.118006408630904</v>
      </c>
    </row>
    <row r="1679" spans="1:9">
      <c r="A1679" s="1" t="s">
        <v>1691</v>
      </c>
      <c r="B1679">
        <f>HYPERLINK("https://www.suredividend.com/sure-analysis-research-database/","Littelfuse, Inc.")</f>
        <v>0</v>
      </c>
      <c r="C1679">
        <v>-0.08909394638453501</v>
      </c>
      <c r="D1679">
        <v>-0.240935774854033</v>
      </c>
      <c r="E1679">
        <v>-0.181357747950981</v>
      </c>
      <c r="F1679">
        <v>-0.270678054135165</v>
      </c>
      <c r="G1679">
        <v>-0.158942034132219</v>
      </c>
      <c r="H1679">
        <v>0.7922880432741071</v>
      </c>
      <c r="I1679">
        <v>0.5972281793398091</v>
      </c>
    </row>
    <row r="1680" spans="1:9">
      <c r="A1680" s="1" t="s">
        <v>1692</v>
      </c>
      <c r="B1680">
        <f>HYPERLINK("https://www.suredividend.com/sure-analysis-research-database/","Lifevantage Corporation")</f>
        <v>0</v>
      </c>
      <c r="C1680">
        <v>-0.07228915662650601</v>
      </c>
      <c r="D1680">
        <v>-0.293577981651376</v>
      </c>
      <c r="E1680">
        <v>-0.32258064516129</v>
      </c>
      <c r="F1680">
        <v>-0.268987341772151</v>
      </c>
      <c r="G1680">
        <v>-0.4761904761904761</v>
      </c>
      <c r="H1680">
        <v>-0.6143572621035051</v>
      </c>
      <c r="I1680">
        <v>-0.043478260869565</v>
      </c>
    </row>
    <row r="1681" spans="1:9">
      <c r="A1681" s="1" t="s">
        <v>1693</v>
      </c>
      <c r="B1681">
        <f>HYPERLINK("https://www.suredividend.com/sure-analysis-research-database/","LGI Homes Inc")</f>
        <v>0</v>
      </c>
      <c r="C1681">
        <v>-0.250935706562422</v>
      </c>
      <c r="D1681">
        <v>-0.352179542511868</v>
      </c>
      <c r="E1681">
        <v>-0.350263328764158</v>
      </c>
      <c r="F1681">
        <v>-0.41701191092698</v>
      </c>
      <c r="G1681">
        <v>-0.466405972271596</v>
      </c>
      <c r="H1681">
        <v>0.948928803289331</v>
      </c>
      <c r="I1681">
        <v>1.995011639507815</v>
      </c>
    </row>
    <row r="1682" spans="1:9">
      <c r="A1682" s="1" t="s">
        <v>1694</v>
      </c>
      <c r="B1682">
        <f>HYPERLINK("https://www.suredividend.com/sure-analysis-research-database/","LGL Group Inc")</f>
        <v>0</v>
      </c>
      <c r="C1682">
        <v>0.06183574879227</v>
      </c>
      <c r="D1682">
        <v>0.04467680608365</v>
      </c>
      <c r="E1682">
        <v>-0.136006289308176</v>
      </c>
      <c r="F1682">
        <v>-0.03596491228070101</v>
      </c>
      <c r="G1682">
        <v>0.019480519480519</v>
      </c>
      <c r="H1682">
        <v>0.270520231213872</v>
      </c>
      <c r="I1682">
        <v>1.189330252201283</v>
      </c>
    </row>
    <row r="1683" spans="1:9">
      <c r="A1683" s="1" t="s">
        <v>1695</v>
      </c>
      <c r="B1683">
        <f>HYPERLINK("https://www.suredividend.com/sure-analysis-research-database/","Ligand Pharmaceuticals, Inc.")</f>
        <v>0</v>
      </c>
      <c r="C1683">
        <v>-0.029861751152073</v>
      </c>
      <c r="D1683">
        <v>-0.157313265551196</v>
      </c>
      <c r="E1683">
        <v>-0.191923844618455</v>
      </c>
      <c r="F1683">
        <v>-0.318529069014631</v>
      </c>
      <c r="G1683">
        <v>-0.299341010450642</v>
      </c>
      <c r="H1683">
        <v>0.188036117381489</v>
      </c>
      <c r="I1683">
        <v>-0.000759445604708</v>
      </c>
    </row>
    <row r="1684" spans="1:9">
      <c r="A1684" s="1" t="s">
        <v>1696</v>
      </c>
      <c r="B1684">
        <f>HYPERLINK("https://www.suredividend.com/sure-analysis-research-database/","Laboratory Corp. Of America Holdings")</f>
        <v>0</v>
      </c>
      <c r="C1684">
        <v>-0.018173855922925</v>
      </c>
      <c r="D1684">
        <v>-0.025499855114459</v>
      </c>
      <c r="E1684">
        <v>-0.009425625920471001</v>
      </c>
      <c r="F1684">
        <v>-0.14375735972757</v>
      </c>
      <c r="G1684">
        <v>0.026086956521739</v>
      </c>
      <c r="H1684">
        <v>0.9421064029452101</v>
      </c>
      <c r="I1684">
        <v>0.8933145672061931</v>
      </c>
    </row>
    <row r="1685" spans="1:9">
      <c r="A1685" s="1" t="s">
        <v>1697</v>
      </c>
      <c r="B1685">
        <f>HYPERLINK("https://www.suredividend.com/sure-analysis-research-database/","LHC Group Inc")</f>
        <v>0</v>
      </c>
      <c r="C1685">
        <v>0.167668017325695</v>
      </c>
      <c r="D1685">
        <v>0.271800334804443</v>
      </c>
      <c r="E1685">
        <v>0.149518569463548</v>
      </c>
      <c r="F1685">
        <v>0.217955257596735</v>
      </c>
      <c r="G1685">
        <v>-0.17875393081761</v>
      </c>
      <c r="H1685">
        <v>0.284210526315789</v>
      </c>
      <c r="I1685">
        <v>2.192741165234001</v>
      </c>
    </row>
    <row r="1686" spans="1:9">
      <c r="A1686" s="1" t="s">
        <v>1698</v>
      </c>
      <c r="B1686">
        <f>HYPERLINK("https://www.suredividend.com/sure-analysis-LHX/","L3Harris Technologies Inc")</f>
        <v>0</v>
      </c>
      <c r="C1686">
        <v>0.057429240438729</v>
      </c>
      <c r="D1686">
        <v>0.134658048772531</v>
      </c>
      <c r="E1686">
        <v>0.08646425338029601</v>
      </c>
      <c r="F1686">
        <v>0.212451496758914</v>
      </c>
      <c r="G1686">
        <v>0.243858265585798</v>
      </c>
      <c r="H1686">
        <v>0.340891486294944</v>
      </c>
      <c r="I1686">
        <v>1.426579725460233</v>
      </c>
    </row>
    <row r="1687" spans="1:9">
      <c r="A1687" s="1" t="s">
        <v>1699</v>
      </c>
      <c r="B1687">
        <f>HYPERLINK("https://www.suredividend.com/sure-analysis-research-database/","Atyr Pharma Inc")</f>
        <v>0</v>
      </c>
      <c r="C1687">
        <v>0.03125</v>
      </c>
      <c r="D1687">
        <v>-0.261194029850746</v>
      </c>
      <c r="E1687">
        <v>-0.431687715269804</v>
      </c>
      <c r="F1687">
        <v>-0.337349397590361</v>
      </c>
      <c r="G1687">
        <v>0.312997347480106</v>
      </c>
      <c r="H1687">
        <v>0.7187500000000001</v>
      </c>
      <c r="I1687">
        <v>-0.8877551020408161</v>
      </c>
    </row>
    <row r="1688" spans="1:9">
      <c r="A1688" s="1" t="s">
        <v>1700</v>
      </c>
      <c r="B1688">
        <f>HYPERLINK("https://www.suredividend.com/sure-analysis-research-database/","Lennox International Inc")</f>
        <v>0</v>
      </c>
      <c r="C1688">
        <v>-0.106446979827284</v>
      </c>
      <c r="D1688">
        <v>-0.173750071448099</v>
      </c>
      <c r="E1688">
        <v>-0.21898571644781</v>
      </c>
      <c r="F1688">
        <v>-0.257659064550188</v>
      </c>
      <c r="G1688">
        <v>-0.272838348655769</v>
      </c>
      <c r="H1688">
        <v>0.313883160985182</v>
      </c>
      <c r="I1688">
        <v>0.540883895592851</v>
      </c>
    </row>
    <row r="1689" spans="1:9">
      <c r="A1689" s="1" t="s">
        <v>1701</v>
      </c>
      <c r="B1689">
        <f>HYPERLINK("https://www.suredividend.com/sure-analysis-research-database/","Liberty Latin America Ltd")</f>
        <v>0</v>
      </c>
      <c r="C1689">
        <v>0.111225540679711</v>
      </c>
      <c r="D1689">
        <v>-0.05017605633802801</v>
      </c>
      <c r="E1689">
        <v>-0.154388714733542</v>
      </c>
      <c r="F1689">
        <v>-0.07461406518010301</v>
      </c>
      <c r="G1689">
        <v>-0.220938628158844</v>
      </c>
      <c r="H1689">
        <v>0.08184525301543001</v>
      </c>
      <c r="I1689">
        <v>-0.648184678589478</v>
      </c>
    </row>
    <row r="1690" spans="1:9">
      <c r="A1690" s="1" t="s">
        <v>1702</v>
      </c>
      <c r="B1690">
        <f>HYPERLINK("https://www.suredividend.com/sure-analysis-research-database/","Liberty Latin America Ltd")</f>
        <v>0</v>
      </c>
      <c r="C1690">
        <v>0.098461538461538</v>
      </c>
      <c r="D1690">
        <v>-0.039461883408071</v>
      </c>
      <c r="E1690">
        <v>-0.161971830985915</v>
      </c>
      <c r="F1690">
        <v>-0.06052631578947301</v>
      </c>
      <c r="G1690">
        <v>-0.235</v>
      </c>
      <c r="H1690">
        <v>0.102418939783839</v>
      </c>
      <c r="I1690">
        <v>-0.6782788670369511</v>
      </c>
    </row>
    <row r="1691" spans="1:9">
      <c r="A1691" s="1" t="s">
        <v>1703</v>
      </c>
      <c r="B1691">
        <f>HYPERLINK("https://www.suredividend.com/sure-analysis-LIN/","Linde Plc")</f>
        <v>0</v>
      </c>
      <c r="C1691">
        <v>0.045939644698387</v>
      </c>
      <c r="D1691">
        <v>-0.026875194574551</v>
      </c>
      <c r="E1691">
        <v>0.040963679021601</v>
      </c>
      <c r="F1691">
        <v>-0.076875636147801</v>
      </c>
      <c r="G1691">
        <v>0.114246274593211</v>
      </c>
      <c r="H1691">
        <v>0.7935583483631771</v>
      </c>
      <c r="I1691">
        <v>1.043103243679766</v>
      </c>
    </row>
    <row r="1692" spans="1:9">
      <c r="A1692" s="1" t="s">
        <v>1704</v>
      </c>
      <c r="B1692">
        <f>HYPERLINK("https://www.suredividend.com/sure-analysis-research-database/","Lincoln Educational Services Corp")</f>
        <v>0</v>
      </c>
      <c r="C1692">
        <v>-0.08613728129205901</v>
      </c>
      <c r="D1692">
        <v>-0.074931880108991</v>
      </c>
      <c r="E1692">
        <v>0.005925925925925</v>
      </c>
      <c r="F1692">
        <v>-0.09103078982597</v>
      </c>
      <c r="G1692">
        <v>0.05928237129485101</v>
      </c>
      <c r="H1692">
        <v>1.88936170212766</v>
      </c>
      <c r="I1692">
        <v>1.451263537906137</v>
      </c>
    </row>
    <row r="1693" spans="1:9">
      <c r="A1693" s="1" t="s">
        <v>1705</v>
      </c>
      <c r="B1693">
        <f>HYPERLINK("https://www.suredividend.com/sure-analysis-research-database/","Lindblad Expeditions Holdings Inc")</f>
        <v>0</v>
      </c>
      <c r="C1693">
        <v>0.23263075722092</v>
      </c>
      <c r="D1693">
        <v>-0.147868321640582</v>
      </c>
      <c r="E1693">
        <v>0.048472775564408</v>
      </c>
      <c r="F1693">
        <v>0.012179487179487</v>
      </c>
      <c r="G1693">
        <v>-0.09357060849598101</v>
      </c>
      <c r="H1693">
        <v>2.324210526315789</v>
      </c>
      <c r="I1693">
        <v>0.7294633077765601</v>
      </c>
    </row>
    <row r="1694" spans="1:9">
      <c r="A1694" s="1" t="s">
        <v>1706</v>
      </c>
      <c r="B1694">
        <f>HYPERLINK("https://www.suredividend.com/sure-analysis-research-database/","LiqTech International Inc")</f>
        <v>0</v>
      </c>
      <c r="C1694">
        <v>-0.6469565217391301</v>
      </c>
      <c r="D1694">
        <v>-0.6387900355871881</v>
      </c>
      <c r="E1694">
        <v>-0.65593220338983</v>
      </c>
      <c r="F1694">
        <v>-0.6451048951048951</v>
      </c>
      <c r="G1694">
        <v>-0.742712294043092</v>
      </c>
      <c r="H1694">
        <v>-0.598019801980198</v>
      </c>
      <c r="I1694">
        <v>-0.6267284495439831</v>
      </c>
    </row>
    <row r="1695" spans="1:9">
      <c r="A1695" s="1" t="s">
        <v>1707</v>
      </c>
      <c r="B1695">
        <f>HYPERLINK("https://www.suredividend.com/sure-analysis-research-database/","Lumentum Holdings Inc")</f>
        <v>0</v>
      </c>
      <c r="C1695">
        <v>-0.063832112799212</v>
      </c>
      <c r="D1695">
        <v>-0.194716058668672</v>
      </c>
      <c r="E1695">
        <v>0.005399694799859</v>
      </c>
      <c r="F1695">
        <v>-0.190224071097664</v>
      </c>
      <c r="G1695">
        <v>-0.080909968880781</v>
      </c>
      <c r="H1695">
        <v>0.08513873052071401</v>
      </c>
      <c r="I1695">
        <v>0.942176870748299</v>
      </c>
    </row>
    <row r="1696" spans="1:9">
      <c r="A1696" s="1" t="s">
        <v>1708</v>
      </c>
      <c r="B1696">
        <f>HYPERLINK("https://www.suredividend.com/sure-analysis-research-database/","Live Ventures Inc")</f>
        <v>0</v>
      </c>
      <c r="C1696">
        <v>-0.03751233958539001</v>
      </c>
      <c r="D1696">
        <v>0.387900355871886</v>
      </c>
      <c r="E1696">
        <v>0.143715138682791</v>
      </c>
      <c r="F1696">
        <v>0.236917221693625</v>
      </c>
      <c r="G1696">
        <v>0.315345699831366</v>
      </c>
      <c r="H1696">
        <v>6.358490566037736</v>
      </c>
      <c r="I1696">
        <v>1.535760728218465</v>
      </c>
    </row>
    <row r="1697" spans="1:9">
      <c r="A1697" s="1" t="s">
        <v>1709</v>
      </c>
      <c r="B1697">
        <f>HYPERLINK("https://www.suredividend.com/sure-analysis-research-database/","LivaNova PLC")</f>
        <v>0</v>
      </c>
      <c r="C1697">
        <v>0.07267709291628301</v>
      </c>
      <c r="D1697">
        <v>-0.03727294173154001</v>
      </c>
      <c r="E1697">
        <v>-0.02705924424842</v>
      </c>
      <c r="F1697">
        <v>-0.06645316253002401</v>
      </c>
      <c r="G1697">
        <v>0.003442340791738</v>
      </c>
      <c r="H1697">
        <v>0.7288710019063751</v>
      </c>
      <c r="I1697">
        <v>0.609544468546637</v>
      </c>
    </row>
    <row r="1698" spans="1:9">
      <c r="A1698" s="1" t="s">
        <v>1710</v>
      </c>
      <c r="B1698">
        <f>HYPERLINK("https://www.suredividend.com/sure-analysis-research-database/","LiveXLive Media Inc")</f>
        <v>0</v>
      </c>
      <c r="C1698">
        <v>-0.06969696969696901</v>
      </c>
      <c r="D1698">
        <v>-0.310112359550561</v>
      </c>
      <c r="E1698">
        <v>-0.270783847980997</v>
      </c>
      <c r="F1698">
        <v>-0.06402439024390201</v>
      </c>
      <c r="G1698">
        <v>0.329004329004328</v>
      </c>
      <c r="H1698">
        <v>0.6775956284153001</v>
      </c>
      <c r="I1698">
        <v>-0.6588888888888881</v>
      </c>
    </row>
    <row r="1699" spans="1:9">
      <c r="A1699" s="1" t="s">
        <v>1711</v>
      </c>
      <c r="B1699">
        <f>HYPERLINK("https://www.suredividend.com/sure-analysis-research-database/","La Jolla Pharmaceutical Co.")</f>
        <v>0</v>
      </c>
      <c r="C1699">
        <v>0.028235294117647</v>
      </c>
      <c r="D1699">
        <v>-0.111788617886178</v>
      </c>
      <c r="E1699">
        <v>0.103535353535353</v>
      </c>
      <c r="F1699">
        <v>-0.06021505376344</v>
      </c>
      <c r="G1699">
        <v>0.073710073710073</v>
      </c>
      <c r="H1699">
        <v>-0.35735294117647</v>
      </c>
      <c r="I1699">
        <v>-0.843481375358166</v>
      </c>
    </row>
    <row r="1700" spans="1:9">
      <c r="A1700" s="1" t="s">
        <v>1712</v>
      </c>
      <c r="B1700">
        <f>HYPERLINK("https://www.suredividend.com/sure-analysis-research-database/","Lakeland Financial Corp.")</f>
        <v>0</v>
      </c>
      <c r="C1700">
        <v>-0.08483799159040301</v>
      </c>
      <c r="D1700">
        <v>-0.123596570183334</v>
      </c>
      <c r="E1700">
        <v>-0.007831427878059001</v>
      </c>
      <c r="F1700">
        <v>-0.071979292597404</v>
      </c>
      <c r="G1700">
        <v>0.08433805557672101</v>
      </c>
      <c r="H1700">
        <v>1.274837226174153</v>
      </c>
      <c r="I1700">
        <v>0.9881463490647651</v>
      </c>
    </row>
    <row r="1701" spans="1:9">
      <c r="A1701" s="1" t="s">
        <v>1713</v>
      </c>
      <c r="B1701">
        <f>HYPERLINK("https://www.suredividend.com/sure-analysis-research-database/","LKQ Corp")</f>
        <v>0</v>
      </c>
      <c r="C1701">
        <v>-0.001274968125796</v>
      </c>
      <c r="D1701">
        <v>-0.166237959234358</v>
      </c>
      <c r="E1701">
        <v>-0.140924876622189</v>
      </c>
      <c r="F1701">
        <v>-0.212767240397435</v>
      </c>
      <c r="G1701">
        <v>0.06230773925091401</v>
      </c>
      <c r="H1701">
        <v>1.392332320409648</v>
      </c>
      <c r="I1701">
        <v>0.6987808536554511</v>
      </c>
    </row>
    <row r="1702" spans="1:9">
      <c r="A1702" s="1" t="s">
        <v>1714</v>
      </c>
      <c r="B1702">
        <f>HYPERLINK("https://www.suredividend.com/sure-analysis-research-database/","LL Flooring Holdings Inc")</f>
        <v>0</v>
      </c>
      <c r="C1702">
        <v>-0.108834827144686</v>
      </c>
      <c r="D1702">
        <v>-0.122873345935727</v>
      </c>
      <c r="E1702">
        <v>-0.234744365035733</v>
      </c>
      <c r="F1702">
        <v>-0.184534270650263</v>
      </c>
      <c r="G1702">
        <v>-0.493265380414998</v>
      </c>
      <c r="H1702">
        <v>1.729411764705882</v>
      </c>
      <c r="I1702">
        <v>-0.354359925788497</v>
      </c>
    </row>
    <row r="1703" spans="1:9">
      <c r="A1703" s="1" t="s">
        <v>1715</v>
      </c>
      <c r="B1703">
        <f>HYPERLINK("https://www.suredividend.com/sure-analysis-research-database/","Limelight Networks Inc")</f>
        <v>0</v>
      </c>
      <c r="C1703">
        <v>0.170995670995671</v>
      </c>
      <c r="D1703">
        <v>0.5545977011494251</v>
      </c>
      <c r="E1703">
        <v>0.8916083916083911</v>
      </c>
      <c r="F1703">
        <v>0.5772594752186581</v>
      </c>
      <c r="G1703">
        <v>0.528248587570621</v>
      </c>
      <c r="H1703">
        <v>-0.215942028985507</v>
      </c>
      <c r="I1703">
        <v>1.199186991869918</v>
      </c>
    </row>
    <row r="1704" spans="1:9">
      <c r="A1704" s="1" t="s">
        <v>1716</v>
      </c>
      <c r="B1704">
        <f>HYPERLINK("https://www.suredividend.com/sure-analysis-LLY/","Lilly(Eli) &amp; Co")</f>
        <v>0</v>
      </c>
      <c r="C1704">
        <v>0.09195485457965501</v>
      </c>
      <c r="D1704">
        <v>0.241684669846634</v>
      </c>
      <c r="E1704">
        <v>0.278393931334499</v>
      </c>
      <c r="F1704">
        <v>0.09738660865512501</v>
      </c>
      <c r="G1704">
        <v>0.619204301571302</v>
      </c>
      <c r="H1704">
        <v>1.018135541208113</v>
      </c>
      <c r="I1704">
        <v>2.905110952706837</v>
      </c>
    </row>
    <row r="1705" spans="1:9">
      <c r="A1705" s="1" t="s">
        <v>1717</v>
      </c>
      <c r="B1705">
        <f>HYPERLINK("https://www.suredividend.com/sure-analysis-research-database/","Lemaitre Vascular Inc")</f>
        <v>0</v>
      </c>
      <c r="C1705">
        <v>0.06357191859135601</v>
      </c>
      <c r="D1705">
        <v>0.018350451809536</v>
      </c>
      <c r="E1705">
        <v>-0.127914062690434</v>
      </c>
      <c r="F1705">
        <v>-0.071664098490231</v>
      </c>
      <c r="G1705">
        <v>-0.07060485619453501</v>
      </c>
      <c r="H1705">
        <v>0.7071774128425551</v>
      </c>
      <c r="I1705">
        <v>0.9487647906680521</v>
      </c>
    </row>
    <row r="1706" spans="1:9">
      <c r="A1706" s="1" t="s">
        <v>1718</v>
      </c>
      <c r="B1706">
        <f>HYPERLINK("https://www.suredividend.com/sure-analysis-research-database/","LM Funding America Inc")</f>
        <v>0</v>
      </c>
      <c r="C1706">
        <v>-0.051587301587301</v>
      </c>
      <c r="D1706">
        <v>-0.4254807692307691</v>
      </c>
      <c r="E1706">
        <v>-0.496842105263157</v>
      </c>
      <c r="F1706">
        <v>-0.5082304526748971</v>
      </c>
      <c r="G1706">
        <v>-0.549056603773584</v>
      </c>
      <c r="H1706">
        <v>-0.314695340501792</v>
      </c>
      <c r="I1706">
        <v>-0.9885096153846151</v>
      </c>
    </row>
    <row r="1707" spans="1:9">
      <c r="A1707" s="1" t="s">
        <v>1719</v>
      </c>
      <c r="B1707">
        <f>HYPERLINK("https://www.suredividend.com/sure-analysis-research-database/","Limoneira Co")</f>
        <v>0</v>
      </c>
      <c r="C1707">
        <v>0.032149404557852</v>
      </c>
      <c r="D1707">
        <v>-0.08215537750916101</v>
      </c>
      <c r="E1707">
        <v>-0.130936768590737</v>
      </c>
      <c r="F1707">
        <v>-0.0717531466563</v>
      </c>
      <c r="G1707">
        <v>-0.19644929217916</v>
      </c>
      <c r="H1707">
        <v>0.114374220541497</v>
      </c>
      <c r="I1707">
        <v>-0.242623094253778</v>
      </c>
    </row>
    <row r="1708" spans="1:9">
      <c r="A1708" s="1" t="s">
        <v>1720</v>
      </c>
      <c r="B1708">
        <f>HYPERLINK("https://www.suredividend.com/sure-analysis-research-database/","Luminex Corp")</f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1721</v>
      </c>
      <c r="B1709">
        <f>HYPERLINK("https://www.suredividend.com/sure-analysis-research-database/","Limestone Bancorp Inc")</f>
        <v>0</v>
      </c>
      <c r="C1709">
        <v>0.09105098855358901</v>
      </c>
      <c r="D1709">
        <v>0.07155997056659301</v>
      </c>
      <c r="E1709">
        <v>0.159652712492396</v>
      </c>
      <c r="F1709">
        <v>0.126710617514789</v>
      </c>
      <c r="G1709">
        <v>0.343412665364041</v>
      </c>
      <c r="H1709">
        <v>0.603701437748546</v>
      </c>
      <c r="I1709">
        <v>1.259698275862069</v>
      </c>
    </row>
    <row r="1710" spans="1:9">
      <c r="A1710" s="1" t="s">
        <v>1722</v>
      </c>
      <c r="B1710">
        <f>HYPERLINK("https://www.suredividend.com/sure-analysis-LMT/","Lockheed Martin Corp.")</f>
        <v>0</v>
      </c>
      <c r="C1710">
        <v>0.109934969383395</v>
      </c>
      <c r="D1710">
        <v>0.263699695275596</v>
      </c>
      <c r="E1710">
        <v>0.29854912139821</v>
      </c>
      <c r="F1710">
        <v>0.324891679353889</v>
      </c>
      <c r="G1710">
        <v>0.22876152210252</v>
      </c>
      <c r="H1710">
        <v>0.308579469634414</v>
      </c>
      <c r="I1710">
        <v>0.9654584318528161</v>
      </c>
    </row>
    <row r="1711" spans="1:9">
      <c r="A1711" s="1" t="s">
        <v>1723</v>
      </c>
      <c r="B1711">
        <f>HYPERLINK("https://www.suredividend.com/sure-analysis-LNC/","Lincoln National Corp.")</f>
        <v>0</v>
      </c>
      <c r="C1711">
        <v>-0.007981076459721001</v>
      </c>
      <c r="D1711">
        <v>-0.120238180741455</v>
      </c>
      <c r="E1711">
        <v>-0.09001710072607901</v>
      </c>
      <c r="F1711">
        <v>-0.03615888828677601</v>
      </c>
      <c r="G1711">
        <v>0.025231237652454</v>
      </c>
      <c r="H1711">
        <v>1.504619966743955</v>
      </c>
      <c r="I1711">
        <v>0.175505592342917</v>
      </c>
    </row>
    <row r="1712" spans="1:9">
      <c r="A1712" s="1" t="s">
        <v>1724</v>
      </c>
      <c r="B1712">
        <f>HYPERLINK("https://www.suredividend.com/sure-analysis-research-database/","Landec Corp.")</f>
        <v>0</v>
      </c>
      <c r="C1712">
        <v>-0.09283819628647201</v>
      </c>
      <c r="D1712">
        <v>-0.06386861313868601</v>
      </c>
      <c r="E1712">
        <v>0.04587155963302701</v>
      </c>
      <c r="F1712">
        <v>-0.075675675675675</v>
      </c>
      <c r="G1712">
        <v>-0.08392857142857101</v>
      </c>
      <c r="H1712">
        <v>0.08</v>
      </c>
      <c r="I1712">
        <v>-0.251094890510948</v>
      </c>
    </row>
    <row r="1713" spans="1:9">
      <c r="A1713" s="1" t="s">
        <v>1725</v>
      </c>
      <c r="B1713">
        <f>HYPERLINK("https://www.suredividend.com/sure-analysis-research-database/","Cheniere Energy Inc.")</f>
        <v>0</v>
      </c>
      <c r="C1713">
        <v>0.108436606291706</v>
      </c>
      <c r="D1713">
        <v>0.238335963306986</v>
      </c>
      <c r="E1713">
        <v>0.270446837085429</v>
      </c>
      <c r="F1713">
        <v>0.379727021112701</v>
      </c>
      <c r="G1713">
        <v>0.89768314825267</v>
      </c>
      <c r="H1713">
        <v>2.65646570474688</v>
      </c>
      <c r="I1713">
        <v>1.996836279051785</v>
      </c>
    </row>
    <row r="1714" spans="1:9">
      <c r="A1714" s="1" t="s">
        <v>1726</v>
      </c>
      <c r="B1714">
        <f>HYPERLINK("https://www.suredividend.com/sure-analysis-research-database/","Lindsay Corporation")</f>
        <v>0</v>
      </c>
      <c r="C1714">
        <v>-0.008637559889331001</v>
      </c>
      <c r="D1714">
        <v>0.05102527010727</v>
      </c>
      <c r="E1714">
        <v>-0.08392062765560701</v>
      </c>
      <c r="F1714">
        <v>-0.030982058228143</v>
      </c>
      <c r="G1714">
        <v>-0.100117791402024</v>
      </c>
      <c r="H1714">
        <v>0.657110822599693</v>
      </c>
      <c r="I1714">
        <v>0.8606612813751491</v>
      </c>
    </row>
    <row r="1715" spans="1:9">
      <c r="A1715" s="1" t="s">
        <v>1727</v>
      </c>
      <c r="B1715">
        <f>HYPERLINK("https://www.suredividend.com/sure-analysis-LNT/","Alliant Energy Corp.")</f>
        <v>0</v>
      </c>
      <c r="C1715">
        <v>0.041570818271442</v>
      </c>
      <c r="D1715">
        <v>0.062982421131533</v>
      </c>
      <c r="E1715">
        <v>0.153107332300102</v>
      </c>
      <c r="F1715">
        <v>0.038773333071141</v>
      </c>
      <c r="G1715">
        <v>0.16136762534306</v>
      </c>
      <c r="H1715">
        <v>0.301867262525774</v>
      </c>
      <c r="I1715">
        <v>0.841635072122717</v>
      </c>
    </row>
    <row r="1716" spans="1:9">
      <c r="A1716" s="1" t="s">
        <v>1728</v>
      </c>
      <c r="B1716">
        <f>HYPERLINK("https://www.suredividend.com/sure-analysis-research-database/","Lantheus Holdings Inc")</f>
        <v>0</v>
      </c>
      <c r="C1716">
        <v>0.096398690432884</v>
      </c>
      <c r="D1716">
        <v>1.208867717112495</v>
      </c>
      <c r="E1716">
        <v>1.591573516766982</v>
      </c>
      <c r="F1716">
        <v>1.086535133264105</v>
      </c>
      <c r="G1716">
        <v>1.777880184331797</v>
      </c>
      <c r="H1716">
        <v>3.58403041825095</v>
      </c>
      <c r="I1716">
        <v>4.555760368663595</v>
      </c>
    </row>
    <row r="1717" spans="1:9">
      <c r="A1717" s="1" t="s">
        <v>1729</v>
      </c>
      <c r="B1717">
        <f>HYPERLINK("https://www.suredividend.com/sure-analysis-research-database/","Manhattan Bridge Capital Inc")</f>
        <v>0</v>
      </c>
      <c r="C1717">
        <v>-0.005026332492752</v>
      </c>
      <c r="D1717">
        <v>0.031386147417088</v>
      </c>
      <c r="E1717">
        <v>-0.027286296476428</v>
      </c>
      <c r="F1717">
        <v>0.076386311335461</v>
      </c>
      <c r="G1717">
        <v>0.015566178144315</v>
      </c>
      <c r="H1717">
        <v>0.749992456929065</v>
      </c>
      <c r="I1717">
        <v>0.520553691275167</v>
      </c>
    </row>
    <row r="1718" spans="1:9">
      <c r="A1718" s="1" t="s">
        <v>1730</v>
      </c>
      <c r="B1718">
        <f>HYPERLINK("https://www.suredividend.com/sure-analysis-research-database/","Live Oak Bancshares Inc")</f>
        <v>0</v>
      </c>
      <c r="C1718">
        <v>-0.185961871750433</v>
      </c>
      <c r="D1718">
        <v>-0.418629837892164</v>
      </c>
      <c r="E1718">
        <v>-0.334649773919744</v>
      </c>
      <c r="F1718">
        <v>-0.461655103961196</v>
      </c>
      <c r="G1718">
        <v>-0.342814968204109</v>
      </c>
      <c r="H1718">
        <v>2.800869093763402</v>
      </c>
      <c r="I1718">
        <v>1.2522932920309</v>
      </c>
    </row>
    <row r="1719" spans="1:9">
      <c r="A1719" s="1" t="s">
        <v>1731</v>
      </c>
      <c r="B1719">
        <f>HYPERLINK("https://www.suredividend.com/sure-analysis-research-database/","El Pollo Loco Holdings Inc")</f>
        <v>0</v>
      </c>
      <c r="C1719">
        <v>-0.03397212543554001</v>
      </c>
      <c r="D1719">
        <v>-0.200432588320115</v>
      </c>
      <c r="E1719">
        <v>-0.27940220922677</v>
      </c>
      <c r="F1719">
        <v>-0.218463706835799</v>
      </c>
      <c r="G1719">
        <v>-0.358959537572254</v>
      </c>
      <c r="H1719">
        <v>0.08619000979431901</v>
      </c>
      <c r="I1719">
        <v>-0.071966527196652</v>
      </c>
    </row>
    <row r="1720" spans="1:9">
      <c r="A1720" s="1" t="s">
        <v>1732</v>
      </c>
      <c r="B1720">
        <f>HYPERLINK("https://www.suredividend.com/sure-analysis-research-database/","Comstock Mining Inc")</f>
        <v>0</v>
      </c>
      <c r="C1720">
        <v>-0.090361445783132</v>
      </c>
      <c r="D1720">
        <v>-0.013071895424836</v>
      </c>
      <c r="E1720">
        <v>-0.388663967611336</v>
      </c>
      <c r="F1720">
        <v>0.170542635658914</v>
      </c>
      <c r="G1720">
        <v>-0.6186868686868681</v>
      </c>
      <c r="H1720">
        <v>2.357794084945519</v>
      </c>
      <c r="I1720">
        <v>-0.7192003719200371</v>
      </c>
    </row>
    <row r="1721" spans="1:9">
      <c r="A1721" s="1" t="s">
        <v>1733</v>
      </c>
      <c r="B1721">
        <f>HYPERLINK("https://www.suredividend.com/sure-analysis-research-database/","Lonestar Resources US Inc")</f>
        <v>0</v>
      </c>
      <c r="C1721">
        <v>0.5888778550148951</v>
      </c>
      <c r="D1721">
        <v>0.5238095238095231</v>
      </c>
      <c r="E1721">
        <v>1.61437908496732</v>
      </c>
      <c r="F1721">
        <v>2.137254901960784</v>
      </c>
      <c r="G1721">
        <v>2.137254901960784</v>
      </c>
      <c r="H1721">
        <v>2.137254901960784</v>
      </c>
      <c r="I1721">
        <v>2.137254901960784</v>
      </c>
    </row>
    <row r="1722" spans="1:9">
      <c r="A1722" s="1" t="s">
        <v>1734</v>
      </c>
      <c r="B1722">
        <f>HYPERLINK("https://www.suredividend.com/sure-analysis-research-database/","Loop Industries Inc")</f>
        <v>0</v>
      </c>
      <c r="C1722">
        <v>-0.021197007481296</v>
      </c>
      <c r="D1722">
        <v>-0.171940928270042</v>
      </c>
      <c r="E1722">
        <v>-0.353909465020576</v>
      </c>
      <c r="F1722">
        <v>-0.360228198859005</v>
      </c>
      <c r="G1722">
        <v>-0.045012165450121</v>
      </c>
      <c r="H1722">
        <v>0.06368563685636801</v>
      </c>
      <c r="I1722">
        <v>-0.485242526180499</v>
      </c>
    </row>
    <row r="1723" spans="1:9">
      <c r="A1723" s="1" t="s">
        <v>1735</v>
      </c>
      <c r="B1723">
        <f>HYPERLINK("https://www.suredividend.com/sure-analysis-research-database/","Grand Canyon Education Inc")</f>
        <v>0</v>
      </c>
      <c r="C1723">
        <v>0.078594249201277</v>
      </c>
      <c r="D1723">
        <v>0.159738921332875</v>
      </c>
      <c r="E1723">
        <v>0.126334519572953</v>
      </c>
      <c r="F1723">
        <v>0.181659082954147</v>
      </c>
      <c r="G1723">
        <v>-0.122052704576976</v>
      </c>
      <c r="H1723">
        <v>0.337912813738441</v>
      </c>
      <c r="I1723">
        <v>0.4608394634357421</v>
      </c>
    </row>
    <row r="1724" spans="1:9">
      <c r="A1724" s="1" t="s">
        <v>1736</v>
      </c>
      <c r="B1724">
        <f>HYPERLINK("https://www.suredividend.com/sure-analysis-research-database/","Loral Space &amp; Communications Inc")</f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1737</v>
      </c>
      <c r="B1725">
        <f>HYPERLINK("https://www.suredividend.com/sure-analysis-research-database/","Lovesac Company")</f>
        <v>0</v>
      </c>
      <c r="C1725">
        <v>0.111582920500117</v>
      </c>
      <c r="D1725">
        <v>-0.104352784641703</v>
      </c>
      <c r="E1725">
        <v>-0.339778618467143</v>
      </c>
      <c r="F1725">
        <v>-0.288862058557199</v>
      </c>
      <c r="G1725">
        <v>-0.326857142857142</v>
      </c>
      <c r="H1725">
        <v>5.274300932090545</v>
      </c>
      <c r="I1725">
        <v>0.9641517298874531</v>
      </c>
    </row>
    <row r="1726" spans="1:9">
      <c r="A1726" s="1" t="s">
        <v>1738</v>
      </c>
      <c r="B1726">
        <f>HYPERLINK("https://www.suredividend.com/sure-analysis-LOW/","Lowe`s Cos., Inc.")</f>
        <v>0</v>
      </c>
      <c r="C1726">
        <v>-0.129901007219124</v>
      </c>
      <c r="D1726">
        <v>-0.173048479868529</v>
      </c>
      <c r="E1726">
        <v>-0.07825871127489001</v>
      </c>
      <c r="F1726">
        <v>-0.221293717115444</v>
      </c>
      <c r="G1726">
        <v>-0.0230567916191</v>
      </c>
      <c r="H1726">
        <v>1.229789760780603</v>
      </c>
      <c r="I1726">
        <v>1.667274471660208</v>
      </c>
    </row>
    <row r="1727" spans="1:9">
      <c r="A1727" s="1" t="s">
        <v>1739</v>
      </c>
      <c r="B1727">
        <f>HYPERLINK("https://www.suredividend.com/sure-analysis-research-database/","Lipocine Inc")</f>
        <v>0</v>
      </c>
      <c r="C1727">
        <v>-0.268965517241379</v>
      </c>
      <c r="D1727">
        <v>0.064684612294094</v>
      </c>
      <c r="E1727">
        <v>-0.06194690265486701</v>
      </c>
      <c r="F1727">
        <v>0.06951871657754001</v>
      </c>
      <c r="G1727">
        <v>-0.273972602739726</v>
      </c>
      <c r="H1727">
        <v>1.185567010309278</v>
      </c>
      <c r="I1727">
        <v>-0.717333333333333</v>
      </c>
    </row>
    <row r="1728" spans="1:9">
      <c r="A1728" s="1" t="s">
        <v>1740</v>
      </c>
      <c r="B1728">
        <f>HYPERLINK("https://www.suredividend.com/sure-analysis-research-database/","Dorian LPG Ltd")</f>
        <v>0</v>
      </c>
      <c r="C1728">
        <v>0.164697193500738</v>
      </c>
      <c r="D1728">
        <v>0.173363095238095</v>
      </c>
      <c r="E1728">
        <v>0.357540071965979</v>
      </c>
      <c r="F1728">
        <v>0.336146272855133</v>
      </c>
      <c r="G1728">
        <v>0.423028334235697</v>
      </c>
      <c r="H1728">
        <v>1.055660561819722</v>
      </c>
      <c r="I1728">
        <v>0.8924756990279611</v>
      </c>
    </row>
    <row r="1729" spans="1:9">
      <c r="A1729" s="1" t="s">
        <v>1741</v>
      </c>
      <c r="B1729">
        <f>HYPERLINK("https://www.suredividend.com/sure-analysis-research-database/","Laredo Petroleum Inc.")</f>
        <v>0</v>
      </c>
      <c r="C1729">
        <v>0.256671664167915</v>
      </c>
      <c r="D1729">
        <v>0.115814696485622</v>
      </c>
      <c r="E1729">
        <v>0.124949671185075</v>
      </c>
      <c r="F1729">
        <v>0.393979710626974</v>
      </c>
      <c r="G1729">
        <v>1.415561959654178</v>
      </c>
      <c r="H1729">
        <v>9.282139352306183</v>
      </c>
      <c r="I1729">
        <v>-0.705274261603375</v>
      </c>
    </row>
    <row r="1730" spans="1:9">
      <c r="A1730" s="1" t="s">
        <v>1742</v>
      </c>
      <c r="B1730">
        <f>HYPERLINK("https://www.suredividend.com/sure-analysis-research-database/","LPL Financial Holdings Inc")</f>
        <v>0</v>
      </c>
      <c r="C1730">
        <v>0.233679142545996</v>
      </c>
      <c r="D1730">
        <v>0.226440144091332</v>
      </c>
      <c r="E1730">
        <v>0.251633304703859</v>
      </c>
      <c r="F1730">
        <v>0.346640406219421</v>
      </c>
      <c r="G1730">
        <v>0.467747269795051</v>
      </c>
      <c r="H1730">
        <v>3.10594889501445</v>
      </c>
      <c r="I1730">
        <v>5.085279865198781</v>
      </c>
    </row>
    <row r="1731" spans="1:9">
      <c r="A1731" s="1" t="s">
        <v>1743</v>
      </c>
      <c r="B1731">
        <f>HYPERLINK("https://www.suredividend.com/sure-analysis-research-database/","Liveperson Inc")</f>
        <v>0</v>
      </c>
      <c r="C1731">
        <v>0.051709758131776</v>
      </c>
      <c r="D1731">
        <v>-0.245587795393359</v>
      </c>
      <c r="E1731">
        <v>-0.5718893226956371</v>
      </c>
      <c r="F1731">
        <v>-0.293952967525195</v>
      </c>
      <c r="G1731">
        <v>-0.5697714090754</v>
      </c>
      <c r="H1731">
        <v>0.176854876341577</v>
      </c>
      <c r="I1731">
        <v>2.655072463768116</v>
      </c>
    </row>
    <row r="1732" spans="1:9">
      <c r="A1732" s="1" t="s">
        <v>1744</v>
      </c>
      <c r="B1732">
        <f>HYPERLINK("https://www.suredividend.com/sure-analysis-research-database/","Lightpath Technologies, Inc.")</f>
        <v>0</v>
      </c>
      <c r="C1732">
        <v>-0.229665071770334</v>
      </c>
      <c r="D1732">
        <v>-0.383141762452107</v>
      </c>
      <c r="E1732">
        <v>-0.194999999999999</v>
      </c>
      <c r="F1732">
        <v>-0.3401639344262291</v>
      </c>
      <c r="G1732">
        <v>-0.40590405904059</v>
      </c>
      <c r="H1732">
        <v>0.05921052631578901</v>
      </c>
      <c r="I1732">
        <v>-0.37109375</v>
      </c>
    </row>
    <row r="1733" spans="1:9">
      <c r="A1733" s="1" t="s">
        <v>1745</v>
      </c>
      <c r="B1733">
        <f>HYPERLINK("https://www.suredividend.com/sure-analysis-research-database/","Louisiana-Pacific Corp.")</f>
        <v>0</v>
      </c>
      <c r="C1733">
        <v>-0.133742506423065</v>
      </c>
      <c r="D1733">
        <v>-0.194543760600727</v>
      </c>
      <c r="E1733">
        <v>-0.08088903427470601</v>
      </c>
      <c r="F1733">
        <v>-0.222814847066507</v>
      </c>
      <c r="G1733">
        <v>-0.07960527213747201</v>
      </c>
      <c r="H1733">
        <v>2.844497092397157</v>
      </c>
      <c r="I1733">
        <v>1.621371803731858</v>
      </c>
    </row>
    <row r="1734" spans="1:9">
      <c r="A1734" s="1" t="s">
        <v>1746</v>
      </c>
      <c r="B1734">
        <f>HYPERLINK("https://www.suredividend.com/sure-analysis-research-database/","Liquidia Corp")</f>
        <v>0</v>
      </c>
      <c r="C1734">
        <v>-0.177570093457943</v>
      </c>
      <c r="D1734">
        <v>-0.1552</v>
      </c>
      <c r="E1734">
        <v>0.649999999999999</v>
      </c>
      <c r="F1734">
        <v>0.084188911704312</v>
      </c>
      <c r="G1734">
        <v>0.8992805755395681</v>
      </c>
      <c r="H1734">
        <v>0.552941176470588</v>
      </c>
      <c r="I1734">
        <v>0.552941176470588</v>
      </c>
    </row>
    <row r="1735" spans="1:9">
      <c r="A1735" s="1" t="s">
        <v>1747</v>
      </c>
      <c r="B1735">
        <f>HYPERLINK("https://www.suredividend.com/sure-analysis-research-database/","Liquidity Services Inc")</f>
        <v>0</v>
      </c>
      <c r="C1735">
        <v>0.0072666294019</v>
      </c>
      <c r="D1735">
        <v>-0.14516129032258</v>
      </c>
      <c r="E1735">
        <v>-0.119687347337567</v>
      </c>
      <c r="F1735">
        <v>-0.183876811594202</v>
      </c>
      <c r="G1735">
        <v>0.014068655036578</v>
      </c>
      <c r="H1735">
        <v>2.777777777777778</v>
      </c>
      <c r="I1735">
        <v>1.48551724137931</v>
      </c>
    </row>
    <row r="1736" spans="1:9">
      <c r="A1736" s="1" t="s">
        <v>1748</v>
      </c>
      <c r="B1736">
        <f>HYPERLINK("https://www.suredividend.com/sure-analysis-LRCX/","Lam Research Corp.")</f>
        <v>0</v>
      </c>
      <c r="C1736">
        <v>-0.113374409609516</v>
      </c>
      <c r="D1736">
        <v>-0.372963705958246</v>
      </c>
      <c r="E1736">
        <v>-0.187506957648515</v>
      </c>
      <c r="F1736">
        <v>-0.363660370183493</v>
      </c>
      <c r="G1736">
        <v>-0.284343989311598</v>
      </c>
      <c r="H1736">
        <v>0.723670159905019</v>
      </c>
      <c r="I1736">
        <v>2.947034835074409</v>
      </c>
    </row>
    <row r="1737" spans="1:9">
      <c r="A1737" s="1" t="s">
        <v>1749</v>
      </c>
      <c r="B1737">
        <f>HYPERLINK("https://www.suredividend.com/sure-analysis-research-database/","Stride Inc")</f>
        <v>0</v>
      </c>
      <c r="C1737">
        <v>0.019781517567168</v>
      </c>
      <c r="D1737">
        <v>0.141818181818181</v>
      </c>
      <c r="E1737">
        <v>0.007290755322251001</v>
      </c>
      <c r="F1737">
        <v>0.036303630363036</v>
      </c>
      <c r="G1737">
        <v>0.06802721088435301</v>
      </c>
      <c r="H1737">
        <v>0.464179737176769</v>
      </c>
      <c r="I1737">
        <v>0.848047084002139</v>
      </c>
    </row>
    <row r="1738" spans="1:9">
      <c r="A1738" s="1" t="s">
        <v>1750</v>
      </c>
      <c r="B1738">
        <f>HYPERLINK("https://www.suredividend.com/sure-analysis-research-database/","Lake Shore Bancorp")</f>
        <v>0</v>
      </c>
      <c r="C1738">
        <v>0.011311914323962</v>
      </c>
      <c r="D1738">
        <v>0.028284808145153</v>
      </c>
      <c r="E1738">
        <v>0.024089035896323</v>
      </c>
      <c r="F1738">
        <v>0.024839243562959</v>
      </c>
      <c r="G1738">
        <v>0.05840898901591501</v>
      </c>
      <c r="H1738">
        <v>0.329385679342566</v>
      </c>
      <c r="I1738">
        <v>0.105420651004894</v>
      </c>
    </row>
    <row r="1739" spans="1:9">
      <c r="A1739" s="1" t="s">
        <v>1751</v>
      </c>
      <c r="B1739">
        <f>HYPERLINK("https://www.suredividend.com/sure-analysis-research-database/","Lattice Semiconductor Corp.")</f>
        <v>0</v>
      </c>
      <c r="C1739">
        <v>-0.156906266006487</v>
      </c>
      <c r="D1739">
        <v>-0.230121608980355</v>
      </c>
      <c r="E1739">
        <v>-0.252837040399455</v>
      </c>
      <c r="F1739">
        <v>-0.359200622891253</v>
      </c>
      <c r="G1739">
        <v>-0.147444751381215</v>
      </c>
      <c r="H1739">
        <v>1.460388639760837</v>
      </c>
      <c r="I1739">
        <v>6.283185840707965</v>
      </c>
    </row>
    <row r="1740" spans="1:9">
      <c r="A1740" s="1" t="s">
        <v>1752</v>
      </c>
      <c r="B1740">
        <f>HYPERLINK("https://www.suredividend.com/sure-analysis-LSI/","Life Storage Inc")</f>
        <v>0</v>
      </c>
      <c r="C1740">
        <v>0.106705354819763</v>
      </c>
      <c r="D1740">
        <v>0.055276709991505</v>
      </c>
      <c r="E1740">
        <v>0.180518642651074</v>
      </c>
      <c r="F1740">
        <v>-0.037042774047617</v>
      </c>
      <c r="G1740">
        <v>0.631407538993634</v>
      </c>
      <c r="H1740">
        <v>1.523820759627195</v>
      </c>
      <c r="I1740">
        <v>2.119578480548472</v>
      </c>
    </row>
    <row r="1741" spans="1:9">
      <c r="A1741" s="1" t="s">
        <v>1753</v>
      </c>
      <c r="B1741">
        <f>HYPERLINK("https://www.suredividend.com/sure-analysis-research-database/","Landstar System, Inc.")</f>
        <v>0</v>
      </c>
      <c r="C1741">
        <v>-0.087866372518121</v>
      </c>
      <c r="D1741">
        <v>-0.133445033551983</v>
      </c>
      <c r="E1741">
        <v>-0.09610653088172501</v>
      </c>
      <c r="F1741">
        <v>-0.181239168576693</v>
      </c>
      <c r="G1741">
        <v>-0.16259760821535</v>
      </c>
      <c r="H1741">
        <v>0.446220697815728</v>
      </c>
      <c r="I1741">
        <v>0.899886697379598</v>
      </c>
    </row>
    <row r="1742" spans="1:9">
      <c r="A1742" s="1" t="s">
        <v>1754</v>
      </c>
      <c r="B1742">
        <f>HYPERLINK("https://www.suredividend.com/sure-analysis-research-database/","Liberty Media Corp.")</f>
        <v>0</v>
      </c>
      <c r="C1742">
        <v>-0.000880669308674</v>
      </c>
      <c r="D1742">
        <v>-0.06683117417232101</v>
      </c>
      <c r="E1742">
        <v>-0.07255262620069401</v>
      </c>
      <c r="F1742">
        <v>-0.107571288102261</v>
      </c>
      <c r="G1742">
        <v>-0.000220312844238</v>
      </c>
      <c r="H1742">
        <v>0.474075373391283</v>
      </c>
      <c r="I1742">
        <v>0.187575728234102</v>
      </c>
    </row>
    <row r="1743" spans="1:9">
      <c r="A1743" s="1" t="s">
        <v>1755</v>
      </c>
      <c r="B1743">
        <f>HYPERLINK("https://www.suredividend.com/sure-analysis-research-database/","Liberty Media Corp.")</f>
        <v>0</v>
      </c>
      <c r="C1743">
        <v>-0.005486065393899</v>
      </c>
      <c r="D1743">
        <v>-0.068639539662967</v>
      </c>
      <c r="E1743">
        <v>-0.07054963084495401</v>
      </c>
      <c r="F1743">
        <v>-0.108751229105211</v>
      </c>
      <c r="G1743">
        <v>-0.003956043956043</v>
      </c>
      <c r="H1743">
        <v>0.4424209246516481</v>
      </c>
      <c r="I1743">
        <v>0.184037956097586</v>
      </c>
    </row>
    <row r="1744" spans="1:9">
      <c r="A1744" s="1" t="s">
        <v>1756</v>
      </c>
      <c r="B1744">
        <f>HYPERLINK("https://www.suredividend.com/sure-analysis-research-database/","Lightbridge Corp")</f>
        <v>0</v>
      </c>
      <c r="C1744">
        <v>-0.032407407407407</v>
      </c>
      <c r="D1744">
        <v>0.298136645962732</v>
      </c>
      <c r="E1744">
        <v>0.331210191082802</v>
      </c>
      <c r="F1744">
        <v>0.26188679245283</v>
      </c>
      <c r="G1744">
        <v>0.5773584905660371</v>
      </c>
      <c r="H1744">
        <v>2.799999999999999</v>
      </c>
      <c r="I1744">
        <v>-0.459948320413436</v>
      </c>
    </row>
    <row r="1745" spans="1:9">
      <c r="A1745" s="1" t="s">
        <v>1757</v>
      </c>
      <c r="B1745">
        <f>HYPERLINK("https://www.suredividend.com/sure-analysis-LTC/","LTC Properties, Inc.")</f>
        <v>0</v>
      </c>
      <c r="C1745">
        <v>0.0258212426996</v>
      </c>
      <c r="D1745">
        <v>0.018345728097814</v>
      </c>
      <c r="E1745">
        <v>0.10600574954593</v>
      </c>
      <c r="F1745">
        <v>0.09470801833442401</v>
      </c>
      <c r="G1745">
        <v>-0.097596042966009</v>
      </c>
      <c r="H1745">
        <v>0.205953040621403</v>
      </c>
      <c r="I1745">
        <v>-0.014770407753258</v>
      </c>
    </row>
    <row r="1746" spans="1:9">
      <c r="A1746" s="1" t="s">
        <v>1758</v>
      </c>
      <c r="B1746">
        <f>HYPERLINK("https://www.suredividend.com/sure-analysis-research-database/","Livent Corp")</f>
        <v>0</v>
      </c>
      <c r="C1746">
        <v>0.07520412548345501</v>
      </c>
      <c r="D1746">
        <v>0.017900732302685</v>
      </c>
      <c r="E1746">
        <v>-0.055849056603773</v>
      </c>
      <c r="F1746">
        <v>0.02625102543068</v>
      </c>
      <c r="G1746">
        <v>0.50722891566265</v>
      </c>
      <c r="H1746">
        <v>3.284246575342465</v>
      </c>
      <c r="I1746">
        <v>0.474366529169122</v>
      </c>
    </row>
    <row r="1747" spans="1:9">
      <c r="A1747" s="1" t="s">
        <v>1759</v>
      </c>
      <c r="B1747">
        <f>HYPERLINK("https://www.suredividend.com/sure-analysis-research-database/","Liberty TripAdvisor Holdings Inc")</f>
        <v>0</v>
      </c>
      <c r="C1747">
        <v>-0.135678391959799</v>
      </c>
      <c r="D1747">
        <v>-0.271186440677966</v>
      </c>
      <c r="E1747">
        <v>-0.512747875354107</v>
      </c>
      <c r="F1747">
        <v>-0.2073732718894</v>
      </c>
      <c r="G1747">
        <v>-0.7008695652173911</v>
      </c>
      <c r="H1747">
        <v>-0.283333333333333</v>
      </c>
      <c r="I1747">
        <v>-0.8692015209125471</v>
      </c>
    </row>
    <row r="1748" spans="1:9">
      <c r="A1748" s="1" t="s">
        <v>1760</v>
      </c>
      <c r="B1748">
        <f>HYPERLINK("https://www.suredividend.com/sure-analysis-research-database/","Lantronix Inc")</f>
        <v>0</v>
      </c>
      <c r="C1748">
        <v>-0.042397660818713</v>
      </c>
      <c r="D1748">
        <v>-0.152652005174644</v>
      </c>
      <c r="E1748">
        <v>-0.064285714285714</v>
      </c>
      <c r="F1748">
        <v>-0.163473818646232</v>
      </c>
      <c r="G1748">
        <v>0.344969199178644</v>
      </c>
      <c r="H1748">
        <v>1.651821862348177</v>
      </c>
      <c r="I1748">
        <v>0.9848484848484841</v>
      </c>
    </row>
    <row r="1749" spans="1:9">
      <c r="A1749" s="1" t="s">
        <v>1761</v>
      </c>
      <c r="B1749">
        <f>HYPERLINK("https://www.suredividend.com/sure-analysis-research-database/","Luby`s, Inc.")</f>
        <v>0</v>
      </c>
      <c r="C1749">
        <v>-0.034588710385392</v>
      </c>
      <c r="D1749">
        <v>-0.061609352333816</v>
      </c>
      <c r="E1749">
        <v>-0.4567102240446601</v>
      </c>
      <c r="F1749">
        <v>-0.061609352333816</v>
      </c>
      <c r="G1749">
        <v>-0.230979020979021</v>
      </c>
      <c r="H1749">
        <v>2.578587699316628</v>
      </c>
      <c r="I1749">
        <v>-0.134230829790584</v>
      </c>
    </row>
    <row r="1750" spans="1:9">
      <c r="A1750" s="1" t="s">
        <v>1762</v>
      </c>
      <c r="B1750">
        <f>HYPERLINK("https://www.suredividend.com/sure-analysis-research-database/","Lululemon Athletica inc.")</f>
        <v>0</v>
      </c>
      <c r="C1750">
        <v>0.280825958702064</v>
      </c>
      <c r="D1750">
        <v>0.187853364946197</v>
      </c>
      <c r="E1750">
        <v>-0.03154816485341101</v>
      </c>
      <c r="F1750">
        <v>-0.0017115851322</v>
      </c>
      <c r="G1750">
        <v>0.205738969453872</v>
      </c>
      <c r="H1750">
        <v>0.8680625268894301</v>
      </c>
      <c r="I1750">
        <v>6.629441624365482</v>
      </c>
    </row>
    <row r="1751" spans="1:9">
      <c r="A1751" s="1" t="s">
        <v>1763</v>
      </c>
      <c r="B1751">
        <f>HYPERLINK("https://www.suredividend.com/sure-analysis-research-database/","Luna Innovations Inc")</f>
        <v>0</v>
      </c>
      <c r="C1751">
        <v>-0.152173913043478</v>
      </c>
      <c r="D1751">
        <v>-0.156756756756756</v>
      </c>
      <c r="E1751">
        <v>-0.304347826086956</v>
      </c>
      <c r="F1751">
        <v>-0.260663507109004</v>
      </c>
      <c r="G1751">
        <v>-0.458803122289679</v>
      </c>
      <c r="H1751">
        <v>-0.149863760217983</v>
      </c>
      <c r="I1751">
        <v>2.606936416184971</v>
      </c>
    </row>
    <row r="1752" spans="1:9">
      <c r="A1752" s="1" t="s">
        <v>1764</v>
      </c>
      <c r="B1752">
        <f>HYPERLINK("https://www.suredividend.com/sure-analysis-research-database/","Southwest Airlines Co")</f>
        <v>0</v>
      </c>
      <c r="C1752">
        <v>0.08441558441558401</v>
      </c>
      <c r="D1752">
        <v>0.020515058926233</v>
      </c>
      <c r="E1752">
        <v>-0.07148530579825201</v>
      </c>
      <c r="F1752">
        <v>0.09150326797385601</v>
      </c>
      <c r="G1752">
        <v>-0.250520916813592</v>
      </c>
      <c r="H1752">
        <v>0.524119947848761</v>
      </c>
      <c r="I1752">
        <v>-0.108676300434796</v>
      </c>
    </row>
    <row r="1753" spans="1:9">
      <c r="A1753" s="1" t="s">
        <v>1765</v>
      </c>
      <c r="B1753">
        <f>HYPERLINK("https://www.suredividend.com/sure-analysis-research-database/","Las Vegas Sands Corp")</f>
        <v>0</v>
      </c>
      <c r="C1753">
        <v>0.011494252873563</v>
      </c>
      <c r="D1753">
        <v>-0.14026517794836</v>
      </c>
      <c r="E1753">
        <v>-0.078304239401496</v>
      </c>
      <c r="F1753">
        <v>-0.018065887353878</v>
      </c>
      <c r="G1753">
        <v>-0.3940983606557371</v>
      </c>
      <c r="H1753">
        <v>-0.194771241830065</v>
      </c>
      <c r="I1753">
        <v>-0.232954722330024</v>
      </c>
    </row>
    <row r="1754" spans="1:9">
      <c r="A1754" s="1" t="s">
        <v>1766</v>
      </c>
      <c r="B1754">
        <f>HYPERLINK("https://www.suredividend.com/sure-analysis-research-database/","Lamb Weston Holdings Inc")</f>
        <v>0</v>
      </c>
      <c r="C1754">
        <v>0.294461190655614</v>
      </c>
      <c r="D1754">
        <v>0.000621838924786</v>
      </c>
      <c r="E1754">
        <v>0.231408350493477</v>
      </c>
      <c r="F1754">
        <v>0.08824251447215201</v>
      </c>
      <c r="G1754">
        <v>-0.135188066073595</v>
      </c>
      <c r="H1754">
        <v>0.228416449445594</v>
      </c>
      <c r="I1754">
        <v>0.7529358039242691</v>
      </c>
    </row>
    <row r="1755" spans="1:9">
      <c r="A1755" s="1" t="s">
        <v>1767</v>
      </c>
      <c r="B1755">
        <f>HYPERLINK("https://www.suredividend.com/sure-analysis-research-database/","Lifeway Foods, Inc.")</f>
        <v>0</v>
      </c>
      <c r="C1755">
        <v>-0.040755244755244</v>
      </c>
      <c r="D1755">
        <v>0.318961538461538</v>
      </c>
      <c r="E1755">
        <v>0.236898106402164</v>
      </c>
      <c r="F1755">
        <v>0.491</v>
      </c>
      <c r="G1755">
        <v>0.28438202247191</v>
      </c>
      <c r="H1755">
        <v>2.22</v>
      </c>
      <c r="I1755">
        <v>-0.280314795383</v>
      </c>
    </row>
    <row r="1756" spans="1:9">
      <c r="A1756" s="1" t="s">
        <v>1768</v>
      </c>
      <c r="B1756">
        <f>HYPERLINK("https://www.suredividend.com/sure-analysis-LXP/","LXP Industrial Trust")</f>
        <v>0</v>
      </c>
      <c r="C1756">
        <v>-0.130508740709724</v>
      </c>
      <c r="D1756">
        <v>-0.053695146004371</v>
      </c>
      <c r="E1756">
        <v>-0.063622912703445</v>
      </c>
      <c r="F1756">
        <v>-0.142752094742341</v>
      </c>
      <c r="G1756">
        <v>0.179299696523328</v>
      </c>
      <c r="H1756">
        <v>0.4058285291162</v>
      </c>
      <c r="I1756">
        <v>0.664891951143125</v>
      </c>
    </row>
    <row r="1757" spans="1:9">
      <c r="A1757" s="1" t="s">
        <v>1769</v>
      </c>
      <c r="B1757">
        <f>HYPERLINK("https://www.suredividend.com/sure-analysis-research-database/","Lexicon Pharmaceuticals Inc")</f>
        <v>0</v>
      </c>
      <c r="C1757">
        <v>0.09905660377358401</v>
      </c>
      <c r="D1757">
        <v>-0.32463768115942</v>
      </c>
      <c r="E1757">
        <v>-0.6217532467532461</v>
      </c>
      <c r="F1757">
        <v>-0.408629441624365</v>
      </c>
      <c r="G1757">
        <v>-0.5386138613861381</v>
      </c>
      <c r="H1757">
        <v>0.165</v>
      </c>
      <c r="I1757">
        <v>-0.8454907161803711</v>
      </c>
    </row>
    <row r="1758" spans="1:9">
      <c r="A1758" s="1" t="s">
        <v>1770</v>
      </c>
      <c r="B1758">
        <f>HYPERLINK("https://www.suredividend.com/sure-analysis-research-database/","LSB Industries, Inc.")</f>
        <v>0</v>
      </c>
      <c r="C1758">
        <v>0.335941575378194</v>
      </c>
      <c r="D1758">
        <v>1.349541284403669</v>
      </c>
      <c r="E1758">
        <v>1.765658747300216</v>
      </c>
      <c r="F1758">
        <v>1.317647058823529</v>
      </c>
      <c r="G1758">
        <v>4.335416666666667</v>
      </c>
      <c r="H1758">
        <v>20.61911193651865</v>
      </c>
      <c r="I1758">
        <v>3.421387013794175</v>
      </c>
    </row>
    <row r="1759" spans="1:9">
      <c r="A1759" s="1" t="s">
        <v>1771</v>
      </c>
      <c r="B1759">
        <f>HYPERLINK("https://www.suredividend.com/sure-analysis-LYB/","LyondellBasell Industries NV")</f>
        <v>0</v>
      </c>
      <c r="C1759">
        <v>0.06683855612852001</v>
      </c>
      <c r="D1759">
        <v>0.05837699786120801</v>
      </c>
      <c r="E1759">
        <v>0.09799935087601101</v>
      </c>
      <c r="F1759">
        <v>0.179787664540241</v>
      </c>
      <c r="G1759">
        <v>0.03306221611915</v>
      </c>
      <c r="H1759">
        <v>1.337572600989524</v>
      </c>
      <c r="I1759">
        <v>0.502887589372777</v>
      </c>
    </row>
    <row r="1760" spans="1:9">
      <c r="A1760" s="1" t="s">
        <v>1772</v>
      </c>
      <c r="B1760">
        <f>HYPERLINK("https://www.suredividend.com/sure-analysis-research-database/","Lyft Inc")</f>
        <v>0</v>
      </c>
      <c r="C1760">
        <v>-0.06127839408346501</v>
      </c>
      <c r="D1760">
        <v>-0.138633058652447</v>
      </c>
      <c r="E1760">
        <v>-0.31097324544397</v>
      </c>
      <c r="F1760">
        <v>-0.168265855370933</v>
      </c>
      <c r="G1760">
        <v>-0.439432176656151</v>
      </c>
      <c r="H1760">
        <v>0.309506263817243</v>
      </c>
      <c r="I1760">
        <v>-0.5460467492655511</v>
      </c>
    </row>
    <row r="1761" spans="1:9">
      <c r="A1761" s="1" t="s">
        <v>1773</v>
      </c>
      <c r="B1761">
        <f>HYPERLINK("https://www.suredividend.com/sure-analysis-research-database/","LSI Industries Inc.")</f>
        <v>0</v>
      </c>
      <c r="C1761">
        <v>0.0016077170418</v>
      </c>
      <c r="D1761">
        <v>-0.018310169865431</v>
      </c>
      <c r="E1761">
        <v>-0.200984981595721</v>
      </c>
      <c r="F1761">
        <v>-0.085571701159547</v>
      </c>
      <c r="G1761">
        <v>-0.260744713672069</v>
      </c>
      <c r="H1761">
        <v>0.211049122329568</v>
      </c>
      <c r="I1761">
        <v>-0.192994727910983</v>
      </c>
    </row>
    <row r="1762" spans="1:9">
      <c r="A1762" s="1" t="s">
        <v>1774</v>
      </c>
      <c r="B1762">
        <f>HYPERLINK("https://www.suredividend.com/sure-analysis-research-database/","Live Nation Entertainment Inc")</f>
        <v>0</v>
      </c>
      <c r="C1762">
        <v>-0.006249442014105</v>
      </c>
      <c r="D1762">
        <v>-0.030485149377231</v>
      </c>
      <c r="E1762">
        <v>0.09589445702471201</v>
      </c>
      <c r="F1762">
        <v>-0.070014203358676</v>
      </c>
      <c r="G1762">
        <v>0.37436720582788</v>
      </c>
      <c r="H1762">
        <v>2.057967032967033</v>
      </c>
      <c r="I1762">
        <v>2.629279426149331</v>
      </c>
    </row>
    <row r="1763" spans="1:9">
      <c r="A1763" s="1" t="s">
        <v>1775</v>
      </c>
      <c r="B1763">
        <f>HYPERLINK("https://www.suredividend.com/sure-analysis-research-database/","La-Z-Boy Inc.")</f>
        <v>0</v>
      </c>
      <c r="C1763">
        <v>-0.07225630538513901</v>
      </c>
      <c r="D1763">
        <v>-0.231498944087454</v>
      </c>
      <c r="E1763">
        <v>-0.173378035299976</v>
      </c>
      <c r="F1763">
        <v>-0.246102415962022</v>
      </c>
      <c r="G1763">
        <v>-0.366527420612294</v>
      </c>
      <c r="H1763">
        <v>0.44291424148935</v>
      </c>
      <c r="I1763">
        <v>0.09887004509323401</v>
      </c>
    </row>
    <row r="1764" spans="1:9">
      <c r="A1764" s="1" t="s">
        <v>1776</v>
      </c>
      <c r="B1764">
        <f>HYPERLINK("https://www.suredividend.com/sure-analysis-M/","Macy`s Inc")</f>
        <v>0</v>
      </c>
      <c r="C1764">
        <v>-0.036954087346024</v>
      </c>
      <c r="D1764">
        <v>-0.002952497256187</v>
      </c>
      <c r="E1764">
        <v>0.08694278383741301</v>
      </c>
      <c r="F1764">
        <v>-0.007905989479189001</v>
      </c>
      <c r="G1764">
        <v>0.5683699894226211</v>
      </c>
      <c r="H1764">
        <v>3.568959410639654</v>
      </c>
      <c r="I1764">
        <v>0.116457799626116</v>
      </c>
    </row>
    <row r="1765" spans="1:9">
      <c r="A1765" s="1" t="s">
        <v>1777</v>
      </c>
      <c r="B1765">
        <f>HYPERLINK("https://www.suredividend.com/sure-analysis-MA/","Mastercard Incorporated")</f>
        <v>0</v>
      </c>
      <c r="C1765">
        <v>0.039563070903361</v>
      </c>
      <c r="D1765">
        <v>-0.037145589549873</v>
      </c>
      <c r="E1765">
        <v>0.007828116607476001</v>
      </c>
      <c r="F1765">
        <v>-0.001484016544635</v>
      </c>
      <c r="G1765">
        <v>-0.069735760447208</v>
      </c>
      <c r="H1765">
        <v>0.4630546202424241</v>
      </c>
      <c r="I1765">
        <v>2.296367197360105</v>
      </c>
    </row>
    <row r="1766" spans="1:9">
      <c r="A1766" s="1" t="s">
        <v>1778</v>
      </c>
      <c r="B1766">
        <f>HYPERLINK("https://www.suredividend.com/sure-analysis-MAA/","Mid-America Apartment Communities, Inc.")</f>
        <v>0</v>
      </c>
      <c r="C1766">
        <v>-0.006585680594491001</v>
      </c>
      <c r="D1766">
        <v>-0.040159638476798</v>
      </c>
      <c r="E1766">
        <v>0.05037708532249</v>
      </c>
      <c r="F1766">
        <v>-0.095569970580373</v>
      </c>
      <c r="G1766">
        <v>0.389172583675683</v>
      </c>
      <c r="H1766">
        <v>1.000128544217263</v>
      </c>
      <c r="I1766">
        <v>1.382490740429263</v>
      </c>
    </row>
    <row r="1767" spans="1:9">
      <c r="A1767" s="1" t="s">
        <v>1779</v>
      </c>
      <c r="B1767">
        <f>HYPERLINK("https://www.suredividend.com/sure-analysis-MAC/","Macerich Co.")</f>
        <v>0</v>
      </c>
      <c r="C1767">
        <v>-0.04685408299866101</v>
      </c>
      <c r="D1767">
        <v>-0.191740312519511</v>
      </c>
      <c r="E1767">
        <v>-0.182562872051572</v>
      </c>
      <c r="F1767">
        <v>-0.168350600960134</v>
      </c>
      <c r="G1767">
        <v>0.172547243608217</v>
      </c>
      <c r="H1767">
        <v>1.386818859891721</v>
      </c>
      <c r="I1767">
        <v>-0.710985005317551</v>
      </c>
    </row>
    <row r="1768" spans="1:9">
      <c r="A1768" s="1" t="s">
        <v>1780</v>
      </c>
      <c r="B1768">
        <f>HYPERLINK("https://www.suredividend.com/sure-analysis-research-database/","Merrimack Pharmaceuticals Inc")</f>
        <v>0</v>
      </c>
      <c r="C1768">
        <v>-0.035714285714285</v>
      </c>
      <c r="D1768">
        <v>0.338362068965517</v>
      </c>
      <c r="E1768">
        <v>0.222440944881889</v>
      </c>
      <c r="F1768">
        <v>0.5882352941176471</v>
      </c>
      <c r="G1768">
        <v>-0.115384615384615</v>
      </c>
      <c r="H1768">
        <v>0.759206798866855</v>
      </c>
      <c r="I1768">
        <v>-0.5801131868800581</v>
      </c>
    </row>
    <row r="1769" spans="1:9">
      <c r="A1769" s="1" t="s">
        <v>1781</v>
      </c>
      <c r="B1769">
        <f>HYPERLINK("https://www.suredividend.com/sure-analysis-research-database/","ManpowerGroup")</f>
        <v>0</v>
      </c>
      <c r="C1769">
        <v>-0.096570956413963</v>
      </c>
      <c r="D1769">
        <v>-0.198845942480307</v>
      </c>
      <c r="E1769">
        <v>-0.213167193200872</v>
      </c>
      <c r="F1769">
        <v>-0.101304839206822</v>
      </c>
      <c r="G1769">
        <v>-0.185900735174356</v>
      </c>
      <c r="H1769">
        <v>0.53684510140507</v>
      </c>
      <c r="I1769">
        <v>-0.024262368230241</v>
      </c>
    </row>
    <row r="1770" spans="1:9">
      <c r="A1770" s="1" t="s">
        <v>1782</v>
      </c>
      <c r="B1770">
        <f>HYPERLINK("https://www.suredividend.com/sure-analysis-research-database/","Manhattan Associates, Inc.")</f>
        <v>0</v>
      </c>
      <c r="C1770">
        <v>0.008266902863891</v>
      </c>
      <c r="D1770">
        <v>0.002863225901181</v>
      </c>
      <c r="E1770">
        <v>-0.157829839704069</v>
      </c>
      <c r="F1770">
        <v>-0.121486912341629</v>
      </c>
      <c r="G1770">
        <v>0.104016810797704</v>
      </c>
      <c r="H1770">
        <v>1.445399212316505</v>
      </c>
      <c r="I1770">
        <v>1.775294595692807</v>
      </c>
    </row>
    <row r="1771" spans="1:9">
      <c r="A1771" s="1" t="s">
        <v>1783</v>
      </c>
      <c r="B1771">
        <f>HYPERLINK("https://www.suredividend.com/sure-analysis-research-database/","Mantech International Corp")</f>
        <v>0</v>
      </c>
      <c r="C1771">
        <v>-0.016537649542575</v>
      </c>
      <c r="D1771">
        <v>0.146052304269027</v>
      </c>
      <c r="E1771">
        <v>0.036421213447147</v>
      </c>
      <c r="F1771">
        <v>0.155324689639968</v>
      </c>
      <c r="G1771">
        <v>-0.02040387165363</v>
      </c>
      <c r="H1771">
        <v>0.147113746896226</v>
      </c>
      <c r="I1771">
        <v>1.654371403065585</v>
      </c>
    </row>
    <row r="1772" spans="1:9">
      <c r="A1772" s="1" t="s">
        <v>1784</v>
      </c>
      <c r="B1772">
        <f>HYPERLINK("https://www.suredividend.com/sure-analysis-research-database/","Marriott International, Inc.")</f>
        <v>0</v>
      </c>
      <c r="C1772">
        <v>0.04771025596378201</v>
      </c>
      <c r="D1772">
        <v>0.108783783783783</v>
      </c>
      <c r="E1772">
        <v>0.127905523619095</v>
      </c>
      <c r="F1772">
        <v>0.09241103848946901</v>
      </c>
      <c r="G1772">
        <v>0.214492363587431</v>
      </c>
      <c r="H1772">
        <v>1.245428535887548</v>
      </c>
      <c r="I1772">
        <v>1.051000616970436</v>
      </c>
    </row>
    <row r="1773" spans="1:9">
      <c r="A1773" s="1" t="s">
        <v>1785</v>
      </c>
      <c r="B1773">
        <f>HYPERLINK("https://www.suredividend.com/sure-analysis-research-database/","Marathon Digital Holdings Inc")</f>
        <v>0</v>
      </c>
      <c r="C1773">
        <v>-0.123813454395377</v>
      </c>
      <c r="D1773">
        <v>-0.257432668765302</v>
      </c>
      <c r="E1773">
        <v>-0.5657598690938841</v>
      </c>
      <c r="F1773">
        <v>-0.35392574558734</v>
      </c>
      <c r="G1773">
        <v>-0.45466221423067</v>
      </c>
      <c r="H1773">
        <v>48.37209302325581</v>
      </c>
      <c r="I1773">
        <v>0.582627624045801</v>
      </c>
    </row>
    <row r="1774" spans="1:9">
      <c r="A1774" s="1" t="s">
        <v>1786</v>
      </c>
      <c r="B1774">
        <f>HYPERLINK("https://www.suredividend.com/sure-analysis-research-database/","Remark Holdings Inc")</f>
        <v>0</v>
      </c>
      <c r="C1774">
        <v>-0.06218487394957901</v>
      </c>
      <c r="D1774">
        <v>-0.249747899159663</v>
      </c>
      <c r="E1774">
        <v>-0.239090909090909</v>
      </c>
      <c r="F1774">
        <v>-0.324659606656581</v>
      </c>
      <c r="G1774">
        <v>-0.6340983606557371</v>
      </c>
      <c r="H1774">
        <v>0.678195488721804</v>
      </c>
      <c r="I1774">
        <v>-0.7914018691588781</v>
      </c>
    </row>
    <row r="1775" spans="1:9">
      <c r="A1775" s="1" t="s">
        <v>1787</v>
      </c>
      <c r="B1775">
        <f>HYPERLINK("https://www.suredividend.com/sure-analysis-research-database/","Masco Corp.")</f>
        <v>0</v>
      </c>
      <c r="C1775">
        <v>-0.119921596578759</v>
      </c>
      <c r="D1775">
        <v>-0.262153037138844</v>
      </c>
      <c r="E1775">
        <v>-0.159430747917723</v>
      </c>
      <c r="F1775">
        <v>-0.29304495942058</v>
      </c>
      <c r="G1775">
        <v>-0.222740849618688</v>
      </c>
      <c r="H1775">
        <v>0.294277036606106</v>
      </c>
      <c r="I1775">
        <v>0.5844754132019301</v>
      </c>
    </row>
    <row r="1776" spans="1:9">
      <c r="A1776" s="1" t="s">
        <v>1788</v>
      </c>
      <c r="B1776">
        <f>HYPERLINK("https://www.suredividend.com/sure-analysis-research-database/","Masimo Corp")</f>
        <v>0</v>
      </c>
      <c r="C1776">
        <v>-0.09737652255387401</v>
      </c>
      <c r="D1776">
        <v>-0.421357473828728</v>
      </c>
      <c r="E1776">
        <v>-0.5286243534181461</v>
      </c>
      <c r="F1776">
        <v>-0.539346949928273</v>
      </c>
      <c r="G1776">
        <v>-0.451167901033612</v>
      </c>
      <c r="H1776">
        <v>-0.342193825293859</v>
      </c>
      <c r="I1776">
        <v>0.4571089023336211</v>
      </c>
    </row>
    <row r="1777" spans="1:9">
      <c r="A1777" s="1" t="s">
        <v>1789</v>
      </c>
      <c r="B1777">
        <f>HYPERLINK("https://www.suredividend.com/sure-analysis-research-database/","Mattel, Inc.")</f>
        <v>0</v>
      </c>
      <c r="C1777">
        <v>-0.05332764505119401</v>
      </c>
      <c r="D1777">
        <v>-0.006269592476488</v>
      </c>
      <c r="E1777">
        <v>0.128687690742624</v>
      </c>
      <c r="F1777">
        <v>0.029220779220779</v>
      </c>
      <c r="G1777">
        <v>0.082439024390243</v>
      </c>
      <c r="H1777">
        <v>1.510180995475113</v>
      </c>
      <c r="I1777">
        <v>-0.089495344896208</v>
      </c>
    </row>
    <row r="1778" spans="1:9">
      <c r="A1778" s="1" t="s">
        <v>1790</v>
      </c>
      <c r="B1778">
        <f>HYPERLINK("https://www.suredividend.com/sure-analysis-MATW/","Matthews International Corp.")</f>
        <v>0</v>
      </c>
      <c r="C1778">
        <v>-0.109117647058823</v>
      </c>
      <c r="D1778">
        <v>-0.179417437853535</v>
      </c>
      <c r="E1778">
        <v>-0.132481949380937</v>
      </c>
      <c r="F1778">
        <v>-0.168677046539264</v>
      </c>
      <c r="G1778">
        <v>-0.26860835172477</v>
      </c>
      <c r="H1778">
        <v>0.4701528395936571</v>
      </c>
      <c r="I1778">
        <v>-0.490073349303964</v>
      </c>
    </row>
    <row r="1779" spans="1:9">
      <c r="A1779" s="1" t="s">
        <v>1791</v>
      </c>
      <c r="B1779">
        <f>HYPERLINK("https://www.suredividend.com/sure-analysis-research-database/","Matson Inc")</f>
        <v>0</v>
      </c>
      <c r="C1779">
        <v>-0.242045947117468</v>
      </c>
      <c r="D1779">
        <v>0.007224413009242</v>
      </c>
      <c r="E1779">
        <v>0.06265831092874101</v>
      </c>
      <c r="F1779">
        <v>-0.025667200099851</v>
      </c>
      <c r="G1779">
        <v>0.274395052262878</v>
      </c>
      <c r="H1779">
        <v>2.370392357925414</v>
      </c>
      <c r="I1779">
        <v>2.166824229121164</v>
      </c>
    </row>
    <row r="1780" spans="1:9">
      <c r="A1780" s="1" t="s">
        <v>1792</v>
      </c>
      <c r="B1780">
        <f>HYPERLINK("https://www.suredividend.com/sure-analysis-research-database/","J.W. Mays Inc.")</f>
        <v>0</v>
      </c>
      <c r="C1780">
        <v>-0.050946553446553</v>
      </c>
      <c r="D1780">
        <v>-0.049997499999999</v>
      </c>
      <c r="E1780">
        <v>0.11765</v>
      </c>
      <c r="F1780">
        <v>-0.06426742181728601</v>
      </c>
      <c r="G1780">
        <v>0.407405898496672</v>
      </c>
      <c r="H1780">
        <v>0.6805949290392771</v>
      </c>
      <c r="I1780">
        <v>-0.042818639798488</v>
      </c>
    </row>
    <row r="1781" spans="1:9">
      <c r="A1781" s="1" t="s">
        <v>1793</v>
      </c>
      <c r="B1781">
        <f>HYPERLINK("https://www.suredividend.com/sure-analysis-research-database/","Middlefield Banc Corp.")</f>
        <v>0</v>
      </c>
      <c r="C1781">
        <v>-0.029702970297029</v>
      </c>
      <c r="D1781">
        <v>-0.03987083323536</v>
      </c>
      <c r="E1781">
        <v>0.039743671356122</v>
      </c>
      <c r="F1781">
        <v>-0.005415411595638</v>
      </c>
      <c r="G1781">
        <v>0.169897813007353</v>
      </c>
      <c r="H1781">
        <v>0.5450199906668181</v>
      </c>
      <c r="I1781">
        <v>0.208503921471908</v>
      </c>
    </row>
    <row r="1782" spans="1:9">
      <c r="A1782" s="1" t="s">
        <v>1794</v>
      </c>
      <c r="B1782">
        <f>HYPERLINK("https://www.suredividend.com/sure-analysis-research-database/","MBIA Inc.")</f>
        <v>0</v>
      </c>
      <c r="C1782">
        <v>-0.124115755627009</v>
      </c>
      <c r="D1782">
        <v>-0.141776937618147</v>
      </c>
      <c r="E1782">
        <v>0.017176997759521</v>
      </c>
      <c r="F1782">
        <v>-0.13742875237492</v>
      </c>
      <c r="G1782">
        <v>0.364729458917835</v>
      </c>
      <c r="H1782">
        <v>0.778067885117493</v>
      </c>
      <c r="I1782">
        <v>0.5673187571921751</v>
      </c>
    </row>
    <row r="1783" spans="1:9">
      <c r="A1783" s="1" t="s">
        <v>1795</v>
      </c>
      <c r="B1783">
        <f>HYPERLINK("https://www.suredividend.com/sure-analysis-research-database/","Marrone Bio Innovations Inc")</f>
        <v>0</v>
      </c>
      <c r="C1783">
        <v>0.397490732820074</v>
      </c>
      <c r="D1783">
        <v>0.225709641115418</v>
      </c>
      <c r="E1783">
        <v>0.11222058322932</v>
      </c>
      <c r="F1783">
        <v>0.361010830324909</v>
      </c>
      <c r="G1783">
        <v>-0.426783625730994</v>
      </c>
      <c r="H1783">
        <v>0.564065741183979</v>
      </c>
      <c r="I1783">
        <v>-0.4643715846994531</v>
      </c>
    </row>
    <row r="1784" spans="1:9">
      <c r="A1784" s="1" t="s">
        <v>1796</v>
      </c>
      <c r="B1784">
        <f>HYPERLINK("https://www.suredividend.com/sure-analysis-research-database/","Merchants Bancorp")</f>
        <v>0</v>
      </c>
      <c r="C1784">
        <v>-0.1043630017452</v>
      </c>
      <c r="D1784">
        <v>-0.479884544909111</v>
      </c>
      <c r="E1784">
        <v>-0.382592773496242</v>
      </c>
      <c r="F1784">
        <v>-0.456477994348726</v>
      </c>
      <c r="G1784">
        <v>-0.360449031576271</v>
      </c>
      <c r="H1784">
        <v>0.910975073914371</v>
      </c>
      <c r="I1784">
        <v>0.6151468801732221</v>
      </c>
    </row>
    <row r="1785" spans="1:9">
      <c r="A1785" s="1" t="s">
        <v>1797</v>
      </c>
      <c r="B1785">
        <f>HYPERLINK("https://www.suredividend.com/sure-analysis-research-database/","Mustang Bio Inc")</f>
        <v>0</v>
      </c>
      <c r="C1785">
        <v>0.045166788410031</v>
      </c>
      <c r="D1785">
        <v>-0.427666666666666</v>
      </c>
      <c r="E1785">
        <v>-0.625109170305676</v>
      </c>
      <c r="F1785">
        <v>-0.482831325301204</v>
      </c>
      <c r="G1785">
        <v>-0.7185245901639341</v>
      </c>
      <c r="H1785">
        <v>-0.693392857142857</v>
      </c>
      <c r="I1785">
        <v>-0.9123979591836731</v>
      </c>
    </row>
    <row r="1786" spans="1:9">
      <c r="A1786" s="1" t="s">
        <v>1798</v>
      </c>
      <c r="B1786">
        <f>HYPERLINK("https://www.suredividend.com/sure-analysis-research-database/","Microbot Medical Inc")</f>
        <v>0</v>
      </c>
      <c r="C1786">
        <v>0.233590733590733</v>
      </c>
      <c r="D1786">
        <v>0.009478672985781001</v>
      </c>
      <c r="E1786">
        <v>-0.108786610878661</v>
      </c>
      <c r="F1786">
        <v>-0.148</v>
      </c>
      <c r="G1786">
        <v>-0.15364238410596</v>
      </c>
      <c r="H1786">
        <v>0.20566037735849</v>
      </c>
      <c r="I1786">
        <v>-0.916470588235294</v>
      </c>
    </row>
    <row r="1787" spans="1:9">
      <c r="A1787" s="1" t="s">
        <v>1799</v>
      </c>
      <c r="B1787">
        <f>HYPERLINK("https://www.suredividend.com/sure-analysis-research-database/","Malibu Boats Inc")</f>
        <v>0</v>
      </c>
      <c r="C1787">
        <v>-0.148842517117704</v>
      </c>
      <c r="D1787">
        <v>-0.198372485797635</v>
      </c>
      <c r="E1787">
        <v>-0.250071818442976</v>
      </c>
      <c r="F1787">
        <v>-0.240360832242106</v>
      </c>
      <c r="G1787">
        <v>-0.380223171889838</v>
      </c>
      <c r="H1787">
        <v>1.106941081517352</v>
      </c>
      <c r="I1787">
        <v>1.400459770114942</v>
      </c>
    </row>
    <row r="1788" spans="1:9">
      <c r="A1788" s="1" t="s">
        <v>1800</v>
      </c>
      <c r="B1788">
        <f>HYPERLINK("https://www.suredividend.com/sure-analysis-research-database/","Mercantile Bank Corp.")</f>
        <v>0</v>
      </c>
      <c r="C1788">
        <v>-0.09705418200946801</v>
      </c>
      <c r="D1788">
        <v>-0.08180568408552301</v>
      </c>
      <c r="E1788">
        <v>0.032838425320035</v>
      </c>
      <c r="F1788">
        <v>-0.011821868874259</v>
      </c>
      <c r="G1788">
        <v>0.098679536333553</v>
      </c>
      <c r="H1788">
        <v>0.856970536211736</v>
      </c>
      <c r="I1788">
        <v>0.273901895082137</v>
      </c>
    </row>
    <row r="1789" spans="1:9">
      <c r="A1789" s="1" t="s">
        <v>1801</v>
      </c>
      <c r="B1789">
        <f>HYPERLINK("https://www.suredividend.com/sure-analysis-research-database/","Moelis &amp; Co")</f>
        <v>0</v>
      </c>
      <c r="C1789">
        <v>-0.040586485337866</v>
      </c>
      <c r="D1789">
        <v>-0.232449616224808</v>
      </c>
      <c r="E1789">
        <v>-0.333542938876366</v>
      </c>
      <c r="F1789">
        <v>-0.268918258098572</v>
      </c>
      <c r="G1789">
        <v>-0.086890046595909</v>
      </c>
      <c r="H1789">
        <v>0.827565270188221</v>
      </c>
      <c r="I1789">
        <v>0.8369190209608121</v>
      </c>
    </row>
    <row r="1790" spans="1:9">
      <c r="A1790" s="1" t="s">
        <v>1802</v>
      </c>
      <c r="B1790">
        <f>HYPERLINK("https://www.suredividend.com/sure-analysis-research-database/","Metropolitan Bank Holding Corp")</f>
        <v>0</v>
      </c>
      <c r="C1790">
        <v>-0.103140278300112</v>
      </c>
      <c r="D1790">
        <v>-0.135098377006074</v>
      </c>
      <c r="E1790">
        <v>0.08830576155162501</v>
      </c>
      <c r="F1790">
        <v>-0.104571482211583</v>
      </c>
      <c r="G1790">
        <v>0.738789646372584</v>
      </c>
      <c r="H1790">
        <v>3.42645011600928</v>
      </c>
      <c r="I1790">
        <v>1.563558183284063</v>
      </c>
    </row>
    <row r="1791" spans="1:9">
      <c r="A1791" s="1" t="s">
        <v>1803</v>
      </c>
      <c r="B1791">
        <f>HYPERLINK("https://www.suredividend.com/sure-analysis-research-database/","Macatawa Bank Corp.")</f>
        <v>0</v>
      </c>
      <c r="C1791">
        <v>-0.043290043290043</v>
      </c>
      <c r="D1791">
        <v>-0.052488290084354</v>
      </c>
      <c r="E1791">
        <v>0.105345420443888</v>
      </c>
      <c r="F1791">
        <v>0.010886469673405</v>
      </c>
      <c r="G1791">
        <v>-0.07750425245494401</v>
      </c>
      <c r="H1791">
        <v>0.4432888700223671</v>
      </c>
      <c r="I1791">
        <v>0.070438225784967</v>
      </c>
    </row>
    <row r="1792" spans="1:9">
      <c r="A1792" s="1" t="s">
        <v>1804</v>
      </c>
      <c r="B1792">
        <f>HYPERLINK("https://www.suredividend.com/sure-analysis-MCD/","McDonald`s Corp")</f>
        <v>0</v>
      </c>
      <c r="C1792">
        <v>0.051944234483916</v>
      </c>
      <c r="D1792">
        <v>-0.022530837823463</v>
      </c>
      <c r="E1792">
        <v>0.045614521315493</v>
      </c>
      <c r="F1792">
        <v>-0.060306766646535</v>
      </c>
      <c r="G1792">
        <v>0.09874493687403001</v>
      </c>
      <c r="H1792">
        <v>0.462158456629325</v>
      </c>
      <c r="I1792">
        <v>1.145861351196238</v>
      </c>
    </row>
    <row r="1793" spans="1:9">
      <c r="A1793" s="1" t="s">
        <v>1805</v>
      </c>
      <c r="B1793">
        <f>HYPERLINK("https://www.suredividend.com/sure-analysis-research-database/","Contango Oil &amp; Gas Company")</f>
        <v>0</v>
      </c>
      <c r="C1793">
        <v>-0.21654501216545</v>
      </c>
      <c r="D1793">
        <v>-0.125</v>
      </c>
      <c r="E1793">
        <v>-0.427046263345195</v>
      </c>
      <c r="F1793">
        <v>0.406113537117904</v>
      </c>
      <c r="G1793">
        <v>1</v>
      </c>
      <c r="H1793">
        <v>0.032051282051282</v>
      </c>
      <c r="I1793">
        <v>-0.655246252676659</v>
      </c>
    </row>
    <row r="1794" spans="1:9">
      <c r="A1794" s="1" t="s">
        <v>1806</v>
      </c>
      <c r="B1794">
        <f>HYPERLINK("https://www.suredividend.com/sure-analysis-research-database/","MasterCraft Boat Holdings Inc")</f>
        <v>0</v>
      </c>
      <c r="C1794">
        <v>-0.118804388951948</v>
      </c>
      <c r="D1794">
        <v>-0.120800302000754</v>
      </c>
      <c r="E1794">
        <v>-0.129345794392523</v>
      </c>
      <c r="F1794">
        <v>-0.177903282739145</v>
      </c>
      <c r="G1794">
        <v>-0.14875730994152</v>
      </c>
      <c r="H1794">
        <v>2.280281690140845</v>
      </c>
      <c r="I1794">
        <v>0.479669631512071</v>
      </c>
    </row>
    <row r="1795" spans="1:9">
      <c r="A1795" s="1" t="s">
        <v>1807</v>
      </c>
      <c r="B1795">
        <f>HYPERLINK("https://www.suredividend.com/sure-analysis-MCHP/","Microchip Technology, Inc.")</f>
        <v>0</v>
      </c>
      <c r="C1795">
        <v>-0.127491638795986</v>
      </c>
      <c r="D1795">
        <v>-0.223482683735284</v>
      </c>
      <c r="E1795">
        <v>-0.09815233233128001</v>
      </c>
      <c r="F1795">
        <v>-0.248188771246275</v>
      </c>
      <c r="G1795">
        <v>0.668384848957706</v>
      </c>
      <c r="H1795">
        <v>2.449643769537138</v>
      </c>
      <c r="I1795">
        <v>2.877711187214612</v>
      </c>
    </row>
    <row r="1796" spans="1:9">
      <c r="A1796" s="1" t="s">
        <v>1808</v>
      </c>
      <c r="B1796">
        <f>HYPERLINK("https://www.suredividend.com/sure-analysis-research-database/","Marchex Inc")</f>
        <v>0</v>
      </c>
      <c r="C1796">
        <v>0.031818181818181</v>
      </c>
      <c r="D1796">
        <v>-0.120155038759689</v>
      </c>
      <c r="E1796">
        <v>-0.305810397553516</v>
      </c>
      <c r="F1796">
        <v>-0.08467741935483801</v>
      </c>
      <c r="G1796">
        <v>-0.217241379310344</v>
      </c>
      <c r="H1796">
        <v>0.644927536231884</v>
      </c>
      <c r="I1796">
        <v>0.023629148629148</v>
      </c>
    </row>
    <row r="1797" spans="1:9">
      <c r="A1797" s="1" t="s">
        <v>1809</v>
      </c>
      <c r="B1797">
        <f>HYPERLINK("https://www.suredividend.com/sure-analysis-MCK/","Mckesson Corporation")</f>
        <v>0</v>
      </c>
      <c r="C1797">
        <v>0.109452224052718</v>
      </c>
      <c r="D1797">
        <v>0.26228999907061</v>
      </c>
      <c r="E1797">
        <v>0.5892916405472171</v>
      </c>
      <c r="F1797">
        <v>0.302661580409581</v>
      </c>
      <c r="G1797">
        <v>0.6872873274151691</v>
      </c>
      <c r="H1797">
        <v>1.384194175559299</v>
      </c>
      <c r="I1797">
        <v>1.367004723025665</v>
      </c>
    </row>
    <row r="1798" spans="1:9">
      <c r="A1798" s="1" t="s">
        <v>1810</v>
      </c>
      <c r="B1798">
        <f>HYPERLINK("https://www.suredividend.com/sure-analysis-MCO/","Moody`s Corp.")</f>
        <v>0</v>
      </c>
      <c r="C1798">
        <v>0.043003239535031</v>
      </c>
      <c r="D1798">
        <v>-0.069092129548132</v>
      </c>
      <c r="E1798">
        <v>-0.111886362560763</v>
      </c>
      <c r="F1798">
        <v>-0.157349355669904</v>
      </c>
      <c r="G1798">
        <v>0.02742543891621</v>
      </c>
      <c r="H1798">
        <v>0.421441958508092</v>
      </c>
      <c r="I1798">
        <v>2.063441408884539</v>
      </c>
    </row>
    <row r="1799" spans="1:9">
      <c r="A1799" s="1" t="s">
        <v>1811</v>
      </c>
      <c r="B1799">
        <f>HYPERLINK("https://www.suredividend.com/sure-analysis-research-database/","Seres Therapeutics Inc")</f>
        <v>0</v>
      </c>
      <c r="C1799">
        <v>-0.165980795610425</v>
      </c>
      <c r="D1799">
        <v>-0.243781094527363</v>
      </c>
      <c r="E1799">
        <v>-0.03645007923930201</v>
      </c>
      <c r="F1799">
        <v>-0.270108043217286</v>
      </c>
      <c r="G1799">
        <v>-0.706705258080077</v>
      </c>
      <c r="H1799">
        <v>0.6042216358839051</v>
      </c>
      <c r="I1799">
        <v>-0.427495291902071</v>
      </c>
    </row>
    <row r="1800" spans="1:9">
      <c r="A1800" s="1" t="s">
        <v>1812</v>
      </c>
      <c r="B1800">
        <f>HYPERLINK("https://www.suredividend.com/sure-analysis-research-database/","Monarch Casino &amp; Resort, Inc.")</f>
        <v>0</v>
      </c>
      <c r="C1800">
        <v>0.010379008746355</v>
      </c>
      <c r="D1800">
        <v>0.262053896576838</v>
      </c>
      <c r="E1800">
        <v>0.271873165002936</v>
      </c>
      <c r="F1800">
        <v>0.171602434077078</v>
      </c>
      <c r="G1800">
        <v>0.284316632078268</v>
      </c>
      <c r="H1800">
        <v>2.450418160095579</v>
      </c>
      <c r="I1800">
        <v>1.987586206896552</v>
      </c>
    </row>
    <row r="1801" spans="1:9">
      <c r="A1801" s="1" t="s">
        <v>1813</v>
      </c>
      <c r="B1801">
        <f>HYPERLINK("https://www.suredividend.com/sure-analysis-research-database/","Marcus Corp.")</f>
        <v>0</v>
      </c>
      <c r="C1801">
        <v>-0.033142857142857</v>
      </c>
      <c r="D1801">
        <v>-0.038636363636363</v>
      </c>
      <c r="E1801">
        <v>-0.09856153436334501</v>
      </c>
      <c r="F1801">
        <v>-0.052631578947368</v>
      </c>
      <c r="G1801">
        <v>-0.195435092724678</v>
      </c>
      <c r="H1801">
        <v>0.332283464566929</v>
      </c>
      <c r="I1801">
        <v>-0.4155359659546241</v>
      </c>
    </row>
    <row r="1802" spans="1:9">
      <c r="A1802" s="1" t="s">
        <v>1814</v>
      </c>
      <c r="B1802">
        <f>HYPERLINK("https://www.suredividend.com/sure-analysis-MCY/","Mercury General Corp.")</f>
        <v>0</v>
      </c>
      <c r="C1802">
        <v>0.023877745940783</v>
      </c>
      <c r="D1802">
        <v>-0.016800603126794</v>
      </c>
      <c r="E1802">
        <v>-0.007267689526674</v>
      </c>
      <c r="F1802">
        <v>0.022297919738169</v>
      </c>
      <c r="G1802">
        <v>-0.151929597498825</v>
      </c>
      <c r="H1802">
        <v>0.46230340067386</v>
      </c>
      <c r="I1802">
        <v>0.164797051498807</v>
      </c>
    </row>
    <row r="1803" spans="1:9">
      <c r="A1803" s="1" t="s">
        <v>1815</v>
      </c>
      <c r="B1803">
        <f>HYPERLINK("https://www.suredividend.com/sure-analysis-research-database/","MEDNAX Inc")</f>
        <v>0</v>
      </c>
      <c r="C1803">
        <v>0.01114922813036</v>
      </c>
      <c r="D1803">
        <v>-0.123745819397993</v>
      </c>
      <c r="E1803">
        <v>-0.101371951219512</v>
      </c>
      <c r="F1803">
        <v>-0.133406835722161</v>
      </c>
      <c r="G1803">
        <v>-0.124721603563474</v>
      </c>
      <c r="H1803">
        <v>0.9983050847457621</v>
      </c>
      <c r="I1803">
        <v>-0.6525198938992041</v>
      </c>
    </row>
    <row r="1804" spans="1:9">
      <c r="A1804" s="1" t="s">
        <v>1816</v>
      </c>
      <c r="B1804">
        <f>HYPERLINK("https://www.suredividend.com/sure-analysis-research-database/","MongoDB Inc")</f>
        <v>0</v>
      </c>
      <c r="C1804">
        <v>0.21138968064685</v>
      </c>
      <c r="D1804">
        <v>0.04940915618937201</v>
      </c>
      <c r="E1804">
        <v>-0.153128240580712</v>
      </c>
      <c r="F1804">
        <v>-0.213185982809105</v>
      </c>
      <c r="G1804">
        <v>0.318663922748139</v>
      </c>
      <c r="H1804">
        <v>1.704896739836342</v>
      </c>
      <c r="I1804">
        <v>11.98721546616776</v>
      </c>
    </row>
    <row r="1805" spans="1:9">
      <c r="A1805" s="1" t="s">
        <v>1817</v>
      </c>
      <c r="B1805">
        <f>HYPERLINK("https://www.suredividend.com/sure-analysis-MDC/","M.D.C. Holdings, Inc.")</f>
        <v>0</v>
      </c>
      <c r="C1805">
        <v>-0.141880744756068</v>
      </c>
      <c r="D1805">
        <v>-0.329933619076188</v>
      </c>
      <c r="E1805">
        <v>-0.225668421903311</v>
      </c>
      <c r="F1805">
        <v>-0.3403746512554801</v>
      </c>
      <c r="G1805">
        <v>-0.392767917599223</v>
      </c>
      <c r="H1805">
        <v>0.739616529462634</v>
      </c>
      <c r="I1805">
        <v>0.838647450334804</v>
      </c>
    </row>
    <row r="1806" spans="1:9">
      <c r="A1806" s="1" t="s">
        <v>1818</v>
      </c>
      <c r="B1806">
        <f>HYPERLINK("https://www.suredividend.com/sure-analysis-research-database/","Madrigal Pharmaceuticals Inc")</f>
        <v>0</v>
      </c>
      <c r="C1806">
        <v>-0.145300064530006</v>
      </c>
      <c r="D1806">
        <v>0.013001912045889</v>
      </c>
      <c r="E1806">
        <v>-0.077753278403156</v>
      </c>
      <c r="F1806">
        <v>-0.06219022893556701</v>
      </c>
      <c r="G1806">
        <v>-0.363068045203173</v>
      </c>
      <c r="H1806">
        <v>0.031809919501428</v>
      </c>
      <c r="I1806">
        <v>4.045714285714285</v>
      </c>
    </row>
    <row r="1807" spans="1:9">
      <c r="A1807" s="1" t="s">
        <v>1819</v>
      </c>
      <c r="B1807">
        <f>HYPERLINK("https://www.suredividend.com/sure-analysis-research-database/","Medley Management Inc")</f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1820</v>
      </c>
      <c r="B1808">
        <f>HYPERLINK("https://www.suredividend.com/sure-analysis-MDLZ/","Mondelez International Inc.")</f>
        <v>0</v>
      </c>
      <c r="C1808">
        <v>0.034311481636588</v>
      </c>
      <c r="D1808">
        <v>-0.059094533534154</v>
      </c>
      <c r="E1808">
        <v>0.07091177078588901</v>
      </c>
      <c r="F1808">
        <v>-0.03369627854781401</v>
      </c>
      <c r="G1808">
        <v>0.108156567984153</v>
      </c>
      <c r="H1808">
        <v>0.245898818625131</v>
      </c>
      <c r="I1808">
        <v>0.6121890805310201</v>
      </c>
    </row>
    <row r="1809" spans="1:9">
      <c r="A1809" s="1" t="s">
        <v>1821</v>
      </c>
      <c r="B1809">
        <f>HYPERLINK("https://www.suredividend.com/sure-analysis-research-database/","Meredith Holdings Corp")</f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1822</v>
      </c>
      <c r="B1810">
        <f>HYPERLINK("https://www.suredividend.com/sure-analysis-research-database/","Allscripts Healthcare Solutions Inc")</f>
        <v>0</v>
      </c>
      <c r="C1810">
        <v>0.014545454545454</v>
      </c>
      <c r="D1810">
        <v>0.248322147651006</v>
      </c>
      <c r="E1810">
        <v>0.566315789473684</v>
      </c>
      <c r="F1810">
        <v>0.209756097560975</v>
      </c>
      <c r="G1810">
        <v>0.419847328244274</v>
      </c>
      <c r="H1810">
        <v>2.701492537313433</v>
      </c>
      <c r="I1810">
        <v>0.849212924606462</v>
      </c>
    </row>
    <row r="1811" spans="1:9">
      <c r="A1811" s="1" t="s">
        <v>1823</v>
      </c>
      <c r="B1811">
        <f>HYPERLINK("https://www.suredividend.com/sure-analysis-MDT/","Medtronic Plc")</f>
        <v>0</v>
      </c>
      <c r="C1811">
        <v>0.022095718110838</v>
      </c>
      <c r="D1811">
        <v>0.010325672948071</v>
      </c>
      <c r="E1811">
        <v>-0.136050971566234</v>
      </c>
      <c r="F1811">
        <v>0.06013355232257901</v>
      </c>
      <c r="G1811">
        <v>-0.114676298953885</v>
      </c>
      <c r="H1811">
        <v>0.190930054980287</v>
      </c>
      <c r="I1811">
        <v>0.4968119635119471</v>
      </c>
    </row>
    <row r="1812" spans="1:9">
      <c r="A1812" s="1" t="s">
        <v>1824</v>
      </c>
      <c r="B1812">
        <f>HYPERLINK("https://www.suredividend.com/sure-analysis-MDU/","MDU Resources Group Inc")</f>
        <v>0</v>
      </c>
      <c r="C1812">
        <v>0.049034749034749</v>
      </c>
      <c r="D1812">
        <v>-0.100486009031557</v>
      </c>
      <c r="E1812">
        <v>-0.108253496256765</v>
      </c>
      <c r="F1812">
        <v>-0.111568896736642</v>
      </c>
      <c r="G1812">
        <v>-0.148484069725897</v>
      </c>
      <c r="H1812">
        <v>0.293908107284364</v>
      </c>
      <c r="I1812">
        <v>0.253633553269044</v>
      </c>
    </row>
    <row r="1813" spans="1:9">
      <c r="A1813" s="1" t="s">
        <v>1825</v>
      </c>
      <c r="B1813">
        <f>HYPERLINK("https://www.suredividend.com/sure-analysis-MED/","Medifast Inc")</f>
        <v>0</v>
      </c>
      <c r="C1813">
        <v>0.05970163002676</v>
      </c>
      <c r="D1813">
        <v>-0.08884165170840901</v>
      </c>
      <c r="E1813">
        <v>-0.019938808740573</v>
      </c>
      <c r="F1813">
        <v>-0.112639701635585</v>
      </c>
      <c r="G1813">
        <v>-0.201433826735523</v>
      </c>
      <c r="H1813">
        <v>1.9870123547349</v>
      </c>
      <c r="I1813">
        <v>3.865515008128576</v>
      </c>
    </row>
    <row r="1814" spans="1:9">
      <c r="A1814" s="1" t="s">
        <v>1826</v>
      </c>
      <c r="B1814">
        <f>HYPERLINK("https://www.suredividend.com/sure-analysis-research-database/","Medpace Holdings Inc")</f>
        <v>0</v>
      </c>
      <c r="C1814">
        <v>0.027958387516254</v>
      </c>
      <c r="D1814">
        <v>-0.104502973661852</v>
      </c>
      <c r="E1814">
        <v>-0.154906991661321</v>
      </c>
      <c r="F1814">
        <v>-0.273571034736261</v>
      </c>
      <c r="G1814">
        <v>-0.121178432462479</v>
      </c>
      <c r="H1814">
        <v>0.920787267646701</v>
      </c>
      <c r="I1814">
        <v>4.559071729957806</v>
      </c>
    </row>
    <row r="1815" spans="1:9">
      <c r="A1815" s="1" t="s">
        <v>1827</v>
      </c>
      <c r="B1815">
        <f>HYPERLINK("https://www.suredividend.com/sure-analysis-research-database/","Methode Electronics, Inc.")</f>
        <v>0</v>
      </c>
      <c r="C1815">
        <v>0.04843871252101201</v>
      </c>
      <c r="D1815">
        <v>-0.08462135214854001</v>
      </c>
      <c r="E1815">
        <v>0.062967514362659</v>
      </c>
      <c r="F1815">
        <v>-0.08490232068935101</v>
      </c>
      <c r="G1815">
        <v>0.011824224954408</v>
      </c>
      <c r="H1815">
        <v>0.7108731497740891</v>
      </c>
      <c r="I1815">
        <v>0.126454037551826</v>
      </c>
    </row>
    <row r="1816" spans="1:9">
      <c r="A1816" s="1" t="s">
        <v>1828</v>
      </c>
      <c r="B1816">
        <f>HYPERLINK("https://www.suredividend.com/sure-analysis-research-database/","MEI Pharma Inc")</f>
        <v>0</v>
      </c>
      <c r="C1816">
        <v>-0.691521739130434</v>
      </c>
      <c r="D1816">
        <v>-0.7720481927710841</v>
      </c>
      <c r="E1816">
        <v>-0.8049484536082471</v>
      </c>
      <c r="F1816">
        <v>-0.787415730337078</v>
      </c>
      <c r="G1816">
        <v>-0.8320710059171591</v>
      </c>
      <c r="H1816">
        <v>-0.755344827586206</v>
      </c>
      <c r="I1816">
        <v>-0.6361538461538461</v>
      </c>
    </row>
    <row r="1817" spans="1:9">
      <c r="A1817" s="1" t="s">
        <v>1829</v>
      </c>
      <c r="B1817">
        <f>HYPERLINK("https://www.suredividend.com/sure-analysis-research-database/","Mercer International Inc.")</f>
        <v>0</v>
      </c>
      <c r="C1817">
        <v>0.133651984072298</v>
      </c>
      <c r="D1817">
        <v>0.256996718780158</v>
      </c>
      <c r="E1817">
        <v>0.5376442463772391</v>
      </c>
      <c r="F1817">
        <v>0.310461050884121</v>
      </c>
      <c r="G1817">
        <v>-0.001622443374171</v>
      </c>
      <c r="H1817">
        <v>1.013578449686304</v>
      </c>
      <c r="I1817">
        <v>0.629126233831208</v>
      </c>
    </row>
    <row r="1818" spans="1:9">
      <c r="A1818" s="1" t="s">
        <v>1830</v>
      </c>
      <c r="B1818">
        <f>HYPERLINK("https://www.suredividend.com/sure-analysis-research-database/","Mesa Air Group Inc.")</f>
        <v>0</v>
      </c>
      <c r="C1818">
        <v>-0.06117647058823501</v>
      </c>
      <c r="D1818">
        <v>-0.297535211267605</v>
      </c>
      <c r="E1818">
        <v>-0.4763779527559051</v>
      </c>
      <c r="F1818">
        <v>-0.287499999999999</v>
      </c>
      <c r="G1818">
        <v>-0.670247933884297</v>
      </c>
      <c r="H1818">
        <v>0.163265306122448</v>
      </c>
      <c r="I1818">
        <v>-0.6604255319148931</v>
      </c>
    </row>
    <row r="1819" spans="1:9">
      <c r="A1819" s="1" t="s">
        <v>1831</v>
      </c>
      <c r="B1819">
        <f>HYPERLINK("https://www.suredividend.com/sure-analysis-MET/","Metlife Inc")</f>
        <v>0</v>
      </c>
      <c r="C1819">
        <v>0.046208530805687</v>
      </c>
      <c r="D1819">
        <v>0.040440802836173</v>
      </c>
      <c r="E1819">
        <v>0.09306866959430801</v>
      </c>
      <c r="F1819">
        <v>0.138341347703335</v>
      </c>
      <c r="G1819">
        <v>0.153699793072248</v>
      </c>
      <c r="H1819">
        <v>1.466282386540187</v>
      </c>
      <c r="I1819">
        <v>0.812355523399757</v>
      </c>
    </row>
    <row r="1820" spans="1:9">
      <c r="A1820" s="1" t="s">
        <v>1832</v>
      </c>
      <c r="B1820">
        <f>HYPERLINK("https://www.suredividend.com/sure-analysis-research-database/","MFA Financial Inc")</f>
        <v>0</v>
      </c>
      <c r="C1820">
        <v>-0.09046781141921001</v>
      </c>
      <c r="D1820">
        <v>-0.167249980556203</v>
      </c>
      <c r="E1820">
        <v>-0.152575909185986</v>
      </c>
      <c r="F1820">
        <v>-0.156291510007429</v>
      </c>
      <c r="G1820">
        <v>-0.043407231560541</v>
      </c>
      <c r="H1820">
        <v>1.788525931988987</v>
      </c>
      <c r="I1820">
        <v>-0.200584495925594</v>
      </c>
    </row>
    <row r="1821" spans="1:9">
      <c r="A1821" s="1" t="s">
        <v>1833</v>
      </c>
      <c r="B1821">
        <f>HYPERLINK("https://www.suredividend.com/sure-analysis-research-database/","Mackinac Financial Corp.")</f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 t="s">
        <v>1834</v>
      </c>
      <c r="B1822">
        <f>HYPERLINK("https://www.suredividend.com/sure-analysis-research-database/","Mistras Group Inc")</f>
        <v>0</v>
      </c>
      <c r="C1822">
        <v>-0.107511045655375</v>
      </c>
      <c r="D1822">
        <v>-0.154811715481171</v>
      </c>
      <c r="E1822">
        <v>-0.372020725388601</v>
      </c>
      <c r="F1822">
        <v>-0.184387617765814</v>
      </c>
      <c r="G1822">
        <v>-0.462289263531499</v>
      </c>
      <c r="H1822">
        <v>0.7771260997067441</v>
      </c>
      <c r="I1822">
        <v>-0.7049659201557931</v>
      </c>
    </row>
    <row r="1823" spans="1:9">
      <c r="A1823" s="1" t="s">
        <v>1835</v>
      </c>
      <c r="B1823">
        <f>HYPERLINK("https://www.suredividend.com/sure-analysis-MGEE/","MGE Energy, Inc.")</f>
        <v>0</v>
      </c>
      <c r="C1823">
        <v>0.07064160725858601</v>
      </c>
      <c r="D1823">
        <v>0.06556996382738201</v>
      </c>
      <c r="E1823">
        <v>0.108348440059952</v>
      </c>
      <c r="F1823">
        <v>0.009603455630617</v>
      </c>
      <c r="G1823">
        <v>0.138716641530346</v>
      </c>
      <c r="H1823">
        <v>0.258547763868403</v>
      </c>
      <c r="I1823">
        <v>0.41864435307413</v>
      </c>
    </row>
    <row r="1824" spans="1:9">
      <c r="A1824" s="1" t="s">
        <v>1836</v>
      </c>
      <c r="B1824">
        <f>HYPERLINK("https://www.suredividend.com/sure-analysis-research-database/","Moneygram International Inc.")</f>
        <v>0</v>
      </c>
      <c r="C1824">
        <v>-0.012093023255814</v>
      </c>
      <c r="D1824">
        <v>0.349428208386277</v>
      </c>
      <c r="E1824">
        <v>0.363286264441591</v>
      </c>
      <c r="F1824">
        <v>0.346007604562737</v>
      </c>
      <c r="G1824">
        <v>0.517142857142857</v>
      </c>
      <c r="H1824">
        <v>6.695652173913044</v>
      </c>
      <c r="I1824">
        <v>-0.3567534827377341</v>
      </c>
    </row>
    <row r="1825" spans="1:9">
      <c r="A1825" s="1" t="s">
        <v>1837</v>
      </c>
      <c r="B1825">
        <f>HYPERLINK("https://www.suredividend.com/sure-analysis-research-database/","Magellan Health Inc")</f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 t="s">
        <v>1838</v>
      </c>
      <c r="B1826">
        <f>HYPERLINK("https://www.suredividend.com/sure-analysis-research-database/","MGM Resorts International")</f>
        <v>0</v>
      </c>
      <c r="C1826">
        <v>-0.013516718046004</v>
      </c>
      <c r="D1826">
        <v>-0.064474779049632</v>
      </c>
      <c r="E1826">
        <v>-0.13232104121475</v>
      </c>
      <c r="F1826">
        <v>-0.07302181518372401</v>
      </c>
      <c r="G1826">
        <v>0.033532669321719</v>
      </c>
      <c r="H1826">
        <v>2.011939153036918</v>
      </c>
      <c r="I1826">
        <v>0.612328108770134</v>
      </c>
    </row>
    <row r="1827" spans="1:9">
      <c r="A1827" s="1" t="s">
        <v>1839</v>
      </c>
      <c r="B1827">
        <f>HYPERLINK("https://www.suredividend.com/sure-analysis-research-database/","Macrogenics Inc")</f>
        <v>0</v>
      </c>
      <c r="C1827">
        <v>-0.009205983889528001</v>
      </c>
      <c r="D1827">
        <v>-0.403739612188365</v>
      </c>
      <c r="E1827">
        <v>-0.5638297872340421</v>
      </c>
      <c r="F1827">
        <v>-0.4635514018691581</v>
      </c>
      <c r="G1827">
        <v>-0.729500471253534</v>
      </c>
      <c r="H1827">
        <v>0.6557692307692301</v>
      </c>
      <c r="I1827">
        <v>-0.54250797024442</v>
      </c>
    </row>
    <row r="1828" spans="1:9">
      <c r="A1828" s="1" t="s">
        <v>1840</v>
      </c>
      <c r="B1828">
        <f>HYPERLINK("https://www.suredividend.com/sure-analysis-research-database/","MGP Ingredients, Inc.")</f>
        <v>0</v>
      </c>
      <c r="C1828">
        <v>0.111814598016963</v>
      </c>
      <c r="D1828">
        <v>0.106223353234339</v>
      </c>
      <c r="E1828">
        <v>0.463714598457492</v>
      </c>
      <c r="F1828">
        <v>0.096721736466262</v>
      </c>
      <c r="G1828">
        <v>0.468523082651956</v>
      </c>
      <c r="H1828">
        <v>1.596927884816607</v>
      </c>
      <c r="I1828">
        <v>0.8563729420728661</v>
      </c>
    </row>
    <row r="1829" spans="1:9">
      <c r="A1829" s="1" t="s">
        <v>1841</v>
      </c>
      <c r="B1829">
        <f>HYPERLINK("https://www.suredividend.com/sure-analysis-MGRC/","McGrath Rentcorp")</f>
        <v>0</v>
      </c>
      <c r="C1829">
        <v>-0.014963522340529</v>
      </c>
      <c r="D1829">
        <v>0.08834036774407501</v>
      </c>
      <c r="E1829">
        <v>0.129063889567065</v>
      </c>
      <c r="F1829">
        <v>0.066181889647717</v>
      </c>
      <c r="G1829">
        <v>0.051501586011786</v>
      </c>
      <c r="H1829">
        <v>0.8403627230322591</v>
      </c>
      <c r="I1829">
        <v>1.920864352201778</v>
      </c>
    </row>
    <row r="1830" spans="1:9">
      <c r="A1830" s="1" t="s">
        <v>1842</v>
      </c>
      <c r="B1830">
        <f>HYPERLINK("https://www.suredividend.com/sure-analysis-research-database/","Magenta Therapeutics Inc")</f>
        <v>0</v>
      </c>
      <c r="C1830">
        <v>-0.243243243243243</v>
      </c>
      <c r="D1830">
        <v>-0.5</v>
      </c>
      <c r="E1830">
        <v>-0.667161961367013</v>
      </c>
      <c r="F1830">
        <v>-0.4943566591422121</v>
      </c>
      <c r="G1830">
        <v>-0.7963636363636361</v>
      </c>
      <c r="H1830">
        <v>-0.7153748411689961</v>
      </c>
      <c r="I1830">
        <v>-0.845730027548209</v>
      </c>
    </row>
    <row r="1831" spans="1:9">
      <c r="A1831" s="1" t="s">
        <v>1843</v>
      </c>
      <c r="B1831">
        <f>HYPERLINK("https://www.suredividend.com/sure-analysis-research-database/","Magnolia Oil &amp; Gas Corp")</f>
        <v>0</v>
      </c>
      <c r="C1831">
        <v>0.205882352941176</v>
      </c>
      <c r="D1831">
        <v>0.191741377587632</v>
      </c>
      <c r="E1831">
        <v>0.307619474759555</v>
      </c>
      <c r="F1831">
        <v>0.40394431306246</v>
      </c>
      <c r="G1831">
        <v>1.39785801098409</v>
      </c>
      <c r="H1831">
        <v>6.066300425486077</v>
      </c>
      <c r="I1831">
        <v>1.623999999999999</v>
      </c>
    </row>
    <row r="1832" spans="1:9">
      <c r="A1832" s="1" t="s">
        <v>1844</v>
      </c>
      <c r="B1832">
        <f>HYPERLINK("https://www.suredividend.com/sure-analysis-research-database/","Magyar Bancorp Inc.")</f>
        <v>0</v>
      </c>
      <c r="C1832">
        <v>0.003355704697986</v>
      </c>
      <c r="D1832">
        <v>-0.037680133244289</v>
      </c>
      <c r="E1832">
        <v>0.049767401035723</v>
      </c>
      <c r="F1832">
        <v>-0.023179078390695</v>
      </c>
      <c r="G1832">
        <v>0.107345888191396</v>
      </c>
      <c r="H1832">
        <v>0.107345888191396</v>
      </c>
      <c r="I1832">
        <v>0.107345888191396</v>
      </c>
    </row>
    <row r="1833" spans="1:9">
      <c r="A1833" s="1" t="s">
        <v>1845</v>
      </c>
      <c r="B1833">
        <f>HYPERLINK("https://www.suredividend.com/sure-analysis-research-database/","Mastech Digital Inc")</f>
        <v>0</v>
      </c>
      <c r="C1833">
        <v>0.131736526946107</v>
      </c>
      <c r="D1833">
        <v>0.222941176470588</v>
      </c>
      <c r="E1833">
        <v>0.193455797933409</v>
      </c>
      <c r="F1833">
        <v>0.217926186291739</v>
      </c>
      <c r="G1833">
        <v>0.214369158878504</v>
      </c>
      <c r="H1833">
        <v>0.605405405405405</v>
      </c>
      <c r="I1833">
        <v>5.078947368421052</v>
      </c>
    </row>
    <row r="1834" spans="1:9">
      <c r="A1834" s="1" t="s">
        <v>1846</v>
      </c>
      <c r="B1834">
        <f>HYPERLINK("https://www.suredividend.com/sure-analysis-research-database/","Mohawk Industries, Inc.")</f>
        <v>0</v>
      </c>
      <c r="C1834">
        <v>-0.148647718670428</v>
      </c>
      <c r="D1834">
        <v>-0.275575335246237</v>
      </c>
      <c r="E1834">
        <v>-0.327772645764277</v>
      </c>
      <c r="F1834">
        <v>-0.320946316829509</v>
      </c>
      <c r="G1834">
        <v>-0.395976758947317</v>
      </c>
      <c r="H1834">
        <v>0.6552047096601551</v>
      </c>
      <c r="I1834">
        <v>-0.4615451577801951</v>
      </c>
    </row>
    <row r="1835" spans="1:9">
      <c r="A1835" s="1" t="s">
        <v>1847</v>
      </c>
      <c r="B1835">
        <f>HYPERLINK("https://www.suredividend.com/sure-analysis-research-database/","Maiden Holdings Ltd")</f>
        <v>0</v>
      </c>
      <c r="C1835">
        <v>-0.131474103585657</v>
      </c>
      <c r="D1835">
        <v>-0.263513513513513</v>
      </c>
      <c r="E1835">
        <v>-0.312302839116719</v>
      </c>
      <c r="F1835">
        <v>-0.287581699346405</v>
      </c>
      <c r="G1835">
        <v>-0.364431486880466</v>
      </c>
      <c r="H1835">
        <v>1.137254901960784</v>
      </c>
      <c r="I1835">
        <v>-0.7991135192915521</v>
      </c>
    </row>
    <row r="1836" spans="1:9">
      <c r="A1836" s="1" t="s">
        <v>1848</v>
      </c>
      <c r="B1836">
        <f>HYPERLINK("https://www.suredividend.com/sure-analysis-research-database/","MI Homes Inc.")</f>
        <v>0</v>
      </c>
      <c r="C1836">
        <v>-0.124544349939246</v>
      </c>
      <c r="D1836">
        <v>-0.263417958766399</v>
      </c>
      <c r="E1836">
        <v>-0.270502868714141</v>
      </c>
      <c r="F1836">
        <v>-0.304760373110324</v>
      </c>
      <c r="G1836">
        <v>-0.30420086914534</v>
      </c>
      <c r="H1836">
        <v>1.411042944785276</v>
      </c>
      <c r="I1836">
        <v>0.7566030069077601</v>
      </c>
    </row>
    <row r="1837" spans="1:9">
      <c r="A1837" s="1" t="s">
        <v>1849</v>
      </c>
      <c r="B1837">
        <f>HYPERLINK("https://www.suredividend.com/sure-analysis-research-database/","Macquarie Infrastructure Holdings LLC")</f>
        <v>0</v>
      </c>
      <c r="C1837">
        <v>0.019021739130434</v>
      </c>
      <c r="D1837">
        <v>0.033057851239669</v>
      </c>
      <c r="E1837">
        <v>0.013513513513513</v>
      </c>
      <c r="F1837">
        <v>0.027397260273972</v>
      </c>
      <c r="G1837">
        <v>0.143920444146177</v>
      </c>
      <c r="H1837">
        <v>0.143920444146177</v>
      </c>
      <c r="I1837">
        <v>0.143920444146177</v>
      </c>
    </row>
    <row r="1838" spans="1:9">
      <c r="A1838" s="1" t="s">
        <v>1850</v>
      </c>
      <c r="B1838">
        <f>HYPERLINK("https://www.suredividend.com/sure-analysis-research-database/","Micron Solutions Inc")</f>
        <v>0</v>
      </c>
      <c r="C1838">
        <v>-0.04081632653061201</v>
      </c>
      <c r="D1838">
        <v>-0.145454545454545</v>
      </c>
      <c r="E1838">
        <v>-0.163701067615658</v>
      </c>
      <c r="F1838">
        <v>-0.216666666666666</v>
      </c>
      <c r="G1838">
        <v>-0.287878787878787</v>
      </c>
      <c r="H1838">
        <v>0.958333333333333</v>
      </c>
      <c r="I1838">
        <v>0.5161290322580641</v>
      </c>
    </row>
    <row r="1839" spans="1:9">
      <c r="A1839" s="1" t="s">
        <v>1851</v>
      </c>
      <c r="B1839">
        <f>HYPERLINK("https://www.suredividend.com/sure-analysis-research-database/","MICT Inc")</f>
        <v>0</v>
      </c>
      <c r="C1839">
        <v>-0.021345407503234</v>
      </c>
      <c r="D1839">
        <v>-0.252839506172839</v>
      </c>
      <c r="E1839">
        <v>-0.5882993197278911</v>
      </c>
      <c r="F1839">
        <v>-0.270843373493975</v>
      </c>
      <c r="G1839">
        <v>-0.62175</v>
      </c>
      <c r="H1839">
        <v>-0.418076923076923</v>
      </c>
      <c r="I1839">
        <v>-0.5331687750694231</v>
      </c>
    </row>
    <row r="1840" spans="1:9">
      <c r="A1840" s="1" t="s">
        <v>1852</v>
      </c>
      <c r="B1840">
        <f>HYPERLINK("https://www.suredividend.com/sure-analysis-research-database/","Middleby Corp.")</f>
        <v>0</v>
      </c>
      <c r="C1840">
        <v>-0.143697043057236</v>
      </c>
      <c r="D1840">
        <v>-0.246920464338216</v>
      </c>
      <c r="E1840">
        <v>-0.137182018817516</v>
      </c>
      <c r="F1840">
        <v>-0.244968489530392</v>
      </c>
      <c r="G1840">
        <v>-0.12291888062345</v>
      </c>
      <c r="H1840">
        <v>2.015222244773696</v>
      </c>
      <c r="I1840">
        <v>0.107169473841108</v>
      </c>
    </row>
    <row r="1841" spans="1:9">
      <c r="A1841" s="1" t="s">
        <v>1853</v>
      </c>
      <c r="B1841">
        <f>HYPERLINK("https://www.suredividend.com/sure-analysis-research-database/","Michaels Companies Inc")</f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 t="s">
        <v>1854</v>
      </c>
      <c r="B1842">
        <f>HYPERLINK("https://www.suredividend.com/sure-analysis-research-database/","MIND Technology Inc")</f>
        <v>0</v>
      </c>
      <c r="C1842">
        <v>0.333333333333333</v>
      </c>
      <c r="D1842">
        <v>-0.135802469135802</v>
      </c>
      <c r="E1842">
        <v>-0.190751445086705</v>
      </c>
      <c r="F1842">
        <v>-0.170812603648424</v>
      </c>
      <c r="G1842">
        <v>-0.380530973451327</v>
      </c>
      <c r="H1842">
        <v>0.4645883460613031</v>
      </c>
      <c r="I1842">
        <v>-0.6516199671527391</v>
      </c>
    </row>
    <row r="1843" spans="1:9">
      <c r="A1843" s="1" t="s">
        <v>1855</v>
      </c>
      <c r="B1843">
        <f>HYPERLINK("https://www.suredividend.com/sure-analysis-research-database/","Mitek Systems Inc")</f>
        <v>0</v>
      </c>
      <c r="C1843">
        <v>-0.056697377746279</v>
      </c>
      <c r="D1843">
        <v>-0.180418719211822</v>
      </c>
      <c r="E1843">
        <v>-0.295021186440677</v>
      </c>
      <c r="F1843">
        <v>-0.250140845070422</v>
      </c>
      <c r="G1843">
        <v>-0.152768936982813</v>
      </c>
      <c r="H1843">
        <v>0.680555555555555</v>
      </c>
      <c r="I1843">
        <v>0.861538461538461</v>
      </c>
    </row>
    <row r="1844" spans="1:9">
      <c r="A1844" s="1" t="s">
        <v>1856</v>
      </c>
      <c r="B1844">
        <f>HYPERLINK("https://www.suredividend.com/sure-analysis-research-database/","AG Mortgage Investment Trust Inc")</f>
        <v>0</v>
      </c>
      <c r="C1844">
        <v>-0.106748132446127</v>
      </c>
      <c r="D1844">
        <v>-0.209303725704652</v>
      </c>
      <c r="E1844">
        <v>-0.332672781009967</v>
      </c>
      <c r="F1844">
        <v>-0.213933723041318</v>
      </c>
      <c r="G1844">
        <v>-0.257311429675497</v>
      </c>
      <c r="H1844">
        <v>0.10083540554888</v>
      </c>
      <c r="I1844">
        <v>-0.789129463270259</v>
      </c>
    </row>
    <row r="1845" spans="1:9">
      <c r="A1845" s="1" t="s">
        <v>1857</v>
      </c>
      <c r="B1845">
        <f>HYPERLINK("https://www.suredividend.com/sure-analysis-MKC/","McCormick &amp; Co., Inc.")</f>
        <v>0</v>
      </c>
      <c r="C1845">
        <v>0.052734134103631</v>
      </c>
      <c r="D1845">
        <v>0.057977852983055</v>
      </c>
      <c r="E1845">
        <v>0.285095948854269</v>
      </c>
      <c r="F1845">
        <v>0.05513131227087401</v>
      </c>
      <c r="G1845">
        <v>0.161948669255892</v>
      </c>
      <c r="H1845">
        <v>0.3512902247316571</v>
      </c>
      <c r="I1845">
        <v>1.219207054618231</v>
      </c>
    </row>
    <row r="1846" spans="1:9">
      <c r="A1846" s="1" t="s">
        <v>1858</v>
      </c>
      <c r="B1846">
        <f>HYPERLINK("https://www.suredividend.com/sure-analysis-research-database/","Markel Corp")</f>
        <v>0</v>
      </c>
      <c r="C1846">
        <v>0.065967103171161</v>
      </c>
      <c r="D1846">
        <v>0.155403764657961</v>
      </c>
      <c r="E1846">
        <v>0.117890029936716</v>
      </c>
      <c r="F1846">
        <v>0.195299837925445</v>
      </c>
      <c r="G1846">
        <v>0.214361575129874</v>
      </c>
      <c r="H1846">
        <v>0.598292265349023</v>
      </c>
      <c r="I1846">
        <v>0.533550976274146</v>
      </c>
    </row>
    <row r="1847" spans="1:9">
      <c r="A1847" s="1" t="s">
        <v>1859</v>
      </c>
      <c r="B1847">
        <f>HYPERLINK("https://www.suredividend.com/sure-analysis-research-database/","MKS Instruments, Inc.")</f>
        <v>0</v>
      </c>
      <c r="C1847">
        <v>-0.247074293228139</v>
      </c>
      <c r="D1847">
        <v>-0.365269042898656</v>
      </c>
      <c r="E1847">
        <v>-0.207233200951707</v>
      </c>
      <c r="F1847">
        <v>-0.341507942212319</v>
      </c>
      <c r="G1847">
        <v>-0.384431469892936</v>
      </c>
      <c r="H1847">
        <v>0.276715767974858</v>
      </c>
      <c r="I1847">
        <v>0.822931175274864</v>
      </c>
    </row>
    <row r="1848" spans="1:9">
      <c r="A1848" s="1" t="s">
        <v>1860</v>
      </c>
      <c r="B1848">
        <f>HYPERLINK("https://www.suredividend.com/sure-analysis-MKTX/","MarketAxess Holdings Inc.")</f>
        <v>0</v>
      </c>
      <c r="C1848">
        <v>-0.251008718715611</v>
      </c>
      <c r="D1848">
        <v>-0.28418839719144</v>
      </c>
      <c r="E1848">
        <v>-0.34351249626251</v>
      </c>
      <c r="F1848">
        <v>-0.353338073977929</v>
      </c>
      <c r="G1848">
        <v>-0.5006063461090561</v>
      </c>
      <c r="H1848">
        <v>-0.385175325206236</v>
      </c>
      <c r="I1848">
        <v>0.541362158847691</v>
      </c>
    </row>
    <row r="1849" spans="1:9">
      <c r="A1849" s="1" t="s">
        <v>1861</v>
      </c>
      <c r="B1849">
        <f>HYPERLINK("https://www.suredividend.com/sure-analysis-research-database/","Mesa Laboratories, Inc.")</f>
        <v>0</v>
      </c>
      <c r="C1849">
        <v>-0.029239311924824</v>
      </c>
      <c r="D1849">
        <v>-0.155304955183859</v>
      </c>
      <c r="E1849">
        <v>-0.191927027778316</v>
      </c>
      <c r="F1849">
        <v>-0.237537086196127</v>
      </c>
      <c r="G1849">
        <v>-0.009747648051638001</v>
      </c>
      <c r="H1849">
        <v>0.167716287913996</v>
      </c>
      <c r="I1849">
        <v>0.9367233739270551</v>
      </c>
    </row>
    <row r="1850" spans="1:9">
      <c r="A1850" s="1" t="s">
        <v>1862</v>
      </c>
      <c r="B1850">
        <f>HYPERLINK("https://www.suredividend.com/sure-analysis-research-database/","Herman Miller Inc.")</f>
        <v>0</v>
      </c>
      <c r="C1850">
        <v>-0.012895069532237</v>
      </c>
      <c r="D1850">
        <v>-0.09137034571682601</v>
      </c>
      <c r="E1850">
        <v>-0.05145792180844901</v>
      </c>
      <c r="F1850">
        <v>0.170169081039604</v>
      </c>
      <c r="G1850">
        <v>0.304346373456016</v>
      </c>
      <c r="H1850">
        <v>-0.133941762907684</v>
      </c>
      <c r="I1850">
        <v>0.552990222208078</v>
      </c>
    </row>
    <row r="1851" spans="1:9">
      <c r="A1851" s="1" t="s">
        <v>1863</v>
      </c>
      <c r="B1851">
        <f>HYPERLINK("https://www.suredividend.com/sure-analysis-research-database/","Mueller Industries, Inc.")</f>
        <v>0</v>
      </c>
      <c r="C1851">
        <v>-0.07821713492889301</v>
      </c>
      <c r="D1851">
        <v>-0.08107304388719</v>
      </c>
      <c r="E1851">
        <v>0.234020422283413</v>
      </c>
      <c r="F1851">
        <v>-0.100733118231176</v>
      </c>
      <c r="G1851">
        <v>0.192171816295631</v>
      </c>
      <c r="H1851">
        <v>1.290395421794739</v>
      </c>
      <c r="I1851">
        <v>0.759735658899329</v>
      </c>
    </row>
    <row r="1852" spans="1:9">
      <c r="A1852" s="1" t="s">
        <v>1864</v>
      </c>
      <c r="B1852">
        <f>HYPERLINK("https://www.suredividend.com/sure-analysis-research-database/","Martin Marietta Materials, Inc.")</f>
        <v>0</v>
      </c>
      <c r="C1852">
        <v>-0.037668161434977</v>
      </c>
      <c r="D1852">
        <v>-0.09247221097272201</v>
      </c>
      <c r="E1852">
        <v>0.000441508368091</v>
      </c>
      <c r="F1852">
        <v>-0.1705305289647</v>
      </c>
      <c r="G1852">
        <v>0.04411606453932</v>
      </c>
      <c r="H1852">
        <v>0.976772034543931</v>
      </c>
      <c r="I1852">
        <v>0.8036198960800111</v>
      </c>
    </row>
    <row r="1853" spans="1:9">
      <c r="A1853" s="1" t="s">
        <v>1865</v>
      </c>
      <c r="B1853">
        <f>HYPERLINK("https://www.suredividend.com/sure-analysis-research-database/","Maui Land &amp; Pineapple Co., Inc.")</f>
        <v>0</v>
      </c>
      <c r="C1853">
        <v>0.06915887850467201</v>
      </c>
      <c r="D1853">
        <v>0.143999999999999</v>
      </c>
      <c r="E1853">
        <v>0.105314009661835</v>
      </c>
      <c r="F1853">
        <v>0.14859437751004</v>
      </c>
      <c r="G1853">
        <v>-0.011235955056179</v>
      </c>
      <c r="H1853">
        <v>0.119373776908023</v>
      </c>
      <c r="I1853">
        <v>-0.171014492753623</v>
      </c>
    </row>
    <row r="1854" spans="1:9">
      <c r="A1854" s="1" t="s">
        <v>1866</v>
      </c>
      <c r="B1854">
        <f>HYPERLINK("https://www.suredividend.com/sure-analysis-research-database/","Miller Industries Inc.")</f>
        <v>0</v>
      </c>
      <c r="C1854">
        <v>-0.06120851217137901</v>
      </c>
      <c r="D1854">
        <v>-0.204436368119915</v>
      </c>
      <c r="E1854">
        <v>-0.200861064830514</v>
      </c>
      <c r="F1854">
        <v>-0.183476701968996</v>
      </c>
      <c r="G1854">
        <v>-0.388746162746898</v>
      </c>
      <c r="H1854">
        <v>0.09974393416145501</v>
      </c>
      <c r="I1854">
        <v>0.289941786021981</v>
      </c>
    </row>
    <row r="1855" spans="1:9">
      <c r="A1855" s="1" t="s">
        <v>1867</v>
      </c>
      <c r="B1855">
        <f>HYPERLINK("https://www.suredividend.com/sure-analysis-research-database/","Milestone Scientific Inc.")</f>
        <v>0</v>
      </c>
      <c r="C1855">
        <v>-0.008547008547008001</v>
      </c>
      <c r="D1855">
        <v>-0.376344086021505</v>
      </c>
      <c r="E1855">
        <v>-0.450236966824644</v>
      </c>
      <c r="F1855">
        <v>-0.436893203883495</v>
      </c>
      <c r="G1855">
        <v>-0.5655430711610481</v>
      </c>
      <c r="H1855">
        <v>-0.177304964539007</v>
      </c>
      <c r="I1855">
        <v>-0.107692307692307</v>
      </c>
    </row>
    <row r="1856" spans="1:9">
      <c r="A1856" s="1" t="s">
        <v>1868</v>
      </c>
      <c r="B1856">
        <f>HYPERLINK("https://www.suredividend.com/sure-analysis-research-database/","Malvern Bancorp Inc")</f>
        <v>0</v>
      </c>
      <c r="C1856">
        <v>-0.017209588199139</v>
      </c>
      <c r="D1856">
        <v>0.018471337579617</v>
      </c>
      <c r="E1856">
        <v>-0.03616636528028901</v>
      </c>
      <c r="F1856">
        <v>0.020421186981493</v>
      </c>
      <c r="G1856">
        <v>-0.123835616438356</v>
      </c>
      <c r="H1856">
        <v>0.556962025316455</v>
      </c>
      <c r="I1856">
        <v>-0.26986301369863</v>
      </c>
    </row>
    <row r="1857" spans="1:9">
      <c r="A1857" s="1" t="s">
        <v>1869</v>
      </c>
      <c r="B1857">
        <f>HYPERLINK("https://www.suredividend.com/sure-analysis-research-database/","MMA Capital Holdings Inc")</f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1870</v>
      </c>
      <c r="B1858">
        <f>HYPERLINK("https://www.suredividend.com/sure-analysis-MMC/","Marsh &amp; McLennan Cos., Inc.")</f>
        <v>0</v>
      </c>
      <c r="C1858">
        <v>0.07780021078562001</v>
      </c>
      <c r="D1858">
        <v>0.060025439111916</v>
      </c>
      <c r="E1858">
        <v>0.054790579706092</v>
      </c>
      <c r="F1858">
        <v>-0.016936648122271</v>
      </c>
      <c r="G1858">
        <v>0.350396782466478</v>
      </c>
      <c r="H1858">
        <v>0.79891488640217</v>
      </c>
      <c r="I1858">
        <v>1.566995000892157</v>
      </c>
    </row>
    <row r="1859" spans="1:9">
      <c r="A1859" s="1" t="s">
        <v>1871</v>
      </c>
      <c r="B1859">
        <f>HYPERLINK("https://www.suredividend.com/sure-analysis-research-database/","Marcus &amp; Millichap Inc")</f>
        <v>0</v>
      </c>
      <c r="C1859">
        <v>0.09460580912863001</v>
      </c>
      <c r="D1859">
        <v>0.085415805184732</v>
      </c>
      <c r="E1859">
        <v>0.19122610943656</v>
      </c>
      <c r="F1859">
        <v>0.030575430659814</v>
      </c>
      <c r="G1859">
        <v>0.410088170600356</v>
      </c>
      <c r="H1859">
        <v>0.7808381010244201</v>
      </c>
      <c r="I1859">
        <v>1.14536079959012</v>
      </c>
    </row>
    <row r="1860" spans="1:9">
      <c r="A1860" s="1" t="s">
        <v>1872</v>
      </c>
      <c r="B1860">
        <f>HYPERLINK("https://www.suredividend.com/sure-analysis-MMM/","3M Co.")</f>
        <v>0</v>
      </c>
      <c r="C1860">
        <v>0.012851350422651</v>
      </c>
      <c r="D1860">
        <v>-0.167479623360505</v>
      </c>
      <c r="E1860">
        <v>-0.175466520460883</v>
      </c>
      <c r="F1860">
        <v>-0.162277595444536</v>
      </c>
      <c r="G1860">
        <v>-0.23318980139314</v>
      </c>
      <c r="H1860">
        <v>0.08913415386661801</v>
      </c>
      <c r="I1860">
        <v>-0.089179229232291</v>
      </c>
    </row>
    <row r="1861" spans="1:9">
      <c r="A1861" s="1" t="s">
        <v>1873</v>
      </c>
      <c r="B1861">
        <f>HYPERLINK("https://www.suredividend.com/sure-analysis-research-database/","Maximus Inc.")</f>
        <v>0</v>
      </c>
      <c r="C1861">
        <v>0.007472644782492001</v>
      </c>
      <c r="D1861">
        <v>-0.017737961110229</v>
      </c>
      <c r="E1861">
        <v>-0.118605365183394</v>
      </c>
      <c r="F1861">
        <v>-0.048806914102854</v>
      </c>
      <c r="G1861">
        <v>-0.193401920878604</v>
      </c>
      <c r="H1861">
        <v>0.246078154682035</v>
      </c>
      <c r="I1861">
        <v>0.383934626960879</v>
      </c>
    </row>
    <row r="1862" spans="1:9">
      <c r="A1862" s="1" t="s">
        <v>1874</v>
      </c>
      <c r="B1862">
        <f>HYPERLINK("https://www.suredividend.com/sure-analysis-research-database/","Merit Medical Systems, Inc.")</f>
        <v>0</v>
      </c>
      <c r="C1862">
        <v>0.09356632247815701</v>
      </c>
      <c r="D1862">
        <v>0.190797439889292</v>
      </c>
      <c r="E1862">
        <v>-0.010777410547492</v>
      </c>
      <c r="F1862">
        <v>0.104975922953451</v>
      </c>
      <c r="G1862">
        <v>0.114276464875364</v>
      </c>
      <c r="H1862">
        <v>0.97986770204199</v>
      </c>
      <c r="I1862">
        <v>1.44113475177305</v>
      </c>
    </row>
    <row r="1863" spans="1:9">
      <c r="A1863" s="1" t="s">
        <v>1875</v>
      </c>
      <c r="B1863">
        <f>HYPERLINK("https://www.suredividend.com/sure-analysis-research-database/","Manning &amp; Napier Inc")</f>
        <v>0</v>
      </c>
      <c r="C1863">
        <v>0.455479452054794</v>
      </c>
      <c r="D1863">
        <v>0.570255058684434</v>
      </c>
      <c r="E1863">
        <v>0.365476470966221</v>
      </c>
      <c r="F1863">
        <v>0.543807817116287</v>
      </c>
      <c r="G1863">
        <v>0.719302030799104</v>
      </c>
      <c r="H1863">
        <v>3.006410256410256</v>
      </c>
      <c r="I1863">
        <v>1.816310302173529</v>
      </c>
    </row>
    <row r="1864" spans="1:9">
      <c r="A1864" s="1" t="s">
        <v>1876</v>
      </c>
      <c r="B1864">
        <f>HYPERLINK("https://www.suredividend.com/sure-analysis-research-database/","Mannkind Corp")</f>
        <v>0</v>
      </c>
      <c r="C1864">
        <v>0.07288629737609301</v>
      </c>
      <c r="D1864">
        <v>-0.06122448979591801</v>
      </c>
      <c r="E1864">
        <v>-0.277013752455795</v>
      </c>
      <c r="F1864">
        <v>-0.157894736842105</v>
      </c>
      <c r="G1864">
        <v>-0.119617224880382</v>
      </c>
      <c r="H1864">
        <v>2.016393442622951</v>
      </c>
      <c r="I1864">
        <v>1.766917293233082</v>
      </c>
    </row>
    <row r="1865" spans="1:9">
      <c r="A1865" s="1" t="s">
        <v>1877</v>
      </c>
      <c r="B1865">
        <f>HYPERLINK("https://www.suredividend.com/sure-analysis-research-database/","Medicinova Inc")</f>
        <v>0</v>
      </c>
      <c r="C1865">
        <v>0.291139240506329</v>
      </c>
      <c r="D1865">
        <v>0.214285714285714</v>
      </c>
      <c r="E1865">
        <v>-0.198952879581151</v>
      </c>
      <c r="F1865">
        <v>0.141791044776119</v>
      </c>
      <c r="G1865">
        <v>-0.3184855233853</v>
      </c>
      <c r="H1865">
        <v>-0.435424354243542</v>
      </c>
      <c r="I1865">
        <v>-0.388</v>
      </c>
    </row>
    <row r="1866" spans="1:9">
      <c r="A1866" s="1" t="s">
        <v>1878</v>
      </c>
      <c r="B1866">
        <f>HYPERLINK("https://www.suredividend.com/sure-analysis-MNR/","Monmouth Real Estate Investment Corp.")</f>
        <v>0</v>
      </c>
      <c r="C1866">
        <v>0.003347680535628</v>
      </c>
      <c r="D1866">
        <v>0.010597302504816</v>
      </c>
      <c r="E1866">
        <v>0.121415399417377</v>
      </c>
      <c r="F1866">
        <v>-0.001427891480247</v>
      </c>
      <c r="G1866">
        <v>0.245222098240782</v>
      </c>
      <c r="H1866">
        <v>0.5802476574975141</v>
      </c>
      <c r="I1866">
        <v>0.752539427960438</v>
      </c>
    </row>
    <row r="1867" spans="1:9">
      <c r="A1867" s="1" t="s">
        <v>1879</v>
      </c>
      <c r="B1867">
        <f>HYPERLINK("https://www.suredividend.com/sure-analysis-research-database/","Brigham Minerals Inc")</f>
        <v>0</v>
      </c>
      <c r="C1867">
        <v>0.186491079014443</v>
      </c>
      <c r="D1867">
        <v>0.263377873472231</v>
      </c>
      <c r="E1867">
        <v>0.383488292608021</v>
      </c>
      <c r="F1867">
        <v>0.349640482449358</v>
      </c>
      <c r="G1867">
        <v>0.899276466108149</v>
      </c>
      <c r="H1867">
        <v>2.242584315318976</v>
      </c>
      <c r="I1867">
        <v>0.6704745272072631</v>
      </c>
    </row>
    <row r="1868" spans="1:9">
      <c r="A1868" s="1" t="s">
        <v>1880</v>
      </c>
      <c r="B1868">
        <f>HYPERLINK("https://www.suredividend.com/sure-analysis-research-database/","Monro Inc")</f>
        <v>0</v>
      </c>
      <c r="C1868">
        <v>0.040944881889763</v>
      </c>
      <c r="D1868">
        <v>-0.186007849649826</v>
      </c>
      <c r="E1868">
        <v>-0.193409210161614</v>
      </c>
      <c r="F1868">
        <v>-0.201233280623131</v>
      </c>
      <c r="G1868">
        <v>-0.327117862715756</v>
      </c>
      <c r="H1868">
        <v>0.029801250806792</v>
      </c>
      <c r="I1868">
        <v>-0.050301001422393</v>
      </c>
    </row>
    <row r="1869" spans="1:9">
      <c r="A1869" s="1" t="s">
        <v>1881</v>
      </c>
      <c r="B1869">
        <f>HYPERLINK("https://www.suredividend.com/sure-analysis-research-database/","MainStreet Bancshares Inc")</f>
        <v>0</v>
      </c>
      <c r="C1869">
        <v>-0.048104362005707</v>
      </c>
      <c r="D1869">
        <v>-0.039122329809429</v>
      </c>
      <c r="E1869">
        <v>-0.042660052069453</v>
      </c>
      <c r="F1869">
        <v>-0.048500012224839</v>
      </c>
      <c r="G1869">
        <v>0.08572331956998801</v>
      </c>
      <c r="H1869">
        <v>0.7591971732300671</v>
      </c>
      <c r="I1869">
        <v>1.853337243688442</v>
      </c>
    </row>
    <row r="1870" spans="1:9">
      <c r="A1870" s="1" t="s">
        <v>1882</v>
      </c>
      <c r="B1870">
        <f>HYPERLINK("https://www.suredividend.com/sure-analysis-research-database/","Monster Beverage Corp.")</f>
        <v>0</v>
      </c>
      <c r="C1870">
        <v>0.069957248348231</v>
      </c>
      <c r="D1870">
        <v>-0.08141474808141401</v>
      </c>
      <c r="E1870">
        <v>-0.034938069642439</v>
      </c>
      <c r="F1870">
        <v>-0.140045814244065</v>
      </c>
      <c r="G1870">
        <v>-0.158704288479168</v>
      </c>
      <c r="H1870">
        <v>0.334895749151446</v>
      </c>
      <c r="I1870">
        <v>0.8394209354120261</v>
      </c>
    </row>
    <row r="1871" spans="1:9">
      <c r="A1871" s="1" t="s">
        <v>1883</v>
      </c>
      <c r="B1871">
        <f>HYPERLINK("https://www.suredividend.com/sure-analysis-research-database/","Manitex International Inc")</f>
        <v>0</v>
      </c>
      <c r="C1871">
        <v>-0.022871664548919</v>
      </c>
      <c r="D1871">
        <v>0.264802631578947</v>
      </c>
      <c r="E1871">
        <v>0.22452229299363</v>
      </c>
      <c r="F1871">
        <v>0.209119496855345</v>
      </c>
      <c r="G1871">
        <v>-0.095294117647058</v>
      </c>
      <c r="H1871">
        <v>0.956743002544529</v>
      </c>
      <c r="I1871">
        <v>0.211023622047244</v>
      </c>
    </row>
    <row r="1872" spans="1:9">
      <c r="A1872" s="1" t="s">
        <v>1884</v>
      </c>
      <c r="B1872">
        <f>HYPERLINK("https://www.suredividend.com/sure-analysis-MO/","Altria Group Inc.")</f>
        <v>0</v>
      </c>
      <c r="C1872">
        <v>0.09059603910118001</v>
      </c>
      <c r="D1872">
        <v>0.100683072142988</v>
      </c>
      <c r="E1872">
        <v>0.170424741987124</v>
      </c>
      <c r="F1872">
        <v>0.180117024336425</v>
      </c>
      <c r="G1872">
        <v>0.129105792571477</v>
      </c>
      <c r="H1872">
        <v>0.5821081922586621</v>
      </c>
      <c r="I1872">
        <v>0.06486413201371201</v>
      </c>
    </row>
    <row r="1873" spans="1:9">
      <c r="A1873" s="1" t="s">
        <v>1885</v>
      </c>
      <c r="B1873">
        <f>HYPERLINK("https://www.suredividend.com/sure-analysis-research-database/","Mobile Iron Inc")</f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1886</v>
      </c>
      <c r="B1874">
        <f>HYPERLINK("https://www.suredividend.com/sure-analysis-research-database/","Modine Manufacturing Co.")</f>
        <v>0</v>
      </c>
      <c r="C1874">
        <v>-0.160209424083769</v>
      </c>
      <c r="D1874">
        <v>-0.248359887535145</v>
      </c>
      <c r="E1874">
        <v>-0.337190082644628</v>
      </c>
      <c r="F1874">
        <v>-0.205153617443012</v>
      </c>
      <c r="G1874">
        <v>-0.483912483912483</v>
      </c>
      <c r="H1874">
        <v>1.144385026737967</v>
      </c>
      <c r="I1874">
        <v>-0.221359223300971</v>
      </c>
    </row>
    <row r="1875" spans="1:9">
      <c r="A1875" s="1" t="s">
        <v>1887</v>
      </c>
      <c r="B1875">
        <f>HYPERLINK("https://www.suredividend.com/sure-analysis-research-database/","Model N Inc")</f>
        <v>0</v>
      </c>
      <c r="C1875">
        <v>0.101091791346542</v>
      </c>
      <c r="D1875">
        <v>-0.022963760315751</v>
      </c>
      <c r="E1875">
        <v>-0.173345476624165</v>
      </c>
      <c r="F1875">
        <v>-0.09324009324009301</v>
      </c>
      <c r="G1875">
        <v>-0.332270720941638</v>
      </c>
      <c r="H1875">
        <v>0.09357429718875501</v>
      </c>
      <c r="I1875">
        <v>1.630917874396135</v>
      </c>
    </row>
    <row r="1876" spans="1:9">
      <c r="A1876" s="1" t="s">
        <v>1888</v>
      </c>
      <c r="B1876">
        <f>HYPERLINK("https://www.suredividend.com/sure-analysis-research-database/","MidWestOne Financial Group Inc")</f>
        <v>0</v>
      </c>
      <c r="C1876">
        <v>-0.017167381974248</v>
      </c>
      <c r="D1876">
        <v>-0.020030383337459</v>
      </c>
      <c r="E1876">
        <v>0.06969714157972101</v>
      </c>
      <c r="F1876">
        <v>-0.001864887499649</v>
      </c>
      <c r="G1876">
        <v>0.07894905112387701</v>
      </c>
      <c r="H1876">
        <v>0.9043885285242471</v>
      </c>
      <c r="I1876">
        <v>0.104926677120849</v>
      </c>
    </row>
    <row r="1877" spans="1:9">
      <c r="A1877" s="1" t="s">
        <v>1889</v>
      </c>
      <c r="B1877">
        <f>HYPERLINK("https://www.suredividend.com/sure-analysis-research-database/","Molina Healthcare Inc")</f>
        <v>0</v>
      </c>
      <c r="C1877">
        <v>0.018462937698954</v>
      </c>
      <c r="D1877">
        <v>0.17420482348829</v>
      </c>
      <c r="E1877">
        <v>0.199400192795173</v>
      </c>
      <c r="F1877">
        <v>0.056149396378269</v>
      </c>
      <c r="G1877">
        <v>0.342149420695165</v>
      </c>
      <c r="H1877">
        <v>0.9649061238813821</v>
      </c>
      <c r="I1877">
        <v>6.047199496538704</v>
      </c>
    </row>
    <row r="1878" spans="1:9">
      <c r="A1878" s="1" t="s">
        <v>1890</v>
      </c>
      <c r="B1878">
        <f>HYPERLINK("https://www.suredividend.com/sure-analysis-MORN/","Morningstar Inc")</f>
        <v>0</v>
      </c>
      <c r="C1878">
        <v>0.017675952390063</v>
      </c>
      <c r="D1878">
        <v>-0.07399362897339701</v>
      </c>
      <c r="E1878">
        <v>0.001738194230862</v>
      </c>
      <c r="F1878">
        <v>-0.197106629292886</v>
      </c>
      <c r="G1878">
        <v>0.158729728998023</v>
      </c>
      <c r="H1878">
        <v>1.12154586588224</v>
      </c>
      <c r="I1878">
        <v>2.706710835417276</v>
      </c>
    </row>
    <row r="1879" spans="1:9">
      <c r="A1879" s="1" t="s">
        <v>1891</v>
      </c>
      <c r="B1879">
        <f>HYPERLINK("https://www.suredividend.com/sure-analysis-research-database/","Mosaic Company")</f>
        <v>0</v>
      </c>
      <c r="C1879">
        <v>0.321000521104742</v>
      </c>
      <c r="D1879">
        <v>0.763020386589453</v>
      </c>
      <c r="E1879">
        <v>0.841877091941273</v>
      </c>
      <c r="F1879">
        <v>0.9398134922254411</v>
      </c>
      <c r="G1879">
        <v>1.292720574491561</v>
      </c>
      <c r="H1879">
        <v>6.158590308370044</v>
      </c>
      <c r="I1879">
        <v>1.888757207648654</v>
      </c>
    </row>
    <row r="1880" spans="1:9">
      <c r="A1880" s="1" t="s">
        <v>1892</v>
      </c>
      <c r="B1880">
        <f>HYPERLINK("https://www.suredividend.com/sure-analysis-research-database/","Motus GI Holdings Inc")</f>
        <v>0</v>
      </c>
      <c r="C1880">
        <v>-0.09493284493284401</v>
      </c>
      <c r="D1880">
        <v>-0.354030501089324</v>
      </c>
      <c r="E1880">
        <v>-0.5255240838534161</v>
      </c>
      <c r="F1880">
        <v>-0.3650963597430401</v>
      </c>
      <c r="G1880">
        <v>-0.6901776384535001</v>
      </c>
      <c r="H1880">
        <v>-0.585198656966983</v>
      </c>
      <c r="I1880">
        <v>-0.9323059360730591</v>
      </c>
    </row>
    <row r="1881" spans="1:9">
      <c r="A1881" s="1" t="s">
        <v>1893</v>
      </c>
      <c r="B1881">
        <f>HYPERLINK("https://www.suredividend.com/sure-analysis-research-database/","Movado Group, Inc.")</f>
        <v>0</v>
      </c>
      <c r="C1881">
        <v>0.141051902714866</v>
      </c>
      <c r="D1881">
        <v>0.026299741803225</v>
      </c>
      <c r="E1881">
        <v>0.190680479162339</v>
      </c>
      <c r="F1881">
        <v>-0.046077703061234</v>
      </c>
      <c r="G1881">
        <v>0.304591634780313</v>
      </c>
      <c r="H1881">
        <v>3.478845805399529</v>
      </c>
      <c r="I1881">
        <v>0.90594142904645</v>
      </c>
    </row>
    <row r="1882" spans="1:9">
      <c r="A1882" s="1" t="s">
        <v>1894</v>
      </c>
      <c r="B1882">
        <f>HYPERLINK("https://www.suredividend.com/sure-analysis-research-database/","Motorcar Parts of America Inc.")</f>
        <v>0</v>
      </c>
      <c r="C1882">
        <v>-0.09518348623853201</v>
      </c>
      <c r="D1882">
        <v>-0.11744966442953</v>
      </c>
      <c r="E1882">
        <v>-0.19076923076923</v>
      </c>
      <c r="F1882">
        <v>-0.075571177504393</v>
      </c>
      <c r="G1882">
        <v>-0.306678383128295</v>
      </c>
      <c r="H1882">
        <v>0.31063122923588</v>
      </c>
      <c r="I1882">
        <v>-0.4461214461214461</v>
      </c>
    </row>
    <row r="1883" spans="1:9">
      <c r="A1883" s="1" t="s">
        <v>1895</v>
      </c>
      <c r="B1883">
        <f>HYPERLINK("https://www.suredividend.com/sure-analysis-research-database/","Mid Penn Bancorp, Inc.")</f>
        <v>0</v>
      </c>
      <c r="C1883">
        <v>-0.036509675063891</v>
      </c>
      <c r="D1883">
        <v>-0.1855943710653</v>
      </c>
      <c r="E1883">
        <v>-0.051671164550684</v>
      </c>
      <c r="F1883">
        <v>-0.162759119548733</v>
      </c>
      <c r="G1883">
        <v>0.07720441168066701</v>
      </c>
      <c r="H1883">
        <v>0.772009105132044</v>
      </c>
      <c r="I1883">
        <v>0.06902264837297101</v>
      </c>
    </row>
    <row r="1884" spans="1:9">
      <c r="A1884" s="1" t="s">
        <v>1896</v>
      </c>
      <c r="B1884">
        <f>HYPERLINK("https://www.suredividend.com/sure-analysis-MPC/","Marathon Petroleum Corp")</f>
        <v>0</v>
      </c>
      <c r="C1884">
        <v>0.164841036601656</v>
      </c>
      <c r="D1884">
        <v>0.175322539774963</v>
      </c>
      <c r="E1884">
        <v>0.326661483761328</v>
      </c>
      <c r="F1884">
        <v>0.372772196955027</v>
      </c>
      <c r="G1884">
        <v>0.665355263057378</v>
      </c>
      <c r="H1884">
        <v>3.311367771537062</v>
      </c>
      <c r="I1884">
        <v>1.061519330289912</v>
      </c>
    </row>
    <row r="1885" spans="1:9">
      <c r="A1885" s="1" t="s">
        <v>1897</v>
      </c>
      <c r="B1885">
        <f>HYPERLINK("https://www.suredividend.com/sure-analysis-MPW/","Medical Properties Trust Inc")</f>
        <v>0</v>
      </c>
      <c r="C1885">
        <v>0.014543630892678</v>
      </c>
      <c r="D1885">
        <v>-0.149331617699621</v>
      </c>
      <c r="E1885">
        <v>-0.002549095983078</v>
      </c>
      <c r="F1885">
        <v>-0.131334644418299</v>
      </c>
      <c r="G1885">
        <v>-0.035477088409037</v>
      </c>
      <c r="H1885">
        <v>0.347077115670176</v>
      </c>
      <c r="I1885">
        <v>0.9583926272277561</v>
      </c>
    </row>
    <row r="1886" spans="1:9">
      <c r="A1886" s="1" t="s">
        <v>1898</v>
      </c>
      <c r="B1886">
        <f>HYPERLINK("https://www.suredividend.com/sure-analysis-MPWR/","Monolithic Power System Inc")</f>
        <v>0</v>
      </c>
      <c r="C1886">
        <v>-0.069664278748925</v>
      </c>
      <c r="D1886">
        <v>-0.064356408488946</v>
      </c>
      <c r="E1886">
        <v>-0.146693546924663</v>
      </c>
      <c r="F1886">
        <v>-0.168953138360025</v>
      </c>
      <c r="G1886">
        <v>0.087203909026278</v>
      </c>
      <c r="H1886">
        <v>1.25581435074392</v>
      </c>
      <c r="I1886">
        <v>3.799651087946706</v>
      </c>
    </row>
    <row r="1887" spans="1:9">
      <c r="A1887" s="1" t="s">
        <v>1899</v>
      </c>
      <c r="B1887">
        <f>HYPERLINK("https://www.suredividend.com/sure-analysis-research-database/","Marine Products Corp")</f>
        <v>0</v>
      </c>
      <c r="C1887">
        <v>0.158771929824561</v>
      </c>
      <c r="D1887">
        <v>0.120621643861182</v>
      </c>
      <c r="E1887">
        <v>0.05224587983208601</v>
      </c>
      <c r="F1887">
        <v>0.066836800620235</v>
      </c>
      <c r="G1887">
        <v>-0.179243114278435</v>
      </c>
      <c r="H1887">
        <v>0.7194699711035321</v>
      </c>
      <c r="I1887">
        <v>0.445611731232217</v>
      </c>
    </row>
    <row r="1888" spans="1:9">
      <c r="A1888" s="1" t="s">
        <v>1900</v>
      </c>
      <c r="B1888">
        <f>HYPERLINK("https://www.suredividend.com/sure-analysis-research-database/","Everspin Technologies Inc")</f>
        <v>0</v>
      </c>
      <c r="C1888">
        <v>-0.176405733186328</v>
      </c>
      <c r="D1888">
        <v>-0.239307535641547</v>
      </c>
      <c r="E1888">
        <v>0.240863787375415</v>
      </c>
      <c r="F1888">
        <v>-0.338938053097345</v>
      </c>
      <c r="G1888">
        <v>0.433781190019193</v>
      </c>
      <c r="H1888">
        <v>1.873076923076923</v>
      </c>
      <c r="I1888">
        <v>-0.117021276595744</v>
      </c>
    </row>
    <row r="1889" spans="1:9">
      <c r="A1889" s="1" t="s">
        <v>1901</v>
      </c>
      <c r="B1889">
        <f>HYPERLINK("https://www.suredividend.com/sure-analysis-research-database/","Meridian Corp")</f>
        <v>0</v>
      </c>
      <c r="C1889">
        <v>-0.058788242351529</v>
      </c>
      <c r="D1889">
        <v>-0.147340533931118</v>
      </c>
      <c r="E1889">
        <v>0.047372057395187</v>
      </c>
      <c r="F1889">
        <v>-0.142006414445352</v>
      </c>
      <c r="G1889">
        <v>0.239880042198594</v>
      </c>
      <c r="H1889">
        <v>1.872994946165678</v>
      </c>
      <c r="I1889">
        <v>0.8639074342464771</v>
      </c>
    </row>
    <row r="1890" spans="1:9">
      <c r="A1890" s="1" t="s">
        <v>1902</v>
      </c>
      <c r="B1890">
        <f>HYPERLINK("https://www.suredividend.com/sure-analysis-research-database/","MRC Global Inc")</f>
        <v>0</v>
      </c>
      <c r="C1890">
        <v>0.037005163511187</v>
      </c>
      <c r="D1890">
        <v>0.469512195121951</v>
      </c>
      <c r="E1890">
        <v>0.4077102803738311</v>
      </c>
      <c r="F1890">
        <v>0.751453488372093</v>
      </c>
      <c r="G1890">
        <v>0.308360477741585</v>
      </c>
      <c r="H1890">
        <v>2.213333333333333</v>
      </c>
      <c r="I1890">
        <v>-0.336453744493392</v>
      </c>
    </row>
    <row r="1891" spans="1:9">
      <c r="A1891" s="1" t="s">
        <v>1903</v>
      </c>
      <c r="B1891">
        <f>HYPERLINK("https://www.suredividend.com/sure-analysis-research-database/","Mercury Systems Inc")</f>
        <v>0</v>
      </c>
      <c r="C1891">
        <v>-0.07156937073540501</v>
      </c>
      <c r="D1891">
        <v>0.020840280093364</v>
      </c>
      <c r="E1891">
        <v>0.222399680574964</v>
      </c>
      <c r="F1891">
        <v>0.112059571376679</v>
      </c>
      <c r="G1891">
        <v>-0.227674066599394</v>
      </c>
      <c r="H1891">
        <v>-0.195929087327642</v>
      </c>
      <c r="I1891">
        <v>0.6020408163265301</v>
      </c>
    </row>
    <row r="1892" spans="1:9">
      <c r="A1892" s="1" t="s">
        <v>1904</v>
      </c>
      <c r="B1892">
        <f>HYPERLINK("https://www.suredividend.com/sure-analysis-research-database/","Marin Software Inc")</f>
        <v>0</v>
      </c>
      <c r="C1892">
        <v>-0.134482758620689</v>
      </c>
      <c r="D1892">
        <v>-0.302777777777777</v>
      </c>
      <c r="E1892">
        <v>-0.6639892904953141</v>
      </c>
      <c r="F1892">
        <v>-0.323450134770889</v>
      </c>
      <c r="G1892">
        <v>0.6513157894736841</v>
      </c>
      <c r="H1892">
        <v>0.7801418439716311</v>
      </c>
      <c r="I1892">
        <v>-0.8007936507936501</v>
      </c>
    </row>
    <row r="1893" spans="1:9">
      <c r="A1893" s="1" t="s">
        <v>1905</v>
      </c>
      <c r="B1893">
        <f>HYPERLINK("https://www.suredividend.com/sure-analysis-MRK/","Merck &amp; Co Inc")</f>
        <v>0</v>
      </c>
      <c r="C1893">
        <v>0.112519201228878</v>
      </c>
      <c r="D1893">
        <v>0.077452347745234</v>
      </c>
      <c r="E1893">
        <v>0.130026511610368</v>
      </c>
      <c r="F1893">
        <v>0.144090052827446</v>
      </c>
      <c r="G1893">
        <v>0.16271913864332</v>
      </c>
      <c r="H1893">
        <v>0.120291835314135</v>
      </c>
      <c r="I1893">
        <v>0.62223304830861</v>
      </c>
    </row>
    <row r="1894" spans="1:9">
      <c r="A1894" s="1" t="s">
        <v>1906</v>
      </c>
      <c r="B1894">
        <f>HYPERLINK("https://www.suredividend.com/sure-analysis-research-database/","Marker Therapeutics Inc")</f>
        <v>0</v>
      </c>
      <c r="C1894">
        <v>-0.023435612466779</v>
      </c>
      <c r="D1894">
        <v>-0.4999381417790421</v>
      </c>
      <c r="E1894">
        <v>-0.7457861635220121</v>
      </c>
      <c r="F1894">
        <v>-0.574615870343085</v>
      </c>
      <c r="G1894">
        <v>-0.8028292682926831</v>
      </c>
      <c r="H1894">
        <v>-0.7968844221105521</v>
      </c>
      <c r="I1894">
        <v>-0.9004433497536941</v>
      </c>
    </row>
    <row r="1895" spans="1:9">
      <c r="A1895" s="1" t="s">
        <v>1907</v>
      </c>
      <c r="B1895">
        <f>HYPERLINK("https://www.suredividend.com/sure-analysis-research-database/","Marlin Business Services Corp")</f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1908</v>
      </c>
      <c r="B1896">
        <f>HYPERLINK("https://www.suredividend.com/sure-analysis-research-database/","Marinus Pharmaceuticals Inc")</f>
        <v>0</v>
      </c>
      <c r="C1896">
        <v>-0.027431421446384</v>
      </c>
      <c r="D1896">
        <v>-0.295392953929539</v>
      </c>
      <c r="E1896">
        <v>-0.319371727748691</v>
      </c>
      <c r="F1896">
        <v>-0.343434343434343</v>
      </c>
      <c r="G1896">
        <v>-0.447200566973777</v>
      </c>
      <c r="H1896">
        <v>0.089385474860335</v>
      </c>
      <c r="I1896">
        <v>0.413043478260869</v>
      </c>
    </row>
    <row r="1897" spans="1:9">
      <c r="A1897" s="1" t="s">
        <v>1909</v>
      </c>
      <c r="B1897">
        <f>HYPERLINK("https://www.suredividend.com/sure-analysis-research-database/","Marathon Oil Corporation")</f>
        <v>0</v>
      </c>
      <c r="C1897">
        <v>0.2325150532654</v>
      </c>
      <c r="D1897">
        <v>0.371246592496019</v>
      </c>
      <c r="E1897">
        <v>0.656004182017325</v>
      </c>
      <c r="F1897">
        <v>0.625951679722347</v>
      </c>
      <c r="G1897">
        <v>1.563880217366169</v>
      </c>
      <c r="H1897">
        <v>5.978390852827021</v>
      </c>
      <c r="I1897">
        <v>0.758339060104667</v>
      </c>
    </row>
    <row r="1898" spans="1:9">
      <c r="A1898" s="1" t="s">
        <v>1910</v>
      </c>
      <c r="B1898">
        <f>HYPERLINK("https://www.suredividend.com/sure-analysis-research-database/","Mersana Therapeutics Inc")</f>
        <v>0</v>
      </c>
      <c r="C1898">
        <v>0.174641148325358</v>
      </c>
      <c r="D1898">
        <v>-0.218152866242038</v>
      </c>
      <c r="E1898">
        <v>-0.421672555948174</v>
      </c>
      <c r="F1898">
        <v>-0.210610932475884</v>
      </c>
      <c r="G1898">
        <v>-0.705105105105105</v>
      </c>
      <c r="H1898">
        <v>-0.420990566037735</v>
      </c>
      <c r="I1898">
        <v>-0.649285714285714</v>
      </c>
    </row>
    <row r="1899" spans="1:9">
      <c r="A1899" s="1" t="s">
        <v>1911</v>
      </c>
      <c r="B1899">
        <f>HYPERLINK("https://www.suredividend.com/sure-analysis-research-database/","Marten Transport, Ltd.")</f>
        <v>0</v>
      </c>
      <c r="C1899">
        <v>-0.199697428139183</v>
      </c>
      <c r="D1899">
        <v>-0.03693274914131001</v>
      </c>
      <c r="E1899">
        <v>0.023613413399209</v>
      </c>
      <c r="F1899">
        <v>-0.07228788888499101</v>
      </c>
      <c r="G1899">
        <v>-0.06172401560837101</v>
      </c>
      <c r="H1899">
        <v>0.206284537210875</v>
      </c>
      <c r="I1899">
        <v>0.941094449472834</v>
      </c>
    </row>
    <row r="1900" spans="1:9">
      <c r="A1900" s="1" t="s">
        <v>1912</v>
      </c>
      <c r="B1900">
        <f>HYPERLINK("https://www.suredividend.com/sure-analysis-research-database/","Mirati Therapeutics Inc")</f>
        <v>0</v>
      </c>
      <c r="C1900">
        <v>0.009735058533579</v>
      </c>
      <c r="D1900">
        <v>-0.340841444775158</v>
      </c>
      <c r="E1900">
        <v>-0.5403859098048011</v>
      </c>
      <c r="F1900">
        <v>-0.4414070488785871</v>
      </c>
      <c r="G1900">
        <v>-0.482015298059295</v>
      </c>
      <c r="H1900">
        <v>-0.05891811186401701</v>
      </c>
      <c r="I1900">
        <v>18.28</v>
      </c>
    </row>
    <row r="1901" spans="1:9">
      <c r="A1901" s="1" t="s">
        <v>1913</v>
      </c>
      <c r="B1901">
        <f>HYPERLINK("https://www.suredividend.com/sure-analysis-MRVL/","Marvell Technology Inc")</f>
        <v>0</v>
      </c>
      <c r="C1901">
        <v>-0.114423409317363</v>
      </c>
      <c r="D1901">
        <v>-0.264758197457705</v>
      </c>
      <c r="E1901">
        <v>-0.069785182472842</v>
      </c>
      <c r="F1901">
        <v>-0.301993046261707</v>
      </c>
      <c r="G1901">
        <v>0.287408649308363</v>
      </c>
      <c r="H1901">
        <v>0.287408649308363</v>
      </c>
      <c r="I1901">
        <v>0.287408649308363</v>
      </c>
    </row>
    <row r="1902" spans="1:9">
      <c r="A1902" s="1" t="s">
        <v>1914</v>
      </c>
      <c r="B1902">
        <f>HYPERLINK("https://www.suredividend.com/sure-analysis-MS/","Morgan Stanley")</f>
        <v>0</v>
      </c>
      <c r="C1902">
        <v>-0.07628596338273701</v>
      </c>
      <c r="D1902">
        <v>-0.136825746952259</v>
      </c>
      <c r="E1902">
        <v>-0.158594427822371</v>
      </c>
      <c r="F1902">
        <v>-0.130494549177426</v>
      </c>
      <c r="G1902">
        <v>0.106245799045934</v>
      </c>
      <c r="H1902">
        <v>1.331280581554939</v>
      </c>
      <c r="I1902">
        <v>1.361417184631286</v>
      </c>
    </row>
    <row r="1903" spans="1:9">
      <c r="A1903" s="1" t="s">
        <v>1915</v>
      </c>
      <c r="B1903">
        <f>HYPERLINK("https://www.suredividend.com/sure-analysis-MSA/","MSA Safety Inc")</f>
        <v>0</v>
      </c>
      <c r="C1903">
        <v>-0.06467367174781601</v>
      </c>
      <c r="D1903">
        <v>-0.135026828538913</v>
      </c>
      <c r="E1903">
        <v>-0.154086718157622</v>
      </c>
      <c r="F1903">
        <v>-0.160008426497746</v>
      </c>
      <c r="G1903">
        <v>-0.178484082154191</v>
      </c>
      <c r="H1903">
        <v>0.235381160046366</v>
      </c>
      <c r="I1903">
        <v>1.035820126272387</v>
      </c>
    </row>
    <row r="1904" spans="1:9">
      <c r="A1904" s="1" t="s">
        <v>1916</v>
      </c>
      <c r="B1904">
        <f>HYPERLINK("https://www.suredividend.com/sure-analysis-research-database/","Midland States Bancorp Inc")</f>
        <v>0</v>
      </c>
      <c r="C1904">
        <v>-0.07903663500678401</v>
      </c>
      <c r="D1904">
        <v>0.001719341484831</v>
      </c>
      <c r="E1904">
        <v>0.09962211880779001</v>
      </c>
      <c r="F1904">
        <v>0.105973888424954</v>
      </c>
      <c r="G1904">
        <v>-0.007668184708952</v>
      </c>
      <c r="H1904">
        <v>1.074260829704331</v>
      </c>
      <c r="I1904">
        <v>0.04143092225133101</v>
      </c>
    </row>
    <row r="1905" spans="1:9">
      <c r="A1905" s="1" t="s">
        <v>1917</v>
      </c>
      <c r="B1905">
        <f>HYPERLINK("https://www.suredividend.com/sure-analysis-research-database/","MSCI Inc")</f>
        <v>0</v>
      </c>
      <c r="C1905">
        <v>-0.020813047711781</v>
      </c>
      <c r="D1905">
        <v>-0.08185211370882101</v>
      </c>
      <c r="E1905">
        <v>-0.213743381281358</v>
      </c>
      <c r="F1905">
        <v>-0.210652576261884</v>
      </c>
      <c r="G1905">
        <v>0.026415473080356</v>
      </c>
      <c r="H1905">
        <v>0.583447901218044</v>
      </c>
      <c r="I1905">
        <v>4.273507915178132</v>
      </c>
    </row>
    <row r="1906" spans="1:9">
      <c r="A1906" s="1" t="s">
        <v>1918</v>
      </c>
      <c r="B1906">
        <f>HYPERLINK("https://www.suredividend.com/sure-analysis-MSEX/","Middlesex Water Co.")</f>
        <v>0</v>
      </c>
      <c r="C1906">
        <v>-0.038272225012556</v>
      </c>
      <c r="D1906">
        <v>-0.059440714015551</v>
      </c>
      <c r="E1906">
        <v>-0.08397501645668401</v>
      </c>
      <c r="F1906">
        <v>-0.201736269471957</v>
      </c>
      <c r="G1906">
        <v>0.171572898413102</v>
      </c>
      <c r="H1906">
        <v>0.6358541502921771</v>
      </c>
      <c r="I1906">
        <v>1.821907956401021</v>
      </c>
    </row>
    <row r="1907" spans="1:9">
      <c r="A1907" s="1" t="s">
        <v>1919</v>
      </c>
      <c r="B1907">
        <f>HYPERLINK("https://www.suredividend.com/sure-analysis-MSFT/","Microsoft Corporation")</f>
        <v>0</v>
      </c>
      <c r="C1907">
        <v>-0.04945820170522</v>
      </c>
      <c r="D1907">
        <v>-0.09603924797753201</v>
      </c>
      <c r="E1907">
        <v>-0.07655367707065901</v>
      </c>
      <c r="F1907">
        <v>-0.166244569848581</v>
      </c>
      <c r="G1907">
        <v>0.08195657713063201</v>
      </c>
      <c r="H1907">
        <v>0.6096707949126511</v>
      </c>
      <c r="I1907">
        <v>3.615387152852227</v>
      </c>
    </row>
    <row r="1908" spans="1:9">
      <c r="A1908" s="1" t="s">
        <v>1920</v>
      </c>
      <c r="B1908">
        <f>HYPERLINK("https://www.suredividend.com/sure-analysis-research-database/","MSG Networks Inc")</f>
        <v>0</v>
      </c>
      <c r="C1908">
        <v>-0.092248558616271</v>
      </c>
      <c r="D1908">
        <v>-0.114375</v>
      </c>
      <c r="E1908">
        <v>0.037335285505124</v>
      </c>
      <c r="F1908">
        <v>0</v>
      </c>
      <c r="G1908">
        <v>0.48844537815126</v>
      </c>
      <c r="H1908">
        <v>-0.307090464547677</v>
      </c>
      <c r="I1908">
        <v>-0.09974587039390001</v>
      </c>
    </row>
    <row r="1909" spans="1:9">
      <c r="A1909" s="1" t="s">
        <v>1921</v>
      </c>
      <c r="B1909">
        <f>HYPERLINK("https://www.suredividend.com/sure-analysis-research-database/","Motorola Solutions Inc")</f>
        <v>0</v>
      </c>
      <c r="C1909">
        <v>0.027993299241756</v>
      </c>
      <c r="D1909">
        <v>-0.06811746059909901</v>
      </c>
      <c r="E1909">
        <v>-0.021273523809843</v>
      </c>
      <c r="F1909">
        <v>-0.13866881688577</v>
      </c>
      <c r="G1909">
        <v>0.252435021776224</v>
      </c>
      <c r="H1909">
        <v>0.5730370428333691</v>
      </c>
      <c r="I1909">
        <v>2.078143583339823</v>
      </c>
    </row>
    <row r="1910" spans="1:9">
      <c r="A1910" s="1" t="s">
        <v>1922</v>
      </c>
      <c r="B1910">
        <f>HYPERLINK("https://www.suredividend.com/sure-analysis-MSM/","MSC Industrial Direct Co., Inc.")</f>
        <v>0</v>
      </c>
      <c r="C1910">
        <v>0.08239272192106201</v>
      </c>
      <c r="D1910">
        <v>0.004563188702386</v>
      </c>
      <c r="E1910">
        <v>0.03424114289606901</v>
      </c>
      <c r="F1910">
        <v>0.029683017012417</v>
      </c>
      <c r="G1910">
        <v>-0.006993791083266001</v>
      </c>
      <c r="H1910">
        <v>0.626109558701177</v>
      </c>
      <c r="I1910">
        <v>0.166837762613979</v>
      </c>
    </row>
    <row r="1911" spans="1:9">
      <c r="A1911" s="1" t="s">
        <v>1923</v>
      </c>
      <c r="B1911">
        <f>HYPERLINK("https://www.suredividend.com/sure-analysis-research-database/","Emerson Radio Corp.")</f>
        <v>0</v>
      </c>
      <c r="C1911">
        <v>-0.031795851528384</v>
      </c>
      <c r="D1911">
        <v>-0.132640586797065</v>
      </c>
      <c r="E1911">
        <v>-0.372123893805309</v>
      </c>
      <c r="F1911">
        <v>-0.124182199728428</v>
      </c>
      <c r="G1911">
        <v>-0.355</v>
      </c>
      <c r="H1911">
        <v>0.035766423357664</v>
      </c>
      <c r="I1911">
        <v>-0.441338582677165</v>
      </c>
    </row>
    <row r="1912" spans="1:9">
      <c r="A1912" s="1" t="s">
        <v>1924</v>
      </c>
      <c r="B1912">
        <f>HYPERLINK("https://www.suredividend.com/sure-analysis-research-database/","Misonix Inc")</f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1925</v>
      </c>
      <c r="B1913">
        <f>HYPERLINK("https://www.suredividend.com/sure-analysis-research-database/","Microstrategy Inc.")</f>
        <v>0</v>
      </c>
      <c r="C1913">
        <v>0.047600167918279</v>
      </c>
      <c r="D1913">
        <v>-0.100828729281768</v>
      </c>
      <c r="E1913">
        <v>-0.400960192038407</v>
      </c>
      <c r="F1913">
        <v>-0.175026171279546</v>
      </c>
      <c r="G1913">
        <v>-0.352397566390819</v>
      </c>
      <c r="H1913">
        <v>2.618706195118021</v>
      </c>
      <c r="I1913">
        <v>1.473377016684103</v>
      </c>
    </row>
    <row r="1914" spans="1:9">
      <c r="A1914" s="1" t="s">
        <v>1926</v>
      </c>
      <c r="B1914">
        <f>HYPERLINK("https://www.suredividend.com/sure-analysis-MTB/","M &amp; T Bank Corp")</f>
        <v>0</v>
      </c>
      <c r="C1914">
        <v>-0.120445399922826</v>
      </c>
      <c r="D1914">
        <v>-0.133133259301595</v>
      </c>
      <c r="E1914">
        <v>0.071441281915433</v>
      </c>
      <c r="F1914">
        <v>0.046132502686467</v>
      </c>
      <c r="G1914">
        <v>0.068157642287688</v>
      </c>
      <c r="H1914">
        <v>0.770604808685684</v>
      </c>
      <c r="I1914">
        <v>0.219012810483082</v>
      </c>
    </row>
    <row r="1915" spans="1:9">
      <c r="A1915" s="1" t="s">
        <v>1927</v>
      </c>
      <c r="B1915">
        <f>HYPERLINK("https://www.suredividend.com/sure-analysis-research-database/","Match Group Inc.")</f>
        <v>0</v>
      </c>
      <c r="C1915">
        <v>-0.002815071459506</v>
      </c>
      <c r="D1915">
        <v>-0.239785390012381</v>
      </c>
      <c r="E1915">
        <v>-0.424446944131983</v>
      </c>
      <c r="F1915">
        <v>-0.303591682419659</v>
      </c>
      <c r="G1915">
        <v>-0.366139022711631</v>
      </c>
      <c r="H1915">
        <v>-0.068944601698342</v>
      </c>
      <c r="I1915">
        <v>-0.068944601698342</v>
      </c>
    </row>
    <row r="1916" spans="1:9">
      <c r="A1916" s="1" t="s">
        <v>1928</v>
      </c>
      <c r="B1916">
        <f>HYPERLINK("https://www.suredividend.com/sure-analysis-research-database/","Mettler-Toledo International, Inc.")</f>
        <v>0</v>
      </c>
      <c r="C1916">
        <v>-0.029790115098171</v>
      </c>
      <c r="D1916">
        <v>-0.128506835188661</v>
      </c>
      <c r="E1916">
        <v>-0.07010403808852</v>
      </c>
      <c r="F1916">
        <v>-0.223219283412188</v>
      </c>
      <c r="G1916">
        <v>0.028097291648795</v>
      </c>
      <c r="H1916">
        <v>0.8945492692600621</v>
      </c>
      <c r="I1916">
        <v>1.782113237807837</v>
      </c>
    </row>
    <row r="1917" spans="1:9">
      <c r="A1917" s="1" t="s">
        <v>1929</v>
      </c>
      <c r="B1917">
        <f>HYPERLINK("https://www.suredividend.com/sure-analysis-research-database/","Matador Resources Co")</f>
        <v>0</v>
      </c>
      <c r="C1917">
        <v>0.141404068607897</v>
      </c>
      <c r="D1917">
        <v>0.264025090555702</v>
      </c>
      <c r="E1917">
        <v>0.378591009168124</v>
      </c>
      <c r="F1917">
        <v>0.5516170924598941</v>
      </c>
      <c r="G1917">
        <v>1.395683332775191</v>
      </c>
      <c r="H1917">
        <v>17.85542962572483</v>
      </c>
      <c r="I1917">
        <v>1.571984558205587</v>
      </c>
    </row>
    <row r="1918" spans="1:9">
      <c r="A1918" s="1" t="s">
        <v>1930</v>
      </c>
      <c r="B1918">
        <f>HYPERLINK("https://www.suredividend.com/sure-analysis-research-database/","Molecular Templates Inc")</f>
        <v>0</v>
      </c>
      <c r="C1918">
        <v>0.016064257028112</v>
      </c>
      <c r="D1918">
        <v>-0.316216216216216</v>
      </c>
      <c r="E1918">
        <v>-0.600946372239747</v>
      </c>
      <c r="F1918">
        <v>-0.354591836734694</v>
      </c>
      <c r="G1918">
        <v>-0.6884236453201971</v>
      </c>
      <c r="H1918">
        <v>-0.8416770963704631</v>
      </c>
      <c r="I1918">
        <v>3.599163788402108</v>
      </c>
    </row>
    <row r="1919" spans="1:9">
      <c r="A1919" s="1" t="s">
        <v>1931</v>
      </c>
      <c r="B1919">
        <f>HYPERLINK("https://www.suredividend.com/sure-analysis-research-database/","Mannatech Inc")</f>
        <v>0</v>
      </c>
      <c r="C1919">
        <v>-0.041811846689895</v>
      </c>
      <c r="D1919">
        <v>-0.126230558629929</v>
      </c>
      <c r="E1919">
        <v>-0.05743639837879001</v>
      </c>
      <c r="F1919">
        <v>-0.13352623314971</v>
      </c>
      <c r="G1919">
        <v>0.7552164501013231</v>
      </c>
      <c r="H1919">
        <v>2.187605046075381</v>
      </c>
      <c r="I1919">
        <v>1.358760292772187</v>
      </c>
    </row>
    <row r="1920" spans="1:9">
      <c r="A1920" s="1" t="s">
        <v>1932</v>
      </c>
      <c r="B1920">
        <f>HYPERLINK("https://www.suredividend.com/sure-analysis-research-database/","MGIC Investment Corp")</f>
        <v>0</v>
      </c>
      <c r="C1920">
        <v>-0.05762473647224101</v>
      </c>
      <c r="D1920">
        <v>-0.181068702290076</v>
      </c>
      <c r="E1920">
        <v>-0.172349945995988</v>
      </c>
      <c r="F1920">
        <v>-0.065212087414171</v>
      </c>
      <c r="G1920">
        <v>-0.04387753646954801</v>
      </c>
      <c r="H1920">
        <v>1.441911282686284</v>
      </c>
      <c r="I1920">
        <v>0.335444550669216</v>
      </c>
    </row>
    <row r="1921" spans="1:9">
      <c r="A1921" s="1" t="s">
        <v>1933</v>
      </c>
      <c r="B1921">
        <f>HYPERLINK("https://www.suredividend.com/sure-analysis-research-database/","Meritage Homes Corp.")</f>
        <v>0</v>
      </c>
      <c r="C1921">
        <v>-0.12816116588084</v>
      </c>
      <c r="D1921">
        <v>-0.2943013270882121</v>
      </c>
      <c r="E1921">
        <v>-0.198660494435142</v>
      </c>
      <c r="F1921">
        <v>-0.3334425692282481</v>
      </c>
      <c r="G1921">
        <v>-0.17643486182812</v>
      </c>
      <c r="H1921">
        <v>1.069702365810226</v>
      </c>
      <c r="I1921">
        <v>1.14387351778656</v>
      </c>
    </row>
    <row r="1922" spans="1:9">
      <c r="A1922" s="1" t="s">
        <v>1934</v>
      </c>
      <c r="B1922">
        <f>HYPERLINK("https://www.suredividend.com/sure-analysis-research-database/","Vail Resorts Inc.")</f>
        <v>0</v>
      </c>
      <c r="C1922">
        <v>-0.020260536675159</v>
      </c>
      <c r="D1922">
        <v>-0.136229832899867</v>
      </c>
      <c r="E1922">
        <v>-0.220052273984185</v>
      </c>
      <c r="F1922">
        <v>-0.199715132014129</v>
      </c>
      <c r="G1922">
        <v>-0.17734541670417</v>
      </c>
      <c r="H1922">
        <v>0.743038352464731</v>
      </c>
      <c r="I1922">
        <v>0.532117230966319</v>
      </c>
    </row>
    <row r="1923" spans="1:9">
      <c r="A1923" s="1" t="s">
        <v>1935</v>
      </c>
      <c r="B1923">
        <f>HYPERLINK("https://www.suredividend.com/sure-analysis-research-database/","Matinas Biopharma Holdings Inc")</f>
        <v>0</v>
      </c>
      <c r="C1923">
        <v>0.6396396396396391</v>
      </c>
      <c r="D1923">
        <v>0.04</v>
      </c>
      <c r="E1923">
        <v>-0.18018018018018</v>
      </c>
      <c r="F1923">
        <v>-0.09900990099009901</v>
      </c>
      <c r="G1923">
        <v>0.010437486120364</v>
      </c>
      <c r="H1923">
        <v>0.339417132764203</v>
      </c>
      <c r="I1923">
        <v>-0.6915254237288131</v>
      </c>
    </row>
    <row r="1924" spans="1:9">
      <c r="A1924" s="1" t="s">
        <v>1936</v>
      </c>
      <c r="B1924">
        <f>HYPERLINK("https://www.suredividend.com/sure-analysis-research-database/","Meritor Inc")</f>
        <v>0</v>
      </c>
      <c r="C1924">
        <v>0.0084388185654</v>
      </c>
      <c r="D1924">
        <v>0.318014705882353</v>
      </c>
      <c r="E1924">
        <v>0.386847195357833</v>
      </c>
      <c r="F1924">
        <v>0.446731234866828</v>
      </c>
      <c r="G1924">
        <v>0.260991909954273</v>
      </c>
      <c r="H1924">
        <v>1.524647887323944</v>
      </c>
      <c r="I1924">
        <v>1.225325884543762</v>
      </c>
    </row>
    <row r="1925" spans="1:9">
      <c r="A1925" s="1" t="s">
        <v>1937</v>
      </c>
      <c r="B1925">
        <f>HYPERLINK("https://www.suredividend.com/sure-analysis-research-database/","Materion Corp")</f>
        <v>0</v>
      </c>
      <c r="C1925">
        <v>-0.039888033589923</v>
      </c>
      <c r="D1925">
        <v>-0.07865666530121601</v>
      </c>
      <c r="E1925">
        <v>0.146425497661748</v>
      </c>
      <c r="F1925">
        <v>-0.102006086984979</v>
      </c>
      <c r="G1925">
        <v>0.2234524782641</v>
      </c>
      <c r="H1925">
        <v>1.053625777094788</v>
      </c>
      <c r="I1925">
        <v>1.54173703890105</v>
      </c>
    </row>
    <row r="1926" spans="1:9">
      <c r="A1926" s="1" t="s">
        <v>1938</v>
      </c>
      <c r="B1926">
        <f>HYPERLINK("https://www.suredividend.com/sure-analysis-research-database/","Matrix Service Co.")</f>
        <v>0</v>
      </c>
      <c r="C1926">
        <v>-0.17391304347826</v>
      </c>
      <c r="D1926">
        <v>-0.133168927250308</v>
      </c>
      <c r="E1926">
        <v>-0.323387872954764</v>
      </c>
      <c r="F1926">
        <v>-0.065159574468085</v>
      </c>
      <c r="G1926">
        <v>-0.464584920030464</v>
      </c>
      <c r="H1926">
        <v>-0.168047337278106</v>
      </c>
      <c r="I1926">
        <v>-0.570030581039755</v>
      </c>
    </row>
    <row r="1927" spans="1:9">
      <c r="A1927" s="1" t="s">
        <v>1939</v>
      </c>
      <c r="B1927">
        <f>HYPERLINK("https://www.suredividend.com/sure-analysis-research-database/","MTS Systems Corp.")</f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1940</v>
      </c>
      <c r="B1928">
        <f>HYPERLINK("https://www.suredividend.com/sure-analysis-research-database/","MACOM Technology Solutions Holdings Inc")</f>
        <v>0</v>
      </c>
      <c r="C1928">
        <v>-0.130360498889458</v>
      </c>
      <c r="D1928">
        <v>-0.289304663501815</v>
      </c>
      <c r="E1928">
        <v>-0.208275003888629</v>
      </c>
      <c r="F1928">
        <v>-0.349936143039591</v>
      </c>
      <c r="G1928">
        <v>-0.158677685950413</v>
      </c>
      <c r="H1928">
        <v>1.126148705096073</v>
      </c>
      <c r="I1928">
        <v>0.002758077226162</v>
      </c>
    </row>
    <row r="1929" spans="1:9">
      <c r="A1929" s="1" t="s">
        <v>1941</v>
      </c>
      <c r="B1929">
        <f>HYPERLINK("https://www.suredividend.com/sure-analysis-research-database/","Manitowoc Co., Inc.")</f>
        <v>0</v>
      </c>
      <c r="C1929">
        <v>-0.190793458509994</v>
      </c>
      <c r="D1929">
        <v>-0.313110539845758</v>
      </c>
      <c r="E1929">
        <v>-0.317322432294328</v>
      </c>
      <c r="F1929">
        <v>-0.281334050564819</v>
      </c>
      <c r="G1929">
        <v>-0.369811320754717</v>
      </c>
      <c r="H1929">
        <v>0.639263803680981</v>
      </c>
      <c r="I1929">
        <v>-0.396021699819168</v>
      </c>
    </row>
    <row r="1930" spans="1:9">
      <c r="A1930" s="1" t="s">
        <v>1942</v>
      </c>
      <c r="B1930">
        <f>HYPERLINK("https://www.suredividend.com/sure-analysis-research-database/","Minerals Technologies, Inc.")</f>
        <v>0</v>
      </c>
      <c r="C1930">
        <v>-0.05811174185838001</v>
      </c>
      <c r="D1930">
        <v>-0.144951416153027</v>
      </c>
      <c r="E1930">
        <v>-0.12089413641269</v>
      </c>
      <c r="F1930">
        <v>-0.137471100835852</v>
      </c>
      <c r="G1930">
        <v>-0.225221527659161</v>
      </c>
      <c r="H1930">
        <v>0.7841074369407861</v>
      </c>
      <c r="I1930">
        <v>-0.125443693415652</v>
      </c>
    </row>
    <row r="1931" spans="1:9">
      <c r="A1931" s="1" t="s">
        <v>1943</v>
      </c>
      <c r="B1931">
        <f>HYPERLINK("https://www.suredividend.com/sure-analysis-research-database/","Mastec Inc.")</f>
        <v>0</v>
      </c>
      <c r="C1931">
        <v>-0.07191900384033501</v>
      </c>
      <c r="D1931">
        <v>-0.173060970551638</v>
      </c>
      <c r="E1931">
        <v>-0.07546951078135801</v>
      </c>
      <c r="F1931">
        <v>-0.135782401387082</v>
      </c>
      <c r="G1931">
        <v>-0.215445154943433</v>
      </c>
      <c r="H1931">
        <v>1.400662251655629</v>
      </c>
      <c r="I1931">
        <v>0.9240048250904701</v>
      </c>
    </row>
    <row r="1932" spans="1:9">
      <c r="A1932" s="1" t="s">
        <v>1944</v>
      </c>
      <c r="B1932">
        <f>HYPERLINK("https://www.suredividend.com/sure-analysis-research-database/","Micron Technology Inc.")</f>
        <v>0</v>
      </c>
      <c r="C1932">
        <v>-0.118541300858583</v>
      </c>
      <c r="D1932">
        <v>-0.278699045842157</v>
      </c>
      <c r="E1932">
        <v>0.038721364067913</v>
      </c>
      <c r="F1932">
        <v>-0.246099616331032</v>
      </c>
      <c r="G1932">
        <v>-0.22348350636006</v>
      </c>
      <c r="H1932">
        <v>0.546212188023635</v>
      </c>
      <c r="I1932">
        <v>1.632724924731021</v>
      </c>
    </row>
    <row r="1933" spans="1:9">
      <c r="A1933" s="1" t="s">
        <v>1945</v>
      </c>
      <c r="B1933">
        <f>HYPERLINK("https://www.suredividend.com/sure-analysis-research-database/","Murphy Oil Corp.")</f>
        <v>0</v>
      </c>
      <c r="C1933">
        <v>0.155458753062891</v>
      </c>
      <c r="D1933">
        <v>0.337948688848115</v>
      </c>
      <c r="E1933">
        <v>0.50167895066468</v>
      </c>
      <c r="F1933">
        <v>0.6331054014845711</v>
      </c>
      <c r="G1933">
        <v>1.565063401307916</v>
      </c>
      <c r="H1933">
        <v>5.447300458785282</v>
      </c>
      <c r="I1933">
        <v>0.8405998863720141</v>
      </c>
    </row>
    <row r="1934" spans="1:9">
      <c r="A1934" s="1" t="s">
        <v>1946</v>
      </c>
      <c r="B1934">
        <f>HYPERLINK("https://www.suredividend.com/sure-analysis-research-database/","Murphy USA Inc")</f>
        <v>0</v>
      </c>
      <c r="C1934">
        <v>0.202485840151038</v>
      </c>
      <c r="D1934">
        <v>0.194139762630284</v>
      </c>
      <c r="E1934">
        <v>0.386751919643505</v>
      </c>
      <c r="F1934">
        <v>0.152665170599874</v>
      </c>
      <c r="G1934">
        <v>0.6162879303210651</v>
      </c>
      <c r="H1934">
        <v>1.252811224264218</v>
      </c>
      <c r="I1934">
        <v>2.125494130412261</v>
      </c>
    </row>
    <row r="1935" spans="1:9">
      <c r="A1935" s="1" t="s">
        <v>1947</v>
      </c>
      <c r="B1935">
        <f>HYPERLINK("https://www.suredividend.com/sure-analysis-research-database/","McEwen Mining Inc")</f>
        <v>0</v>
      </c>
      <c r="C1935">
        <v>0.04307276966498901</v>
      </c>
      <c r="D1935">
        <v>-0.06869727183083101</v>
      </c>
      <c r="E1935">
        <v>-0.267241379310344</v>
      </c>
      <c r="F1935">
        <v>-0.041173152848279</v>
      </c>
      <c r="G1935">
        <v>-0.285714285714285</v>
      </c>
      <c r="H1935">
        <v>-0.145127225183546</v>
      </c>
      <c r="I1935">
        <v>-0.7251414713015361</v>
      </c>
    </row>
    <row r="1936" spans="1:9">
      <c r="A1936" s="1" t="s">
        <v>1948</v>
      </c>
      <c r="B1936">
        <f>HYPERLINK("https://www.suredividend.com/sure-analysis-research-database/","MVB Financial Corp.")</f>
        <v>0</v>
      </c>
      <c r="C1936">
        <v>0.03211351755041</v>
      </c>
      <c r="D1936">
        <v>0.02454357646268</v>
      </c>
      <c r="E1936">
        <v>-0.024325958906849</v>
      </c>
      <c r="F1936">
        <v>0.002827557681934</v>
      </c>
      <c r="G1936">
        <v>0.105311145354014</v>
      </c>
      <c r="H1936">
        <v>2.582971809806937</v>
      </c>
      <c r="I1936">
        <v>1.782382272211745</v>
      </c>
    </row>
    <row r="1937" spans="1:9">
      <c r="A1937" s="1" t="s">
        <v>1949</v>
      </c>
      <c r="B1937">
        <f>HYPERLINK("https://www.suredividend.com/sure-analysis-research-database/","Microvision Inc.")</f>
        <v>0</v>
      </c>
      <c r="C1937">
        <v>-0.148614609571788</v>
      </c>
      <c r="D1937">
        <v>-0.124352331606217</v>
      </c>
      <c r="E1937">
        <v>-0.631808278867102</v>
      </c>
      <c r="F1937">
        <v>-0.325349301397205</v>
      </c>
      <c r="G1937">
        <v>-0.6935630099728011</v>
      </c>
      <c r="H1937">
        <v>12.52</v>
      </c>
      <c r="I1937">
        <v>0.6487804878048781</v>
      </c>
    </row>
    <row r="1938" spans="1:9">
      <c r="A1938" s="1" t="s">
        <v>1950</v>
      </c>
      <c r="B1938">
        <f>HYPERLINK("https://www.suredividend.com/sure-analysis-MWA/","Mueller Water Products Inc")</f>
        <v>0</v>
      </c>
      <c r="C1938">
        <v>-0.004702194357366</v>
      </c>
      <c r="D1938">
        <v>-0.04381870200271001</v>
      </c>
      <c r="E1938">
        <v>-0.195586493453847</v>
      </c>
      <c r="F1938">
        <v>-0.114204807008244</v>
      </c>
      <c r="G1938">
        <v>-0.09472588727555201</v>
      </c>
      <c r="H1938">
        <v>0.556639619542568</v>
      </c>
      <c r="I1938">
        <v>0.184403182034375</v>
      </c>
    </row>
    <row r="1939" spans="1:9">
      <c r="A1939" s="1" t="s">
        <v>1951</v>
      </c>
      <c r="B1939">
        <f>HYPERLINK("https://www.suredividend.com/sure-analysis-research-database/","Maxim Integrated Products, Inc.")</f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 t="s">
        <v>1952</v>
      </c>
      <c r="B1940">
        <f>HYPERLINK("https://www.suredividend.com/sure-analysis-research-database/","MaxLinear Inc")</f>
        <v>0</v>
      </c>
      <c r="C1940">
        <v>-0.215713540761342</v>
      </c>
      <c r="D1940">
        <v>-0.315741583257506</v>
      </c>
      <c r="E1940">
        <v>-0.06699751861042101</v>
      </c>
      <c r="F1940">
        <v>-0.401512136888181</v>
      </c>
      <c r="G1940">
        <v>0.178067885117493</v>
      </c>
      <c r="H1940">
        <v>2.050709939148073</v>
      </c>
      <c r="I1940">
        <v>0.6949661908339591</v>
      </c>
    </row>
    <row r="1941" spans="1:9">
      <c r="A1941" s="1" t="s">
        <v>1953</v>
      </c>
      <c r="B1941">
        <f>HYPERLINK("https://www.suredividend.com/sure-analysis-research-database/","Myers Industries Inc.")</f>
        <v>0</v>
      </c>
      <c r="C1941">
        <v>0.09361924686192401</v>
      </c>
      <c r="D1941">
        <v>0.09531492268365201</v>
      </c>
      <c r="E1941">
        <v>0.041713371893168</v>
      </c>
      <c r="F1941">
        <v>0.05262098093603201</v>
      </c>
      <c r="G1941">
        <v>0.007084752130001</v>
      </c>
      <c r="H1941">
        <v>1.109926036547834</v>
      </c>
      <c r="I1941">
        <v>0.5357609765412691</v>
      </c>
    </row>
    <row r="1942" spans="1:9">
      <c r="A1942" s="1" t="s">
        <v>1954</v>
      </c>
      <c r="B1942">
        <f>HYPERLINK("https://www.suredividend.com/sure-analysis-research-database/","Myriad Genetics, Inc.")</f>
        <v>0</v>
      </c>
      <c r="C1942">
        <v>-0.032674465510286</v>
      </c>
      <c r="D1942">
        <v>-0.137099676142497</v>
      </c>
      <c r="E1942">
        <v>-0.24448645242596</v>
      </c>
      <c r="F1942">
        <v>-0.131159420289855</v>
      </c>
      <c r="G1942">
        <v>-0.121933357744415</v>
      </c>
      <c r="H1942">
        <v>0.652653342522398</v>
      </c>
      <c r="I1942">
        <v>0.321212121212121</v>
      </c>
    </row>
    <row r="1943" spans="1:9">
      <c r="A1943" s="1" t="s">
        <v>1955</v>
      </c>
      <c r="B1943">
        <f>HYPERLINK("https://www.suredividend.com/sure-analysis-research-database/","MYR Group Inc")</f>
        <v>0</v>
      </c>
      <c r="C1943">
        <v>-0.09318021557368701</v>
      </c>
      <c r="D1943">
        <v>-0.07700194811852701</v>
      </c>
      <c r="E1943">
        <v>-0.14323784143904</v>
      </c>
      <c r="F1943">
        <v>-0.185707824513794</v>
      </c>
      <c r="G1943">
        <v>0.273267326732673</v>
      </c>
      <c r="H1943">
        <v>2.893598615916954</v>
      </c>
      <c r="I1943">
        <v>1.235410975912589</v>
      </c>
    </row>
    <row r="1944" spans="1:9">
      <c r="A1944" s="1" t="s">
        <v>1956</v>
      </c>
      <c r="B1944">
        <f>HYPERLINK("https://www.suredividend.com/sure-analysis-research-database/","Natural Alternatives International, Inc.")</f>
        <v>0</v>
      </c>
      <c r="C1944">
        <v>-0.102678571428571</v>
      </c>
      <c r="D1944">
        <v>-0.247754491017964</v>
      </c>
      <c r="E1944">
        <v>-0.256106587712805</v>
      </c>
      <c r="F1944">
        <v>-0.205533596837944</v>
      </c>
      <c r="G1944">
        <v>-0.447802197802197</v>
      </c>
      <c r="H1944">
        <v>0.365489130434782</v>
      </c>
      <c r="I1944">
        <v>0.08064516129032201</v>
      </c>
    </row>
    <row r="1945" spans="1:9">
      <c r="A1945" s="1" t="s">
        <v>1957</v>
      </c>
      <c r="B1945">
        <f>HYPERLINK("https://www.suredividend.com/sure-analysis-research-database/","Nathan`s Famous, Inc.")</f>
        <v>0</v>
      </c>
      <c r="C1945">
        <v>-0.09097345132743301</v>
      </c>
      <c r="D1945">
        <v>-0.073768496226364</v>
      </c>
      <c r="E1945">
        <v>-0.162064492972338</v>
      </c>
      <c r="F1945">
        <v>-0.113584116311018</v>
      </c>
      <c r="G1945">
        <v>-0.193377402317155</v>
      </c>
      <c r="H1945">
        <v>-0.04501589780777501</v>
      </c>
      <c r="I1945">
        <v>-0.067497494444202</v>
      </c>
    </row>
    <row r="1946" spans="1:9">
      <c r="A1946" s="1" t="s">
        <v>1958</v>
      </c>
      <c r="B1946">
        <f>HYPERLINK("https://www.suredividend.com/sure-analysis-research-database/","National Instruments Corp.")</f>
        <v>0</v>
      </c>
      <c r="C1946">
        <v>-0.006161745827984001</v>
      </c>
      <c r="D1946">
        <v>-0.06569801119907301</v>
      </c>
      <c r="E1946">
        <v>-0.043666234327712</v>
      </c>
      <c r="F1946">
        <v>-0.107416673391978</v>
      </c>
      <c r="G1946">
        <v>-0.111052934949099</v>
      </c>
      <c r="H1946">
        <v>0.132908187902963</v>
      </c>
      <c r="I1946">
        <v>0.372456558966704</v>
      </c>
    </row>
    <row r="1947" spans="1:9">
      <c r="A1947" s="1" t="s">
        <v>1959</v>
      </c>
      <c r="B1947">
        <f>HYPERLINK("https://www.suredividend.com/sure-analysis-research-database/","Nature`s Sunshine Products, Inc.")</f>
        <v>0</v>
      </c>
      <c r="C1947">
        <v>0.047815820543093</v>
      </c>
      <c r="D1947">
        <v>-0.04621171413218601</v>
      </c>
      <c r="E1947">
        <v>0.154847104749512</v>
      </c>
      <c r="F1947">
        <v>-0.04054054054054</v>
      </c>
      <c r="G1947">
        <v>-0.12259021255561</v>
      </c>
      <c r="H1947">
        <v>1.345711642658913</v>
      </c>
      <c r="I1947">
        <v>0.9728579208856181</v>
      </c>
    </row>
    <row r="1948" spans="1:9">
      <c r="A1948" s="1" t="s">
        <v>1960</v>
      </c>
      <c r="B1948">
        <f>HYPERLINK("https://www.suredividend.com/sure-analysis-research-database/","Navistar International Corp.")</f>
        <v>0</v>
      </c>
      <c r="C1948">
        <v>0.006104453990504</v>
      </c>
      <c r="D1948">
        <v>0.010674540086304</v>
      </c>
      <c r="E1948">
        <v>0.012283894449499</v>
      </c>
      <c r="F1948">
        <v>0</v>
      </c>
      <c r="G1948">
        <v>0.578014184397163</v>
      </c>
      <c r="H1948">
        <v>0.291727140783744</v>
      </c>
      <c r="I1948">
        <v>2.806672369546621</v>
      </c>
    </row>
    <row r="1949" spans="1:9">
      <c r="A1949" s="1" t="s">
        <v>1961</v>
      </c>
      <c r="B1949">
        <f>HYPERLINK("https://www.suredividend.com/sure-analysis-research-database/","Navidea Biopharmaceuticals Inc")</f>
        <v>0</v>
      </c>
      <c r="C1949">
        <v>0.131578947368421</v>
      </c>
      <c r="D1949">
        <v>-0.156862745098039</v>
      </c>
      <c r="E1949">
        <v>-0.511363636363636</v>
      </c>
      <c r="F1949">
        <v>-0.14</v>
      </c>
      <c r="G1949">
        <v>-0.47560975609756</v>
      </c>
      <c r="H1949">
        <v>0.138017731904194</v>
      </c>
      <c r="I1949">
        <v>-0.9095878889823381</v>
      </c>
    </row>
    <row r="1950" spans="1:9">
      <c r="A1950" s="1" t="s">
        <v>1962</v>
      </c>
      <c r="B1950">
        <f>HYPERLINK("https://www.suredividend.com/sure-analysis-NAVI/","Navient Corp")</f>
        <v>0</v>
      </c>
      <c r="C1950">
        <v>-0.04092219020172901</v>
      </c>
      <c r="D1950">
        <v>-0.233892873914604</v>
      </c>
      <c r="E1950">
        <v>-0.152594161862663</v>
      </c>
      <c r="F1950">
        <v>-0.208617696716048</v>
      </c>
      <c r="G1950">
        <v>0.155675938465812</v>
      </c>
      <c r="H1950">
        <v>1.549488263773978</v>
      </c>
      <c r="I1950">
        <v>0.4324328977497721</v>
      </c>
    </row>
    <row r="1951" spans="1:9">
      <c r="A1951" s="1" t="s">
        <v>1963</v>
      </c>
      <c r="B1951">
        <f>HYPERLINK("https://www.suredividend.com/sure-analysis-research-database/","NewAge Inc")</f>
        <v>0</v>
      </c>
      <c r="C1951">
        <v>-0.08947772657450001</v>
      </c>
      <c r="D1951">
        <v>-0.4519186315302821</v>
      </c>
      <c r="E1951">
        <v>-0.6774149659863941</v>
      </c>
      <c r="F1951">
        <v>-0.539611650485436</v>
      </c>
      <c r="G1951">
        <v>-0.783470319634703</v>
      </c>
      <c r="H1951">
        <v>-0.681744966442953</v>
      </c>
      <c r="I1951">
        <v>-0.8777835051546391</v>
      </c>
    </row>
    <row r="1952" spans="1:9">
      <c r="A1952" s="1" t="s">
        <v>1964</v>
      </c>
      <c r="B1952">
        <f>HYPERLINK("https://www.suredividend.com/sure-analysis-research-database/","National Bank Holdings Corp")</f>
        <v>0</v>
      </c>
      <c r="C1952">
        <v>-0.101903435468895</v>
      </c>
      <c r="D1952">
        <v>-0.179707459382904</v>
      </c>
      <c r="E1952">
        <v>-0.05584175038984</v>
      </c>
      <c r="F1952">
        <v>-0.114928855744155</v>
      </c>
      <c r="G1952">
        <v>-0.003549003549003</v>
      </c>
      <c r="H1952">
        <v>0.8784471374194041</v>
      </c>
      <c r="I1952">
        <v>0.3699115169583641</v>
      </c>
    </row>
    <row r="1953" spans="1:9">
      <c r="A1953" s="1" t="s">
        <v>1965</v>
      </c>
      <c r="B1953">
        <f>HYPERLINK("https://www.suredividend.com/sure-analysis-research-database/","Neurocrine Biosciences, Inc.")</f>
        <v>0</v>
      </c>
      <c r="C1953">
        <v>0.0771484375</v>
      </c>
      <c r="D1953">
        <v>0.266845329249617</v>
      </c>
      <c r="E1953">
        <v>-0.050411325808303</v>
      </c>
      <c r="F1953">
        <v>0.165551250440295</v>
      </c>
      <c r="G1953">
        <v>0.027852557465313</v>
      </c>
      <c r="H1953">
        <v>0.042533081285444</v>
      </c>
      <c r="I1953">
        <v>0.8593369544858581</v>
      </c>
    </row>
    <row r="1954" spans="1:9">
      <c r="A1954" s="1" t="s">
        <v>1966</v>
      </c>
      <c r="B1954">
        <f>HYPERLINK("https://www.suredividend.com/sure-analysis-research-database/","Northeast Bank")</f>
        <v>0</v>
      </c>
      <c r="C1954">
        <v>-0.025698324022346</v>
      </c>
      <c r="D1954">
        <v>-0.07725111838328401</v>
      </c>
      <c r="E1954">
        <v>-0.015256744700793</v>
      </c>
      <c r="F1954">
        <v>-0.023535373047</v>
      </c>
      <c r="G1954">
        <v>0.266654803882761</v>
      </c>
      <c r="H1954">
        <v>2.264236582284404</v>
      </c>
      <c r="I1954">
        <v>0.6436238890930851</v>
      </c>
    </row>
    <row r="1955" spans="1:9">
      <c r="A1955" s="1" t="s">
        <v>1967</v>
      </c>
      <c r="B1955">
        <f>HYPERLINK("https://www.suredividend.com/sure-analysis-research-database/","Nabors Industries Ltd")</f>
        <v>0</v>
      </c>
      <c r="C1955">
        <v>0.456533094545183</v>
      </c>
      <c r="D1955">
        <v>0.697009215788558</v>
      </c>
      <c r="E1955">
        <v>0.6174179648657601</v>
      </c>
      <c r="F1955">
        <v>1.407078554692317</v>
      </c>
      <c r="G1955">
        <v>1.188719443821484</v>
      </c>
      <c r="H1955">
        <v>11.20700437773608</v>
      </c>
      <c r="I1955">
        <v>-0.661592431348895</v>
      </c>
    </row>
    <row r="1956" spans="1:9">
      <c r="A1956" s="1" t="s">
        <v>1968</v>
      </c>
      <c r="B1956">
        <f>HYPERLINK("https://www.suredividend.com/sure-analysis-research-database/","NeuBase Therapeutics Inc")</f>
        <v>0</v>
      </c>
      <c r="C1956">
        <v>0</v>
      </c>
      <c r="D1956">
        <v>-0.221957040572792</v>
      </c>
      <c r="E1956">
        <v>-0.5862944162436541</v>
      </c>
      <c r="F1956">
        <v>-0.4199288256227751</v>
      </c>
      <c r="G1956">
        <v>-0.731023102310231</v>
      </c>
      <c r="H1956">
        <v>-0.807100591715976</v>
      </c>
      <c r="I1956">
        <v>-0.898112264033004</v>
      </c>
    </row>
    <row r="1957" spans="1:9">
      <c r="A1957" s="1" t="s">
        <v>1969</v>
      </c>
      <c r="B1957">
        <f>HYPERLINK("https://www.suredividend.com/sure-analysis-research-database/","NBT Bancorp. Inc.")</f>
        <v>0</v>
      </c>
      <c r="C1957">
        <v>-0.095543032786885</v>
      </c>
      <c r="D1957">
        <v>-0.15593558241879</v>
      </c>
      <c r="E1957">
        <v>-0.022506436342496</v>
      </c>
      <c r="F1957">
        <v>-0.076611680038494</v>
      </c>
      <c r="G1957">
        <v>-0.06967798369631001</v>
      </c>
      <c r="H1957">
        <v>0.224948570199509</v>
      </c>
      <c r="I1957">
        <v>0.145666033970896</v>
      </c>
    </row>
    <row r="1958" spans="1:9">
      <c r="A1958" s="1" t="s">
        <v>1970</v>
      </c>
      <c r="B1958">
        <f>HYPERLINK("https://www.suredividend.com/sure-analysis-research-database/","Novabay Pharmaceuticals Inc")</f>
        <v>0</v>
      </c>
      <c r="C1958">
        <v>0.050546963410033</v>
      </c>
      <c r="D1958">
        <v>-0.189936009307737</v>
      </c>
      <c r="E1958">
        <v>-0.495288147879666</v>
      </c>
      <c r="F1958">
        <v>-0.26048858204992</v>
      </c>
      <c r="G1958">
        <v>-0.613194444444444</v>
      </c>
      <c r="H1958">
        <v>-0.646708106050995</v>
      </c>
      <c r="I1958">
        <v>-0.9247297297297291</v>
      </c>
    </row>
    <row r="1959" spans="1:9">
      <c r="A1959" s="1" t="s">
        <v>1971</v>
      </c>
      <c r="B1959">
        <f>HYPERLINK("https://www.suredividend.com/sure-analysis-NC/","Nacco Industries Inc.")</f>
        <v>0</v>
      </c>
      <c r="C1959">
        <v>0.4927768860353131</v>
      </c>
      <c r="D1959">
        <v>0.333578061637117</v>
      </c>
      <c r="E1959">
        <v>0.224622013173245</v>
      </c>
      <c r="F1959">
        <v>0.289109931968263</v>
      </c>
      <c r="G1959">
        <v>1.13713513588043</v>
      </c>
      <c r="H1959">
        <v>0.9093843159476701</v>
      </c>
      <c r="I1959">
        <v>0.08180291179467601</v>
      </c>
    </row>
    <row r="1960" spans="1:9">
      <c r="A1960" s="1" t="s">
        <v>1972</v>
      </c>
      <c r="B1960">
        <f>HYPERLINK("https://www.suredividend.com/sure-analysis-research-database/","Nicolet Bankshares Inc.")</f>
        <v>0</v>
      </c>
      <c r="C1960">
        <v>-0.048747531441638</v>
      </c>
      <c r="D1960">
        <v>0.03858374943259101</v>
      </c>
      <c r="E1960">
        <v>0.213310353970568</v>
      </c>
      <c r="F1960">
        <v>0.067288629737609</v>
      </c>
      <c r="G1960">
        <v>0.174387270627486</v>
      </c>
      <c r="H1960">
        <v>0.7909980430528371</v>
      </c>
      <c r="I1960">
        <v>0.9593234853350461</v>
      </c>
    </row>
    <row r="1961" spans="1:9">
      <c r="A1961" s="1" t="s">
        <v>1973</v>
      </c>
      <c r="B1961">
        <f>HYPERLINK("https://www.suredividend.com/sure-analysis-research-database/","Norwegian Cruise Line Holdings Ltd")</f>
        <v>0</v>
      </c>
      <c r="C1961">
        <v>0.120082815734989</v>
      </c>
      <c r="D1961">
        <v>-0.05749128919860601</v>
      </c>
      <c r="E1961">
        <v>-0.184319638145495</v>
      </c>
      <c r="F1961">
        <v>0.043394406943105</v>
      </c>
      <c r="G1961">
        <v>-0.235875706214689</v>
      </c>
      <c r="H1961">
        <v>0.906607929515418</v>
      </c>
      <c r="I1961">
        <v>-0.549448261503227</v>
      </c>
    </row>
    <row r="1962" spans="1:9">
      <c r="A1962" s="1" t="s">
        <v>1974</v>
      </c>
      <c r="B1962">
        <f>HYPERLINK("https://www.suredividend.com/sure-analysis-research-database/","National Cinemedia Inc")</f>
        <v>0</v>
      </c>
      <c r="C1962">
        <v>-0.023904382470119</v>
      </c>
      <c r="D1962">
        <v>-0.087795070370094</v>
      </c>
      <c r="E1962">
        <v>-0.287707873008489</v>
      </c>
      <c r="F1962">
        <v>-0.110546378653113</v>
      </c>
      <c r="G1962">
        <v>-0.398920510304219</v>
      </c>
      <c r="H1962">
        <v>0.05703684528432101</v>
      </c>
      <c r="I1962">
        <v>-0.678844364046298</v>
      </c>
    </row>
    <row r="1963" spans="1:9">
      <c r="A1963" s="1" t="s">
        <v>1975</v>
      </c>
      <c r="B1963">
        <f>HYPERLINK("https://www.suredividend.com/sure-analysis-research-database/","NCR Corp.")</f>
        <v>0</v>
      </c>
      <c r="C1963">
        <v>0.04389362251484601</v>
      </c>
      <c r="D1963">
        <v>-0.054269005847953</v>
      </c>
      <c r="E1963">
        <v>-0.06843317972350201</v>
      </c>
      <c r="F1963">
        <v>0.005721393034825</v>
      </c>
      <c r="G1963">
        <v>0.005971634735008001</v>
      </c>
      <c r="H1963">
        <v>1.299772468714448</v>
      </c>
      <c r="I1963">
        <v>-0.06541840036985601</v>
      </c>
    </row>
    <row r="1964" spans="1:9">
      <c r="A1964" s="1" t="s">
        <v>1976</v>
      </c>
      <c r="B1964">
        <f>HYPERLINK("https://www.suredividend.com/sure-analysis-research-database/","NCS Multistage Holdings Inc")</f>
        <v>0</v>
      </c>
      <c r="C1964">
        <v>-0.156009909035627</v>
      </c>
      <c r="D1964">
        <v>0.189633375474083</v>
      </c>
      <c r="E1964">
        <v>0.5641622340425531</v>
      </c>
      <c r="F1964">
        <v>0.622973439116936</v>
      </c>
      <c r="G1964">
        <v>0.9172779136104321</v>
      </c>
      <c r="H1964">
        <v>3.026874358096542</v>
      </c>
      <c r="I1964">
        <v>-0.8824337831084451</v>
      </c>
    </row>
    <row r="1965" spans="1:9">
      <c r="A1965" s="1" t="s">
        <v>1977</v>
      </c>
      <c r="B1965">
        <f>HYPERLINK("https://www.suredividend.com/sure-analysis-research-database/","Nasdaq Inc")</f>
        <v>0</v>
      </c>
      <c r="C1965">
        <v>0.030175398107546</v>
      </c>
      <c r="D1965">
        <v>-0.03769508165444201</v>
      </c>
      <c r="E1965">
        <v>-0.115305146639844</v>
      </c>
      <c r="F1965">
        <v>-0.147071524656822</v>
      </c>
      <c r="G1965">
        <v>0.128037820697898</v>
      </c>
      <c r="H1965">
        <v>0.6935037934295271</v>
      </c>
      <c r="I1965">
        <v>1.855287839560169</v>
      </c>
    </row>
    <row r="1966" spans="1:9">
      <c r="A1966" s="1" t="s">
        <v>1978</v>
      </c>
      <c r="B1966">
        <f>HYPERLINK("https://www.suredividend.com/sure-analysis-research-database/","Noodles &amp; Company")</f>
        <v>0</v>
      </c>
      <c r="C1966">
        <v>-0.224011713030746</v>
      </c>
      <c r="D1966">
        <v>-0.378663540445486</v>
      </c>
      <c r="E1966">
        <v>-0.5862607338017171</v>
      </c>
      <c r="F1966">
        <v>-0.415656008820286</v>
      </c>
      <c r="G1966">
        <v>-0.4580777096114511</v>
      </c>
      <c r="H1966">
        <v>0.04125736738703301</v>
      </c>
      <c r="I1966">
        <v>-0.086206896551724</v>
      </c>
    </row>
    <row r="1967" spans="1:9">
      <c r="A1967" s="1" t="s">
        <v>1979</v>
      </c>
      <c r="B1967">
        <f>HYPERLINK("https://www.suredividend.com/sure-analysis-NDSN/","Nordson Corp.")</f>
        <v>0</v>
      </c>
      <c r="C1967">
        <v>-0.036435430314995</v>
      </c>
      <c r="D1967">
        <v>-0.09727138357852801</v>
      </c>
      <c r="E1967">
        <v>-0.118738442521834</v>
      </c>
      <c r="F1967">
        <v>-0.156894431592783</v>
      </c>
      <c r="G1967">
        <v>0.050138052515705</v>
      </c>
      <c r="H1967">
        <v>0.4928195338710281</v>
      </c>
      <c r="I1967">
        <v>0.890931121112403</v>
      </c>
    </row>
    <row r="1968" spans="1:9">
      <c r="A1968" s="1" t="s">
        <v>1980</v>
      </c>
      <c r="B1968">
        <f>HYPERLINK("https://www.suredividend.com/sure-analysis-research-database/","Noble Corp")</f>
        <v>0</v>
      </c>
      <c r="C1968">
        <v>0.143386065297879</v>
      </c>
      <c r="D1968">
        <v>0.300535987748851</v>
      </c>
      <c r="E1968">
        <v>0.274671669793621</v>
      </c>
      <c r="F1968">
        <v>0.369205965336557</v>
      </c>
      <c r="G1968">
        <v>0.372525252525252</v>
      </c>
      <c r="H1968">
        <v>0.372525252525252</v>
      </c>
      <c r="I1968">
        <v>0.372525252525252</v>
      </c>
    </row>
    <row r="1969" spans="1:9">
      <c r="A1969" s="1" t="s">
        <v>1981</v>
      </c>
      <c r="B1969">
        <f>HYPERLINK("https://www.suredividend.com/sure-analysis-NEE/","NextEra Energy Inc")</f>
        <v>0</v>
      </c>
      <c r="C1969">
        <v>0.003635922918434</v>
      </c>
      <c r="D1969">
        <v>0.0008254604389320001</v>
      </c>
      <c r="E1969">
        <v>0.024090425663476</v>
      </c>
      <c r="F1969">
        <v>-0.108091049891325</v>
      </c>
      <c r="G1969">
        <v>0.038054909983428</v>
      </c>
      <c r="H1969">
        <v>0.44441421076133</v>
      </c>
      <c r="I1969">
        <v>1.829427964219576</v>
      </c>
    </row>
    <row r="1970" spans="1:9">
      <c r="A1970" s="1" t="s">
        <v>1982</v>
      </c>
      <c r="B1970">
        <f>HYPERLINK("https://www.suredividend.com/sure-analysis-NEM/","Newmont Corp")</f>
        <v>0</v>
      </c>
      <c r="C1970">
        <v>0.167470045448285</v>
      </c>
      <c r="D1970">
        <v>0.394559949462213</v>
      </c>
      <c r="E1970">
        <v>0.5117658073778161</v>
      </c>
      <c r="F1970">
        <v>0.376572129164264</v>
      </c>
      <c r="G1970">
        <v>0.340612313643501</v>
      </c>
      <c r="H1970">
        <v>0.500263700945429</v>
      </c>
      <c r="I1970">
        <v>1.766852603165381</v>
      </c>
    </row>
    <row r="1971" spans="1:9">
      <c r="A1971" s="1" t="s">
        <v>1983</v>
      </c>
      <c r="B1971">
        <f>HYPERLINK("https://www.suredividend.com/sure-analysis-research-database/","Neogenomics Inc.")</f>
        <v>0</v>
      </c>
      <c r="C1971">
        <v>-0.220392653578214</v>
      </c>
      <c r="D1971">
        <v>-0.506415396952686</v>
      </c>
      <c r="E1971">
        <v>-0.716228676809589</v>
      </c>
      <c r="F1971">
        <v>-0.6392145369284871</v>
      </c>
      <c r="G1971">
        <v>-0.750506688285366</v>
      </c>
      <c r="H1971">
        <v>-0.563165365507452</v>
      </c>
      <c r="I1971">
        <v>0.5904392764857881</v>
      </c>
    </row>
    <row r="1972" spans="1:9">
      <c r="A1972" s="1" t="s">
        <v>1984</v>
      </c>
      <c r="B1972">
        <f>HYPERLINK("https://www.suredividend.com/sure-analysis-research-database/","Neogen Corp.")</f>
        <v>0</v>
      </c>
      <c r="C1972">
        <v>-0.134216589861751</v>
      </c>
      <c r="D1972">
        <v>-0.227646454265159</v>
      </c>
      <c r="E1972">
        <v>-0.267543859649122</v>
      </c>
      <c r="F1972">
        <v>-0.338031270645232</v>
      </c>
      <c r="G1972">
        <v>-0.365822784810126</v>
      </c>
      <c r="H1972">
        <v>-0.07748964247353</v>
      </c>
      <c r="I1972">
        <v>0.343613811599061</v>
      </c>
    </row>
    <row r="1973" spans="1:9">
      <c r="A1973" s="1" t="s">
        <v>1985</v>
      </c>
      <c r="B1973">
        <f>HYPERLINK("https://www.suredividend.com/sure-analysis-research-database/","Neonode Inc.")</f>
        <v>0</v>
      </c>
      <c r="C1973">
        <v>0.211401425178147</v>
      </c>
      <c r="D1973">
        <v>-0.261939218523878</v>
      </c>
      <c r="E1973">
        <v>-0.41108545034642</v>
      </c>
      <c r="F1973">
        <v>-0.423728813559322</v>
      </c>
      <c r="G1973">
        <v>-0.420454545454545</v>
      </c>
      <c r="H1973">
        <v>1.090163934426229</v>
      </c>
      <c r="I1973">
        <v>-0.650684931506849</v>
      </c>
    </row>
    <row r="1974" spans="1:9">
      <c r="A1974" s="1" t="s">
        <v>1986</v>
      </c>
      <c r="B1974">
        <f>HYPERLINK("https://www.suredividend.com/sure-analysis-research-database/","Neos Therapeutics Inc")</f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 t="s">
        <v>1987</v>
      </c>
      <c r="B1975">
        <f>HYPERLINK("https://www.suredividend.com/sure-analysis-research-database/","Minerva Neurosciences Inc")</f>
        <v>0</v>
      </c>
      <c r="C1975">
        <v>0.153242522949363</v>
      </c>
      <c r="D1975">
        <v>-0.06707390106599501</v>
      </c>
      <c r="E1975">
        <v>-0.423037037037037</v>
      </c>
      <c r="F1975">
        <v>-0.027590511860174</v>
      </c>
      <c r="G1975">
        <v>-0.6933464566929131</v>
      </c>
      <c r="H1975">
        <v>-0.8797993827160491</v>
      </c>
      <c r="I1975">
        <v>-0.8925655172413791</v>
      </c>
    </row>
    <row r="1976" spans="1:9">
      <c r="A1976" s="1" t="s">
        <v>1988</v>
      </c>
      <c r="B1976">
        <f>HYPERLINK("https://www.suredividend.com/sure-analysis-research-database/","Net Element Inc.")</f>
        <v>0</v>
      </c>
      <c r="C1976">
        <v>0.7022106631989591</v>
      </c>
      <c r="D1976">
        <v>0.169794459338695</v>
      </c>
      <c r="E1976">
        <v>0.288385826771653</v>
      </c>
      <c r="F1976">
        <v>-0.06164874551971301</v>
      </c>
      <c r="G1976">
        <v>1.121555915721231</v>
      </c>
      <c r="H1976">
        <v>1.968253968253968</v>
      </c>
      <c r="I1976">
        <v>0.20091743119266</v>
      </c>
    </row>
    <row r="1977" spans="1:9">
      <c r="A1977" s="1" t="s">
        <v>1989</v>
      </c>
      <c r="B1977">
        <f>HYPERLINK("https://www.suredividend.com/sure-analysis-research-database/","NewMarket Corp.")</f>
        <v>0</v>
      </c>
      <c r="C1977">
        <v>0.017241908268139</v>
      </c>
      <c r="D1977">
        <v>-0.047571446503917</v>
      </c>
      <c r="E1977">
        <v>-0.101055298234807</v>
      </c>
      <c r="F1977">
        <v>-0.026117452167936</v>
      </c>
      <c r="G1977">
        <v>-0.123119965450551</v>
      </c>
      <c r="H1977">
        <v>-0.118880802964612</v>
      </c>
      <c r="I1977">
        <v>-0.179603635506186</v>
      </c>
    </row>
    <row r="1978" spans="1:9">
      <c r="A1978" s="1" t="s">
        <v>1990</v>
      </c>
      <c r="B1978">
        <f>HYPERLINK("https://www.suredividend.com/sure-analysis-research-database/","New Relic Inc")</f>
        <v>0</v>
      </c>
      <c r="C1978">
        <v>0.161790851786002</v>
      </c>
      <c r="D1978">
        <v>-0.316014844419069</v>
      </c>
      <c r="E1978">
        <v>-0.04274870155813</v>
      </c>
      <c r="F1978">
        <v>-0.346307748272099</v>
      </c>
      <c r="G1978">
        <v>0.09640024405125001</v>
      </c>
      <c r="H1978">
        <v>0.482061855670103</v>
      </c>
      <c r="I1978">
        <v>0.8748043818466351</v>
      </c>
    </row>
    <row r="1979" spans="1:9">
      <c r="A1979" s="1" t="s">
        <v>1991</v>
      </c>
      <c r="B1979">
        <f>HYPERLINK("https://www.suredividend.com/sure-analysis-research-database/","Northfield Bancorp Inc")</f>
        <v>0</v>
      </c>
      <c r="C1979">
        <v>-0.123704663212435</v>
      </c>
      <c r="D1979">
        <v>-0.208512729314863</v>
      </c>
      <c r="E1979">
        <v>-0.217828650711064</v>
      </c>
      <c r="F1979">
        <v>-0.155615190189409</v>
      </c>
      <c r="G1979">
        <v>-0.139356775736603</v>
      </c>
      <c r="H1979">
        <v>0.454260133065339</v>
      </c>
      <c r="I1979">
        <v>-0.09874503743571901</v>
      </c>
    </row>
    <row r="1980" spans="1:9">
      <c r="A1980" s="1" t="s">
        <v>1992</v>
      </c>
      <c r="B1980">
        <f>HYPERLINK("https://www.suredividend.com/sure-analysis-NFG/","National Fuel Gas Co.")</f>
        <v>0</v>
      </c>
      <c r="C1980">
        <v>0.071485279622755</v>
      </c>
      <c r="D1980">
        <v>0.125588128845457</v>
      </c>
      <c r="E1980">
        <v>0.2548110152514</v>
      </c>
      <c r="F1980">
        <v>0.126116197937001</v>
      </c>
      <c r="G1980">
        <v>0.452238351436402</v>
      </c>
      <c r="H1980">
        <v>0.9191607528540571</v>
      </c>
      <c r="I1980">
        <v>0.594040121764787</v>
      </c>
    </row>
    <row r="1981" spans="1:9">
      <c r="A1981" s="1" t="s">
        <v>1993</v>
      </c>
      <c r="B1981">
        <f>HYPERLINK("https://www.suredividend.com/sure-analysis-research-database/","NetFlix Inc")</f>
        <v>0</v>
      </c>
      <c r="C1981">
        <v>-0.045870276620143</v>
      </c>
      <c r="D1981">
        <v>-0.351081435827198</v>
      </c>
      <c r="E1981">
        <v>-0.457050088335004</v>
      </c>
      <c r="F1981">
        <v>-0.433752738861961</v>
      </c>
      <c r="G1981">
        <v>-0.3758370842024371</v>
      </c>
      <c r="H1981">
        <v>-0.223239292301386</v>
      </c>
      <c r="I1981">
        <v>1.386859781696054</v>
      </c>
    </row>
    <row r="1982" spans="1:9">
      <c r="A1982" s="1" t="s">
        <v>1994</v>
      </c>
      <c r="B1982">
        <f>HYPERLINK("https://www.suredividend.com/sure-analysis-research-database/","National General Holdings Corp")</f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1995</v>
      </c>
      <c r="B1983">
        <f>HYPERLINK("https://www.suredividend.com/sure-analysis-research-database/","Natural Gas Services Group, Inc.")</f>
        <v>0</v>
      </c>
      <c r="C1983">
        <v>0.154305200341005</v>
      </c>
      <c r="D1983">
        <v>0.188762071992976</v>
      </c>
      <c r="E1983">
        <v>0.07888446215139401</v>
      </c>
      <c r="F1983">
        <v>0.293218720152817</v>
      </c>
      <c r="G1983">
        <v>0.4846491228070171</v>
      </c>
      <c r="H1983">
        <v>2.163551401869158</v>
      </c>
      <c r="I1983">
        <v>-0.516428571428571</v>
      </c>
    </row>
    <row r="1984" spans="1:9">
      <c r="A1984" s="1" t="s">
        <v>1996</v>
      </c>
      <c r="B1984">
        <f>HYPERLINK("https://www.suredividend.com/sure-analysis-research-database/","Natural Grocers by Vitamin Cottage Inc")</f>
        <v>0</v>
      </c>
      <c r="C1984">
        <v>0.14800655379574</v>
      </c>
      <c r="D1984">
        <v>0.5378199828805951</v>
      </c>
      <c r="E1984">
        <v>0.8181503650140121</v>
      </c>
      <c r="F1984">
        <v>0.483865957912422</v>
      </c>
      <c r="G1984">
        <v>0.296210649646964</v>
      </c>
      <c r="H1984">
        <v>1.306367197357882</v>
      </c>
      <c r="I1984">
        <v>1.083209450754197</v>
      </c>
    </row>
    <row r="1985" spans="1:9">
      <c r="A1985" s="1" t="s">
        <v>1997</v>
      </c>
      <c r="B1985">
        <f>HYPERLINK("https://www.suredividend.com/sure-analysis-research-database/","Ingevity Corp")</f>
        <v>0</v>
      </c>
      <c r="C1985">
        <v>-0.036470406428681</v>
      </c>
      <c r="D1985">
        <v>-0.157090712450993</v>
      </c>
      <c r="E1985">
        <v>-0.200128287363694</v>
      </c>
      <c r="F1985">
        <v>-0.130404463040446</v>
      </c>
      <c r="G1985">
        <v>-0.158910022932685</v>
      </c>
      <c r="H1985">
        <v>0.6446847797414931</v>
      </c>
      <c r="I1985">
        <v>0.048780487804878</v>
      </c>
    </row>
    <row r="1986" spans="1:9">
      <c r="A1986" s="1" t="s">
        <v>1998</v>
      </c>
      <c r="B1986">
        <f>HYPERLINK("https://www.suredividend.com/sure-analysis-research-database/","National Healthcare Corp.")</f>
        <v>0</v>
      </c>
      <c r="C1986">
        <v>0.034636389767174</v>
      </c>
      <c r="D1986">
        <v>0.05848967829206601</v>
      </c>
      <c r="E1986">
        <v>0.013161672399331</v>
      </c>
      <c r="F1986">
        <v>0.06768268808656501</v>
      </c>
      <c r="G1986">
        <v>0.015134657986059</v>
      </c>
      <c r="H1986">
        <v>0.062746163248675</v>
      </c>
      <c r="I1986">
        <v>0.184279792064223</v>
      </c>
    </row>
    <row r="1987" spans="1:9">
      <c r="A1987" s="1" t="s">
        <v>1999</v>
      </c>
      <c r="B1987">
        <f>HYPERLINK("https://www.suredividend.com/sure-analysis-NHI/","National Health Investors, Inc.")</f>
        <v>0</v>
      </c>
      <c r="C1987">
        <v>-0.007903353681299</v>
      </c>
      <c r="D1987">
        <v>-0.065049503291843</v>
      </c>
      <c r="E1987">
        <v>0.018512435305024</v>
      </c>
      <c r="F1987">
        <v>-0.014291971627998</v>
      </c>
      <c r="G1987">
        <v>-0.196758826153912</v>
      </c>
      <c r="H1987">
        <v>0.204925925446153</v>
      </c>
      <c r="I1987">
        <v>0.008558561814646001</v>
      </c>
    </row>
    <row r="1988" spans="1:9">
      <c r="A1988" s="1" t="s">
        <v>2000</v>
      </c>
      <c r="B1988">
        <f>HYPERLINK("https://www.suredividend.com/sure-analysis-research-database/","Natural Health Trends Corp.")</f>
        <v>0</v>
      </c>
      <c r="C1988">
        <v>0.04093567251461901</v>
      </c>
      <c r="D1988">
        <v>-0.002577608427658</v>
      </c>
      <c r="E1988">
        <v>0.037825231397128</v>
      </c>
      <c r="F1988">
        <v>0.08152446341500401</v>
      </c>
      <c r="G1988">
        <v>0.148035279511117</v>
      </c>
      <c r="H1988">
        <v>1.542766329773936</v>
      </c>
      <c r="I1988">
        <v>-0.6284332093037811</v>
      </c>
    </row>
    <row r="1989" spans="1:9">
      <c r="A1989" s="1" t="s">
        <v>2001</v>
      </c>
      <c r="B1989">
        <f>HYPERLINK("https://www.suredividend.com/sure-analysis-research-database/","Nisource Inc. (Holding Co.)")</f>
        <v>0</v>
      </c>
      <c r="C1989">
        <v>0.055167829843801</v>
      </c>
      <c r="D1989">
        <v>0.129764581969312</v>
      </c>
      <c r="E1989">
        <v>0.297920873838003</v>
      </c>
      <c r="F1989">
        <v>0.159228738649598</v>
      </c>
      <c r="G1989">
        <v>0.282418945063999</v>
      </c>
      <c r="H1989">
        <v>0.312439028423088</v>
      </c>
      <c r="I1989">
        <v>0.562676877796207</v>
      </c>
    </row>
    <row r="1990" spans="1:9">
      <c r="A1990" s="1" t="s">
        <v>2002</v>
      </c>
      <c r="B1990">
        <f>HYPERLINK("https://www.suredividend.com/sure-analysis-research-database/","Nicholas Financial, Inc.")</f>
        <v>0</v>
      </c>
      <c r="C1990">
        <v>-0.05335786568537201</v>
      </c>
      <c r="D1990">
        <v>-0.121953716977268</v>
      </c>
      <c r="E1990">
        <v>-0.146058091286307</v>
      </c>
      <c r="F1990">
        <v>-0.127226463104325</v>
      </c>
      <c r="G1990">
        <v>-0.026490066225165</v>
      </c>
      <c r="H1990">
        <v>0.8709090909090901</v>
      </c>
      <c r="I1990">
        <v>0.023880597014925</v>
      </c>
    </row>
    <row r="1991" spans="1:9">
      <c r="A1991" s="1" t="s">
        <v>2003</v>
      </c>
      <c r="B1991">
        <f>HYPERLINK("https://www.suredividend.com/sure-analysis-research-database/","Nine Energy Service Inc")</f>
        <v>0</v>
      </c>
      <c r="C1991">
        <v>0.330677290836653</v>
      </c>
      <c r="D1991">
        <v>1.783333333333333</v>
      </c>
      <c r="E1991">
        <v>0.5321100917431191</v>
      </c>
      <c r="F1991">
        <v>2.34</v>
      </c>
      <c r="G1991">
        <v>0.59047619047619</v>
      </c>
      <c r="H1991">
        <v>3.109251968503937</v>
      </c>
      <c r="I1991">
        <v>-0.8720306513409961</v>
      </c>
    </row>
    <row r="1992" spans="1:9">
      <c r="A1992" s="1" t="s">
        <v>2004</v>
      </c>
      <c r="B1992">
        <f>HYPERLINK("https://www.suredividend.com/sure-analysis-NJR/","New Jersey Resources Corporation")</f>
        <v>0</v>
      </c>
      <c r="C1992">
        <v>0.050952490245581</v>
      </c>
      <c r="D1992">
        <v>0.17761729880978</v>
      </c>
      <c r="E1992">
        <v>0.235970826877709</v>
      </c>
      <c r="F1992">
        <v>0.124561313027867</v>
      </c>
      <c r="G1992">
        <v>0.126495146156533</v>
      </c>
      <c r="H1992">
        <v>0.5435646601562101</v>
      </c>
      <c r="I1992">
        <v>0.3468003564800241</v>
      </c>
    </row>
    <row r="1993" spans="1:9">
      <c r="A1993" s="1" t="s">
        <v>2005</v>
      </c>
      <c r="B1993">
        <f>HYPERLINK("https://www.suredividend.com/sure-analysis-NKE/","Nike, Inc.")</f>
        <v>0</v>
      </c>
      <c r="C1993">
        <v>0.066059589424075</v>
      </c>
      <c r="D1993">
        <v>-0.09728319171876</v>
      </c>
      <c r="E1993">
        <v>-0.151920918818001</v>
      </c>
      <c r="F1993">
        <v>-0.197429078973796</v>
      </c>
      <c r="G1993">
        <v>0.00139186416006</v>
      </c>
      <c r="H1993">
        <v>0.572170717054035</v>
      </c>
      <c r="I1993">
        <v>1.531655174376144</v>
      </c>
    </row>
    <row r="1994" spans="1:9">
      <c r="A1994" s="1" t="s">
        <v>2006</v>
      </c>
      <c r="B1994">
        <f>HYPERLINK("https://www.suredividend.com/sure-analysis-research-database/","National Bankshares Inc.")</f>
        <v>0</v>
      </c>
      <c r="C1994">
        <v>-0.033416183374758</v>
      </c>
      <c r="D1994">
        <v>-0.034482758620689</v>
      </c>
      <c r="E1994">
        <v>-0.01028455732856</v>
      </c>
      <c r="F1994">
        <v>-0.0234375</v>
      </c>
      <c r="G1994">
        <v>0.024152440701573</v>
      </c>
      <c r="H1994">
        <v>0.393295462235721</v>
      </c>
      <c r="I1994">
        <v>0.07474712735446301</v>
      </c>
    </row>
    <row r="1995" spans="1:9">
      <c r="A1995" s="1" t="s">
        <v>2007</v>
      </c>
      <c r="B1995">
        <f>HYPERLINK("https://www.suredividend.com/sure-analysis-research-database/","Nektar Therapeutics")</f>
        <v>0</v>
      </c>
      <c r="C1995">
        <v>0.330453563714902</v>
      </c>
      <c r="D1995">
        <v>-0.49090909090909</v>
      </c>
      <c r="E1995">
        <v>-0.6441363373772381</v>
      </c>
      <c r="F1995">
        <v>-0.544041450777202</v>
      </c>
      <c r="G1995">
        <v>-0.6757894736842101</v>
      </c>
      <c r="H1995">
        <v>-0.6646706586826341</v>
      </c>
      <c r="I1995">
        <v>-0.6711158569140411</v>
      </c>
    </row>
    <row r="1996" spans="1:9">
      <c r="A1996" s="1" t="s">
        <v>2008</v>
      </c>
      <c r="B1996">
        <f>HYPERLINK("https://www.suredividend.com/sure-analysis-research-database/","NL Industries, Inc.")</f>
        <v>0</v>
      </c>
      <c r="C1996">
        <v>0.06334841628959201</v>
      </c>
      <c r="D1996">
        <v>-0.007615320730282001</v>
      </c>
      <c r="E1996">
        <v>0.199265131153676</v>
      </c>
      <c r="F1996">
        <v>-0.037122019175612</v>
      </c>
      <c r="G1996">
        <v>-0.117426139208813</v>
      </c>
      <c r="H1996">
        <v>1.847794474066892</v>
      </c>
      <c r="I1996">
        <v>0.107202311775606</v>
      </c>
    </row>
    <row r="1997" spans="1:9">
      <c r="A1997" s="1" t="s">
        <v>2009</v>
      </c>
      <c r="B1997">
        <f>HYPERLINK("https://www.suredividend.com/sure-analysis-research-database/","Nautilus Inc")</f>
        <v>0</v>
      </c>
      <c r="C1997">
        <v>-0.08584686774941901</v>
      </c>
      <c r="D1997">
        <v>-0.31239092495637</v>
      </c>
      <c r="E1997">
        <v>-0.5786096256684491</v>
      </c>
      <c r="F1997">
        <v>-0.3572593800978791</v>
      </c>
      <c r="G1997">
        <v>-0.7629362214199761</v>
      </c>
      <c r="H1997">
        <v>-0.231968810916179</v>
      </c>
      <c r="I1997">
        <v>-0.768235294117647</v>
      </c>
    </row>
    <row r="1998" spans="1:9">
      <c r="A1998" s="1" t="s">
        <v>2010</v>
      </c>
      <c r="B1998">
        <f>HYPERLINK("https://www.suredividend.com/sure-analysis-NLSN/","Nielsen Holdings plc")</f>
        <v>0</v>
      </c>
      <c r="C1998">
        <v>0.170940170940171</v>
      </c>
      <c r="D1998">
        <v>0.340548156990909</v>
      </c>
      <c r="E1998">
        <v>0.394558169362473</v>
      </c>
      <c r="F1998">
        <v>0.340548156990909</v>
      </c>
      <c r="G1998">
        <v>0.07837503837283401</v>
      </c>
      <c r="H1998">
        <v>1.22940042147059</v>
      </c>
      <c r="I1998">
        <v>-0.221785462725227</v>
      </c>
    </row>
    <row r="1999" spans="1:9">
      <c r="A1999" s="1" t="s">
        <v>2011</v>
      </c>
      <c r="B1999">
        <f>HYPERLINK("https://www.suredividend.com/sure-analysis-research-database/","Neoleukin Therapeutics Inc")</f>
        <v>0</v>
      </c>
      <c r="C1999">
        <v>-0.306532663316582</v>
      </c>
      <c r="D1999">
        <v>-0.639686684073107</v>
      </c>
      <c r="E1999">
        <v>-0.8088642659279771</v>
      </c>
      <c r="F1999">
        <v>-0.7136929460580911</v>
      </c>
      <c r="G1999">
        <v>-0.884615384615384</v>
      </c>
      <c r="H1999">
        <v>-0.891252955082742</v>
      </c>
      <c r="I1999">
        <v>-0.903157894736842</v>
      </c>
    </row>
    <row r="2000" spans="1:9">
      <c r="A2000" s="1" t="s">
        <v>2012</v>
      </c>
      <c r="B2000">
        <f>HYPERLINK("https://www.suredividend.com/sure-analysis-NLY/","Annaly Capital Management Inc")</f>
        <v>0</v>
      </c>
      <c r="C2000">
        <v>-0.014613414066138</v>
      </c>
      <c r="D2000">
        <v>-0.1213383690898</v>
      </c>
      <c r="E2000">
        <v>-0.164486350397393</v>
      </c>
      <c r="F2000">
        <v>-0.107860578506951</v>
      </c>
      <c r="G2000">
        <v>-0.149817907823684</v>
      </c>
      <c r="H2000">
        <v>0.505079922634001</v>
      </c>
      <c r="I2000">
        <v>0.025089714277061</v>
      </c>
    </row>
    <row r="2001" spans="1:9">
      <c r="A2001" s="1" t="s">
        <v>2013</v>
      </c>
      <c r="B2001">
        <f>HYPERLINK("https://www.suredividend.com/sure-analysis-research-database/","NMI Holdings Inc")</f>
        <v>0</v>
      </c>
      <c r="C2001">
        <v>-0.094392523364486</v>
      </c>
      <c r="D2001">
        <v>-0.241784037558685</v>
      </c>
      <c r="E2001">
        <v>-0.213793103448275</v>
      </c>
      <c r="F2001">
        <v>-0.113043478260869</v>
      </c>
      <c r="G2001">
        <v>-0.162127107652399</v>
      </c>
      <c r="H2001">
        <v>0.7779816513761461</v>
      </c>
      <c r="I2001">
        <v>0.588524590163934</v>
      </c>
    </row>
    <row r="2002" spans="1:9">
      <c r="A2002" s="1" t="s">
        <v>2014</v>
      </c>
      <c r="B2002">
        <f>HYPERLINK("https://www.suredividend.com/sure-analysis-research-database/","Newmark Group Inc")</f>
        <v>0</v>
      </c>
      <c r="C2002">
        <v>-0.1714463840399</v>
      </c>
      <c r="D2002">
        <v>-0.191158122805202</v>
      </c>
      <c r="E2002">
        <v>-0.09855524655768801</v>
      </c>
      <c r="F2002">
        <v>-0.288909339953771</v>
      </c>
      <c r="G2002">
        <v>0.256001209692662</v>
      </c>
      <c r="H2002">
        <v>2.791509756932557</v>
      </c>
      <c r="I2002">
        <v>0.03601496725912001</v>
      </c>
    </row>
    <row r="2003" spans="1:9">
      <c r="A2003" s="1" t="s">
        <v>2015</v>
      </c>
      <c r="B2003">
        <f>HYPERLINK("https://www.suredividend.com/sure-analysis-research-database/","NN Inc")</f>
        <v>0</v>
      </c>
      <c r="C2003">
        <v>-0.190163934426229</v>
      </c>
      <c r="D2003">
        <v>-0.416075650118203</v>
      </c>
      <c r="E2003">
        <v>-0.5156862745098031</v>
      </c>
      <c r="F2003">
        <v>-0.397560975609756</v>
      </c>
      <c r="G2003">
        <v>-0.688131313131313</v>
      </c>
      <c r="H2003">
        <v>0.08810572687224601</v>
      </c>
      <c r="I2003">
        <v>-0.896093188004021</v>
      </c>
    </row>
    <row r="2004" spans="1:9">
      <c r="A2004" s="1" t="s">
        <v>2016</v>
      </c>
      <c r="B2004">
        <f>HYPERLINK("https://www.suredividend.com/sure-analysis-research-database/","Nelnet Inc")</f>
        <v>0</v>
      </c>
      <c r="C2004">
        <v>-0.003862359550561</v>
      </c>
      <c r="D2004">
        <v>-0.074971741587687</v>
      </c>
      <c r="E2004">
        <v>0.028933697790168</v>
      </c>
      <c r="F2004">
        <v>-0.126109817942112</v>
      </c>
      <c r="G2004">
        <v>0.145355597183644</v>
      </c>
      <c r="H2004">
        <v>1.066263173611262</v>
      </c>
      <c r="I2004">
        <v>1.09969285423528</v>
      </c>
    </row>
    <row r="2005" spans="1:9">
      <c r="A2005" s="1" t="s">
        <v>2017</v>
      </c>
      <c r="B2005">
        <f>HYPERLINK("https://www.suredividend.com/sure-analysis-NNN/","National Retail Properties Inc")</f>
        <v>0</v>
      </c>
      <c r="C2005">
        <v>0.09082375029335801</v>
      </c>
      <c r="D2005">
        <v>0.004723149919479</v>
      </c>
      <c r="E2005">
        <v>0.035537563857778</v>
      </c>
      <c r="F2005">
        <v>-0.020985207356091</v>
      </c>
      <c r="G2005">
        <v>0.063932062169524</v>
      </c>
      <c r="H2005">
        <v>0.737914427905341</v>
      </c>
      <c r="I2005">
        <v>0.3109908303976121</v>
      </c>
    </row>
    <row r="2006" spans="1:9">
      <c r="A2006" s="1" t="s">
        <v>2018</v>
      </c>
      <c r="B2006">
        <f>HYPERLINK("https://www.suredividend.com/sure-analysis-research-database/","NanoViricides Inc")</f>
        <v>0</v>
      </c>
      <c r="C2006">
        <v>0.027282608695652</v>
      </c>
      <c r="D2006">
        <v>-0.350446735395189</v>
      </c>
      <c r="E2006">
        <v>-0.612663934426229</v>
      </c>
      <c r="F2006">
        <v>-0.491881720430107</v>
      </c>
      <c r="G2006">
        <v>-0.5400973236009731</v>
      </c>
      <c r="H2006">
        <v>-0.6706968641114981</v>
      </c>
      <c r="I2006">
        <v>-0.91709649122807</v>
      </c>
    </row>
    <row r="2007" spans="1:9">
      <c r="A2007" s="1" t="s">
        <v>2019</v>
      </c>
      <c r="B2007">
        <f>HYPERLINK("https://www.suredividend.com/sure-analysis-NOC/","Northrop Grumman Corp.")</f>
        <v>0</v>
      </c>
      <c r="C2007">
        <v>0.100770445067502</v>
      </c>
      <c r="D2007">
        <v>0.162627498330216</v>
      </c>
      <c r="E2007">
        <v>0.186417651009864</v>
      </c>
      <c r="F2007">
        <v>0.211827561503102</v>
      </c>
      <c r="G2007">
        <v>0.365596325984679</v>
      </c>
      <c r="H2007">
        <v>0.384525614761081</v>
      </c>
      <c r="I2007">
        <v>1.081516869776437</v>
      </c>
    </row>
    <row r="2008" spans="1:9">
      <c r="A2008" s="1" t="s">
        <v>2020</v>
      </c>
      <c r="B2008">
        <f>HYPERLINK("https://www.suredividend.com/sure-analysis-research-database/","NI Holdings Inc")</f>
        <v>0</v>
      </c>
      <c r="C2008">
        <v>-0.08151549942594701</v>
      </c>
      <c r="D2008">
        <v>-0.127114020731041</v>
      </c>
      <c r="E2008">
        <v>-0.196383726770467</v>
      </c>
      <c r="F2008">
        <v>-0.153886832363828</v>
      </c>
      <c r="G2008">
        <v>-0.167100468505986</v>
      </c>
      <c r="H2008">
        <v>0.324503311258278</v>
      </c>
      <c r="I2008">
        <v>0.016518424396442</v>
      </c>
    </row>
    <row r="2009" spans="1:9">
      <c r="A2009" s="1" t="s">
        <v>2021</v>
      </c>
      <c r="B2009">
        <f>HYPERLINK("https://www.suredividend.com/sure-analysis-research-database/","Northern Oil and Gas Inc.")</f>
        <v>0</v>
      </c>
      <c r="C2009">
        <v>0.172795372190897</v>
      </c>
      <c r="D2009">
        <v>0.216557315567466</v>
      </c>
      <c r="E2009">
        <v>0.156298562937567</v>
      </c>
      <c r="F2009">
        <v>0.409860723145742</v>
      </c>
      <c r="G2009">
        <v>1.287656796012647</v>
      </c>
      <c r="H2009">
        <v>3.492336419512954</v>
      </c>
      <c r="I2009">
        <v>0.271139798960016</v>
      </c>
    </row>
    <row r="2010" spans="1:9">
      <c r="A2010" s="1" t="s">
        <v>2022</v>
      </c>
      <c r="B2010">
        <f>HYPERLINK("https://www.suredividend.com/sure-analysis-research-database/","NOV Inc")</f>
        <v>0</v>
      </c>
      <c r="C2010">
        <v>0.09653333333333301</v>
      </c>
      <c r="D2010">
        <v>0.247504687244021</v>
      </c>
      <c r="E2010">
        <v>0.380718295860531</v>
      </c>
      <c r="F2010">
        <v>0.5209350495635441</v>
      </c>
      <c r="G2010">
        <v>0.5632127976643041</v>
      </c>
      <c r="H2010">
        <v>0.9075541370544241</v>
      </c>
      <c r="I2010">
        <v>-0.4392564147320641</v>
      </c>
    </row>
    <row r="2011" spans="1:9">
      <c r="A2011" s="1" t="s">
        <v>2023</v>
      </c>
      <c r="B2011">
        <f>HYPERLINK("https://www.suredividend.com/sure-analysis-research-database/","Novanta Inc")</f>
        <v>0</v>
      </c>
      <c r="C2011">
        <v>-0.062057901261576</v>
      </c>
      <c r="D2011">
        <v>-0.171743190160345</v>
      </c>
      <c r="E2011">
        <v>-0.20364064144635</v>
      </c>
      <c r="F2011">
        <v>-0.270572222537288</v>
      </c>
      <c r="G2011">
        <v>-0.05196432520085401</v>
      </c>
      <c r="H2011">
        <v>0.614814814814814</v>
      </c>
      <c r="I2011">
        <v>3.871969696969697</v>
      </c>
    </row>
    <row r="2012" spans="1:9">
      <c r="A2012" s="1" t="s">
        <v>2024</v>
      </c>
      <c r="B2012">
        <f>HYPERLINK("https://www.suredividend.com/sure-analysis-research-database/","ServiceNow Inc")</f>
        <v>0</v>
      </c>
      <c r="C2012">
        <v>-0.07320058458165801</v>
      </c>
      <c r="D2012">
        <v>-0.04461225565892001</v>
      </c>
      <c r="E2012">
        <v>-0.235004071292861</v>
      </c>
      <c r="F2012">
        <v>-0.21842214724777</v>
      </c>
      <c r="G2012">
        <v>-0.08902695229031601</v>
      </c>
      <c r="H2012">
        <v>0.7377885866958961</v>
      </c>
      <c r="I2012">
        <v>4.993974480151229</v>
      </c>
    </row>
    <row r="2013" spans="1:9">
      <c r="A2013" s="1" t="s">
        <v>2025</v>
      </c>
      <c r="B2013">
        <f>HYPERLINK("https://www.suredividend.com/sure-analysis-research-database/","Neenah Inc")</f>
        <v>0</v>
      </c>
      <c r="C2013">
        <v>0.060785368477676</v>
      </c>
      <c r="D2013">
        <v>-0.197662969623487</v>
      </c>
      <c r="E2013">
        <v>-0.196652992386128</v>
      </c>
      <c r="F2013">
        <v>-0.139238627757808</v>
      </c>
      <c r="G2013">
        <v>-0.253413494210358</v>
      </c>
      <c r="H2013">
        <v>0.009408175591977</v>
      </c>
      <c r="I2013">
        <v>-0.3844828501065911</v>
      </c>
    </row>
    <row r="2014" spans="1:9">
      <c r="A2014" s="1" t="s">
        <v>2026</v>
      </c>
      <c r="B2014">
        <f>HYPERLINK("https://www.suredividend.com/sure-analysis-research-database/","National Presto Industries, Inc.")</f>
        <v>0</v>
      </c>
      <c r="C2014">
        <v>-0.001803194229778</v>
      </c>
      <c r="D2014">
        <v>-0.104061779275503</v>
      </c>
      <c r="E2014">
        <v>-0.05494719898544</v>
      </c>
      <c r="F2014">
        <v>-0.043771808171987</v>
      </c>
      <c r="G2014">
        <v>-0.267195609603425</v>
      </c>
      <c r="H2014">
        <v>-0.071690637011874</v>
      </c>
      <c r="I2014">
        <v>-0.104562801343502</v>
      </c>
    </row>
    <row r="2015" spans="1:9">
      <c r="A2015" s="1" t="s">
        <v>2027</v>
      </c>
      <c r="B2015">
        <f>HYPERLINK("https://www.suredividend.com/sure-analysis-research-database/","EnPro Industries Inc")</f>
        <v>0</v>
      </c>
      <c r="C2015">
        <v>-0.08055581635527101</v>
      </c>
      <c r="D2015">
        <v>-0.157334792702465</v>
      </c>
      <c r="E2015">
        <v>0.126363672960025</v>
      </c>
      <c r="F2015">
        <v>-0.108031722119046</v>
      </c>
      <c r="G2015">
        <v>0.13860309805148</v>
      </c>
      <c r="H2015">
        <v>1.642735513259554</v>
      </c>
      <c r="I2015">
        <v>0.618420878670492</v>
      </c>
    </row>
    <row r="2016" spans="1:9">
      <c r="A2016" s="1" t="s">
        <v>2028</v>
      </c>
      <c r="B2016">
        <f>HYPERLINK("https://www.suredividend.com/sure-analysis-research-database/","NeoPhotonics Corporation")</f>
        <v>0</v>
      </c>
      <c r="C2016">
        <v>-0.00065703022339</v>
      </c>
      <c r="D2016">
        <v>0.0066181336863</v>
      </c>
      <c r="E2016">
        <v>0.6622950819672131</v>
      </c>
      <c r="F2016">
        <v>-0.010409889394925</v>
      </c>
      <c r="G2016">
        <v>0.347209920283436</v>
      </c>
      <c r="H2016">
        <v>0.6843853820598</v>
      </c>
      <c r="I2016">
        <v>0.8777777777777781</v>
      </c>
    </row>
    <row r="2017" spans="1:9">
      <c r="A2017" s="1" t="s">
        <v>2029</v>
      </c>
      <c r="B2017">
        <f>HYPERLINK("https://www.suredividend.com/sure-analysis-research-database/","Newpark Resources, Inc.")</f>
        <v>0</v>
      </c>
      <c r="C2017">
        <v>-0.009876543209876</v>
      </c>
      <c r="D2017">
        <v>0.101648351648351</v>
      </c>
      <c r="E2017">
        <v>0.129577464788732</v>
      </c>
      <c r="F2017">
        <v>0.363945578231292</v>
      </c>
      <c r="G2017">
        <v>0.261006289308176</v>
      </c>
      <c r="H2017">
        <v>2.548672566371681</v>
      </c>
      <c r="I2017">
        <v>-0.4955974842767291</v>
      </c>
    </row>
    <row r="2018" spans="1:9">
      <c r="A2018" s="1" t="s">
        <v>2030</v>
      </c>
      <c r="B2018">
        <f>HYPERLINK("https://www.suredividend.com/sure-analysis-research-database/","National Research Corp")</f>
        <v>0</v>
      </c>
      <c r="C2018">
        <v>0.023140782281312</v>
      </c>
      <c r="D2018">
        <v>0.026087963938155</v>
      </c>
      <c r="E2018">
        <v>-0.08306961094575301</v>
      </c>
      <c r="F2018">
        <v>-0.05571453840990701</v>
      </c>
      <c r="G2018">
        <v>-0.164325692106448</v>
      </c>
      <c r="H2018">
        <v>-0.195527820039346</v>
      </c>
      <c r="I2018">
        <v>0.9155807448989121</v>
      </c>
    </row>
    <row r="2019" spans="1:9">
      <c r="A2019" s="1" t="s">
        <v>2031</v>
      </c>
      <c r="B2019">
        <f>HYPERLINK("https://www.suredividend.com/sure-analysis-research-database/","NRG Energy Inc.")</f>
        <v>0</v>
      </c>
      <c r="C2019">
        <v>-0.000255102040816</v>
      </c>
      <c r="D2019">
        <v>-0.033092942984804</v>
      </c>
      <c r="E2019">
        <v>-0.033143037593688</v>
      </c>
      <c r="F2019">
        <v>-0.082246540568262</v>
      </c>
      <c r="G2019">
        <v>0.047807731692774</v>
      </c>
      <c r="H2019">
        <v>0.413852070450888</v>
      </c>
      <c r="I2019">
        <v>1.326976059281778</v>
      </c>
    </row>
    <row r="2020" spans="1:9">
      <c r="A2020" s="1" t="s">
        <v>2032</v>
      </c>
      <c r="B2020">
        <f>HYPERLINK("https://www.suredividend.com/sure-analysis-research-database/","Northrim Bancorp, Inc.")</f>
        <v>0</v>
      </c>
      <c r="C2020">
        <v>-0.06595602931379001</v>
      </c>
      <c r="D2020">
        <v>-0.07223180528779301</v>
      </c>
      <c r="E2020">
        <v>-0.027613375749056</v>
      </c>
      <c r="F2020">
        <v>-0.023132664437012</v>
      </c>
      <c r="G2020">
        <v>0.018461121227383</v>
      </c>
      <c r="H2020">
        <v>1.198790299393059</v>
      </c>
      <c r="I2020">
        <v>0.6660196943650031</v>
      </c>
    </row>
    <row r="2021" spans="1:9">
      <c r="A2021" s="1" t="s">
        <v>2033</v>
      </c>
      <c r="B2021">
        <f>HYPERLINK("https://www.suredividend.com/sure-analysis-NRZ/","New Residential Investment Corp")</f>
        <v>0</v>
      </c>
      <c r="C2021">
        <v>0.03396768123532901</v>
      </c>
      <c r="D2021">
        <v>-0.020796590241034</v>
      </c>
      <c r="E2021">
        <v>-0.013976376131938</v>
      </c>
      <c r="F2021">
        <v>0.018526480733033</v>
      </c>
      <c r="G2021">
        <v>0.109746195007183</v>
      </c>
      <c r="H2021">
        <v>1.674695772174131</v>
      </c>
      <c r="I2021">
        <v>0.010551063164181</v>
      </c>
    </row>
    <row r="2022" spans="1:9">
      <c r="A2022" s="1" t="s">
        <v>2034</v>
      </c>
      <c r="B2022">
        <f>HYPERLINK("https://www.suredividend.com/sure-analysis-NSA/","National Storage Affiliates Trust")</f>
        <v>0</v>
      </c>
      <c r="C2022">
        <v>0.04052050732992901</v>
      </c>
      <c r="D2022">
        <v>-0.0006122574898700001</v>
      </c>
      <c r="E2022">
        <v>0.09461288271163101</v>
      </c>
      <c r="F2022">
        <v>-0.079464495191852</v>
      </c>
      <c r="G2022">
        <v>0.524983463453024</v>
      </c>
      <c r="H2022">
        <v>1.590835079833156</v>
      </c>
      <c r="I2022">
        <v>2.027877370247522</v>
      </c>
    </row>
    <row r="2023" spans="1:9">
      <c r="A2023" s="1" t="s">
        <v>2035</v>
      </c>
      <c r="B2023">
        <f>HYPERLINK("https://www.suredividend.com/sure-analysis-NSC/","Norfolk Southern Corp.")</f>
        <v>0</v>
      </c>
      <c r="C2023">
        <v>-0.037538416508122</v>
      </c>
      <c r="D2023">
        <v>-0.083426450599765</v>
      </c>
      <c r="E2023">
        <v>-0.037539120782144</v>
      </c>
      <c r="F2023">
        <v>-0.112458876237846</v>
      </c>
      <c r="G2023">
        <v>-0.013150614014191</v>
      </c>
      <c r="H2023">
        <v>0.7772619113571531</v>
      </c>
      <c r="I2023">
        <v>1.588375825164098</v>
      </c>
    </row>
    <row r="2024" spans="1:9">
      <c r="A2024" s="1" t="s">
        <v>2036</v>
      </c>
      <c r="B2024">
        <f>HYPERLINK("https://www.suredividend.com/sure-analysis-research-database/","National Security Group, Inc.")</f>
        <v>0</v>
      </c>
      <c r="C2024">
        <v>0.005618714883032</v>
      </c>
      <c r="D2024">
        <v>0.772866004826074</v>
      </c>
      <c r="E2024">
        <v>0.597529736491987</v>
      </c>
      <c r="F2024">
        <v>0.755553615851263</v>
      </c>
      <c r="G2024">
        <v>0.428254405041942</v>
      </c>
      <c r="H2024">
        <v>0.064322379213631</v>
      </c>
      <c r="I2024">
        <v>0.006839500147052001</v>
      </c>
    </row>
    <row r="2025" spans="1:9">
      <c r="A2025" s="1" t="s">
        <v>2037</v>
      </c>
      <c r="B2025">
        <f>HYPERLINK("https://www.suredividend.com/sure-analysis-research-database/","Insight Enterprises Inc.")</f>
        <v>0</v>
      </c>
      <c r="C2025">
        <v>-0.058366850622018</v>
      </c>
      <c r="D2025">
        <v>-0.020433978787583</v>
      </c>
      <c r="E2025">
        <v>0.067890102895937</v>
      </c>
      <c r="F2025">
        <v>-0.05562851782363901</v>
      </c>
      <c r="G2025">
        <v>-0.019766309639727</v>
      </c>
      <c r="H2025">
        <v>1.185153028000868</v>
      </c>
      <c r="I2025">
        <v>1.479556650246305</v>
      </c>
    </row>
    <row r="2026" spans="1:9">
      <c r="A2026" s="1" t="s">
        <v>2038</v>
      </c>
      <c r="B2026">
        <f>HYPERLINK("https://www.suredividend.com/sure-analysis-NSP/","Insperity Inc")</f>
        <v>0</v>
      </c>
      <c r="C2026">
        <v>0.033473662593695</v>
      </c>
      <c r="D2026">
        <v>-0.05270231605577801</v>
      </c>
      <c r="E2026">
        <v>-0.12714008946272</v>
      </c>
      <c r="F2026">
        <v>-0.143333534768402</v>
      </c>
      <c r="G2026">
        <v>0.188523573860275</v>
      </c>
      <c r="H2026">
        <v>1.688172043010753</v>
      </c>
      <c r="I2026">
        <v>1.621011843379894</v>
      </c>
    </row>
    <row r="2027" spans="1:9">
      <c r="A2027" s="1" t="s">
        <v>2039</v>
      </c>
      <c r="B2027">
        <f>HYPERLINK("https://www.suredividend.com/sure-analysis-research-database/","NAPCO Security Technologies Inc")</f>
        <v>0</v>
      </c>
      <c r="C2027">
        <v>-0.066569484936831</v>
      </c>
      <c r="D2027">
        <v>-0.125227686703096</v>
      </c>
      <c r="E2027">
        <v>-0.138565022421524</v>
      </c>
      <c r="F2027">
        <v>-0.231292517006802</v>
      </c>
      <c r="G2027">
        <v>0.156880457693465</v>
      </c>
      <c r="H2027">
        <v>1.374536464771322</v>
      </c>
      <c r="I2027">
        <v>2.766666666666667</v>
      </c>
    </row>
    <row r="2028" spans="1:9">
      <c r="A2028" s="1" t="s">
        <v>2040</v>
      </c>
      <c r="B2028">
        <f>HYPERLINK("https://www.suredividend.com/sure-analysis-research-database/","Nanostring Technologies Inc")</f>
        <v>0</v>
      </c>
      <c r="C2028">
        <v>-0.297649301143583</v>
      </c>
      <c r="D2028">
        <v>-0.383779264214046</v>
      </c>
      <c r="E2028">
        <v>-0.495435874030123</v>
      </c>
      <c r="F2028">
        <v>-0.476438550793274</v>
      </c>
      <c r="G2028">
        <v>-0.6971440312307371</v>
      </c>
      <c r="H2028">
        <v>-0.189516129032258</v>
      </c>
      <c r="I2028">
        <v>0.146784232365145</v>
      </c>
    </row>
    <row r="2029" spans="1:9">
      <c r="A2029" s="1" t="s">
        <v>2041</v>
      </c>
      <c r="B2029">
        <f>HYPERLINK("https://www.suredividend.com/sure-analysis-NTAP/","Netapp Inc")</f>
        <v>0</v>
      </c>
      <c r="C2029">
        <v>-0.104690709179825</v>
      </c>
      <c r="D2029">
        <v>-0.20368981661662</v>
      </c>
      <c r="E2029">
        <v>-0.190974056520374</v>
      </c>
      <c r="F2029">
        <v>-0.169603301349312</v>
      </c>
      <c r="G2029">
        <v>-0.011527811417835</v>
      </c>
      <c r="H2029">
        <v>0.931860343129102</v>
      </c>
      <c r="I2029">
        <v>1.151585618858719</v>
      </c>
    </row>
    <row r="2030" spans="1:9">
      <c r="A2030" s="1" t="s">
        <v>2042</v>
      </c>
      <c r="B2030">
        <f>HYPERLINK("https://www.suredividend.com/sure-analysis-research-database/","Netscout Systems Inc")</f>
        <v>0</v>
      </c>
      <c r="C2030">
        <v>0.043314500941619</v>
      </c>
      <c r="D2030">
        <v>0.05123339658444</v>
      </c>
      <c r="E2030">
        <v>0.189266547406082</v>
      </c>
      <c r="F2030">
        <v>0.004836759371221</v>
      </c>
      <c r="G2030">
        <v>0.15136820228611</v>
      </c>
      <c r="H2030">
        <v>0.323775388291517</v>
      </c>
      <c r="I2030">
        <v>-0.08049792531120301</v>
      </c>
    </row>
    <row r="2031" spans="1:9">
      <c r="A2031" s="1" t="s">
        <v>2043</v>
      </c>
      <c r="B2031">
        <f>HYPERLINK("https://www.suredividend.com/sure-analysis-research-database/","Netgear Inc")</f>
        <v>0</v>
      </c>
      <c r="C2031">
        <v>-0.073921971252566</v>
      </c>
      <c r="D2031">
        <v>-0.24074074074074</v>
      </c>
      <c r="E2031">
        <v>-0.314589665653495</v>
      </c>
      <c r="F2031">
        <v>-0.228004108182129</v>
      </c>
      <c r="G2031">
        <v>-0.425770308123249</v>
      </c>
      <c r="H2031">
        <v>-0.10975128306356</v>
      </c>
      <c r="I2031">
        <v>-0.269015326366017</v>
      </c>
    </row>
    <row r="2032" spans="1:9">
      <c r="A2032" s="1" t="s">
        <v>2044</v>
      </c>
      <c r="B2032">
        <f>HYPERLINK("https://www.suredividend.com/sure-analysis-research-database/","Northern Technologies International Corp.")</f>
        <v>0</v>
      </c>
      <c r="C2032">
        <v>-0.087761674718196</v>
      </c>
      <c r="D2032">
        <v>-0.146888741642069</v>
      </c>
      <c r="E2032">
        <v>-0.29770405633244</v>
      </c>
      <c r="F2032">
        <v>-0.255618992556189</v>
      </c>
      <c r="G2032">
        <v>-0.215297882066128</v>
      </c>
      <c r="H2032">
        <v>0.569186875891583</v>
      </c>
      <c r="I2032">
        <v>0.34824775391206</v>
      </c>
    </row>
    <row r="2033" spans="1:9">
      <c r="A2033" s="1" t="s">
        <v>2045</v>
      </c>
      <c r="B2033">
        <f>HYPERLINK("https://www.suredividend.com/sure-analysis-research-database/","Network-1 Technologies Inc")</f>
        <v>0</v>
      </c>
      <c r="C2033">
        <v>0.016260162601626</v>
      </c>
      <c r="D2033">
        <v>-0.048887198021685</v>
      </c>
      <c r="E2033">
        <v>-0.124036440084092</v>
      </c>
      <c r="F2033">
        <v>-0.096102393520861</v>
      </c>
      <c r="G2033">
        <v>-0.219335498376217</v>
      </c>
      <c r="H2033">
        <v>0.176858259191263</v>
      </c>
      <c r="I2033">
        <v>-0.363900055976795</v>
      </c>
    </row>
    <row r="2034" spans="1:9">
      <c r="A2034" s="1" t="s">
        <v>2046</v>
      </c>
      <c r="B2034">
        <f>HYPERLINK("https://www.suredividend.com/sure-analysis-research-database/","Intellia Therapeutics Inc")</f>
        <v>0</v>
      </c>
      <c r="C2034">
        <v>-0.09086771844660201</v>
      </c>
      <c r="D2034">
        <v>-0.344095436138776</v>
      </c>
      <c r="E2034">
        <v>-0.540731090505019</v>
      </c>
      <c r="F2034">
        <v>-0.493149526387009</v>
      </c>
      <c r="G2034">
        <v>-0.149325762952448</v>
      </c>
      <c r="H2034">
        <v>3.485778443113773</v>
      </c>
      <c r="I2034">
        <v>3.305316091954023</v>
      </c>
    </row>
    <row r="2035" spans="1:9">
      <c r="A2035" s="1" t="s">
        <v>2047</v>
      </c>
      <c r="B2035">
        <f>HYPERLINK("https://www.suredividend.com/sure-analysis-research-database/","Nutanix Inc")</f>
        <v>0</v>
      </c>
      <c r="C2035">
        <v>0.091023489932885</v>
      </c>
      <c r="D2035">
        <v>-0.104338842975206</v>
      </c>
      <c r="E2035">
        <v>-0.257917261055634</v>
      </c>
      <c r="F2035">
        <v>-0.183615819209039</v>
      </c>
      <c r="G2035">
        <v>-0.04864667154352501</v>
      </c>
      <c r="H2035">
        <v>0.494827586206896</v>
      </c>
      <c r="I2035">
        <v>0.5113306217315511</v>
      </c>
    </row>
    <row r="2036" spans="1:9">
      <c r="A2036" s="1" t="s">
        <v>2048</v>
      </c>
      <c r="B2036">
        <f>HYPERLINK("https://www.suredividend.com/sure-analysis-research-database/","Natera Inc")</f>
        <v>0</v>
      </c>
      <c r="C2036">
        <v>0.128498001142204</v>
      </c>
      <c r="D2036">
        <v>-0.413388748701202</v>
      </c>
      <c r="E2036">
        <v>-0.6432246998284731</v>
      </c>
      <c r="F2036">
        <v>-0.5768283542135131</v>
      </c>
      <c r="G2036">
        <v>-0.630481533426835</v>
      </c>
      <c r="H2036">
        <v>0.177592371871275</v>
      </c>
      <c r="I2036">
        <v>4.269333333333334</v>
      </c>
    </row>
    <row r="2037" spans="1:9">
      <c r="A2037" s="1" t="s">
        <v>2049</v>
      </c>
      <c r="B2037">
        <f>HYPERLINK("https://www.suredividend.com/sure-analysis-research-database/","Northern Trust Corp.")</f>
        <v>0</v>
      </c>
      <c r="C2037">
        <v>-0.044134126368416</v>
      </c>
      <c r="D2037">
        <v>-0.164696860814949</v>
      </c>
      <c r="E2037">
        <v>-0.07104896323401201</v>
      </c>
      <c r="F2037">
        <v>-0.06685740732949</v>
      </c>
      <c r="G2037">
        <v>0.062889633543182</v>
      </c>
      <c r="H2037">
        <v>0.503715556519852</v>
      </c>
      <c r="I2037">
        <v>0.478158866420506</v>
      </c>
    </row>
    <row r="2038" spans="1:9">
      <c r="A2038" s="1" t="s">
        <v>2050</v>
      </c>
      <c r="B2038">
        <f>HYPERLINK("https://www.suredividend.com/sure-analysis-research-database/","Natus Medical Inc")</f>
        <v>0</v>
      </c>
      <c r="C2038">
        <v>0.009689922480620001</v>
      </c>
      <c r="D2038">
        <v>0.08813700918964</v>
      </c>
      <c r="E2038">
        <v>0.05808285946385001</v>
      </c>
      <c r="F2038">
        <v>0.09776654024441601</v>
      </c>
      <c r="G2038">
        <v>-0.07689581856839101</v>
      </c>
      <c r="H2038">
        <v>0.07867494824016501</v>
      </c>
      <c r="I2038">
        <v>-0.327741935483871</v>
      </c>
    </row>
    <row r="2039" spans="1:9">
      <c r="A2039" s="1" t="s">
        <v>2051</v>
      </c>
      <c r="B2039">
        <f>HYPERLINK("https://www.suredividend.com/sure-analysis-research-database/","Netsol Technologies, Inc.")</f>
        <v>0</v>
      </c>
      <c r="C2039">
        <v>0.064690026954177</v>
      </c>
      <c r="D2039">
        <v>-0.052757793764987</v>
      </c>
      <c r="E2039">
        <v>-0.137554585152838</v>
      </c>
      <c r="F2039">
        <v>-0.002525252525252</v>
      </c>
      <c r="G2039">
        <v>-0.122222222222222</v>
      </c>
      <c r="H2039">
        <v>0.8372093023255811</v>
      </c>
      <c r="I2039">
        <v>-0.225490196078431</v>
      </c>
    </row>
    <row r="2040" spans="1:9">
      <c r="A2040" s="1" t="s">
        <v>2052</v>
      </c>
      <c r="B2040">
        <f>HYPERLINK("https://www.suredividend.com/sure-analysis-research-database/","Nuance Communications Inc")</f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2053</v>
      </c>
      <c r="B2041">
        <f>HYPERLINK("https://www.suredividend.com/sure-analysis-NUE/","Nucor Corp.")</f>
        <v>0</v>
      </c>
      <c r="C2041">
        <v>0.227674510307728</v>
      </c>
      <c r="D2041">
        <v>0.4967614832895431</v>
      </c>
      <c r="E2041">
        <v>0.636825200692274</v>
      </c>
      <c r="F2041">
        <v>0.45309692821005</v>
      </c>
      <c r="G2041">
        <v>1.112823658717378</v>
      </c>
      <c r="H2041">
        <v>3.882370660886104</v>
      </c>
      <c r="I2041">
        <v>2.319498742036074</v>
      </c>
    </row>
    <row r="2042" spans="1:9">
      <c r="A2042" s="1" t="s">
        <v>2054</v>
      </c>
      <c r="B2042">
        <f>HYPERLINK("https://www.suredividend.com/sure-analysis-research-database/","Neurometrix Inc.")</f>
        <v>0</v>
      </c>
      <c r="C2042">
        <v>0.030848329048843</v>
      </c>
      <c r="D2042">
        <v>-0.184959349593495</v>
      </c>
      <c r="E2042">
        <v>-0.5544444444444441</v>
      </c>
      <c r="F2042">
        <v>-0.201195219123505</v>
      </c>
      <c r="G2042">
        <v>0.268987341772151</v>
      </c>
      <c r="H2042">
        <v>0.09863013698630101</v>
      </c>
      <c r="I2042">
        <v>-0.9163188647746241</v>
      </c>
    </row>
    <row r="2043" spans="1:9">
      <c r="A2043" s="1" t="s">
        <v>2055</v>
      </c>
      <c r="B2043">
        <f>HYPERLINK("https://www.suredividend.com/sure-analysis-research-database/","Nu Skin Enterprises, Inc.")</f>
        <v>0</v>
      </c>
      <c r="C2043">
        <v>0.113355048859935</v>
      </c>
      <c r="D2043">
        <v>-0.047431483624999</v>
      </c>
      <c r="E2043">
        <v>0.269788591468368</v>
      </c>
      <c r="F2043">
        <v>0.018450096541202</v>
      </c>
      <c r="G2043">
        <v>-0.003012159479162</v>
      </c>
      <c r="H2043">
        <v>1.331768815150357</v>
      </c>
      <c r="I2043">
        <v>0.10026417499501</v>
      </c>
    </row>
    <row r="2044" spans="1:9">
      <c r="A2044" s="1" t="s">
        <v>2056</v>
      </c>
      <c r="B2044">
        <f>HYPERLINK("https://www.suredividend.com/sure-analysis-research-database/","Nuvasive Inc")</f>
        <v>0</v>
      </c>
      <c r="C2044">
        <v>0.161547433903576</v>
      </c>
      <c r="D2044">
        <v>0.06582233321441301</v>
      </c>
      <c r="E2044">
        <v>0.05677396533427601</v>
      </c>
      <c r="F2044">
        <v>0.138528963414634</v>
      </c>
      <c r="G2044">
        <v>-0.134308895972181</v>
      </c>
      <c r="H2044">
        <v>0.133776091081593</v>
      </c>
      <c r="I2044">
        <v>-0.166666666666666</v>
      </c>
    </row>
    <row r="2045" spans="1:9">
      <c r="A2045" s="1" t="s">
        <v>2057</v>
      </c>
      <c r="B2045">
        <f>HYPERLINK("https://www.suredividend.com/sure-analysis-research-database/","Novavax, Inc.")</f>
        <v>0</v>
      </c>
      <c r="C2045">
        <v>-0.244418634662537</v>
      </c>
      <c r="D2045">
        <v>-0.471665764302472</v>
      </c>
      <c r="E2045">
        <v>-0.6384686631676441</v>
      </c>
      <c r="F2045">
        <v>-0.59075976794576</v>
      </c>
      <c r="G2045">
        <v>-0.74246756102925</v>
      </c>
      <c r="H2045">
        <v>2.234806629834254</v>
      </c>
      <c r="I2045">
        <v>2.245565410199557</v>
      </c>
    </row>
    <row r="2046" spans="1:9">
      <c r="A2046" s="1" t="s">
        <v>2058</v>
      </c>
      <c r="B2046">
        <f>HYPERLINK("https://www.suredividend.com/sure-analysis-NVDA/","NVIDIA Corp")</f>
        <v>0</v>
      </c>
      <c r="C2046">
        <v>-0.132184846505551</v>
      </c>
      <c r="D2046">
        <v>-0.210837270546797</v>
      </c>
      <c r="E2046">
        <v>-0.027343106572228</v>
      </c>
      <c r="F2046">
        <v>-0.277086063077624</v>
      </c>
      <c r="G2046">
        <v>0.336864261551977</v>
      </c>
      <c r="H2046">
        <v>1.891422711093036</v>
      </c>
      <c r="I2046">
        <v>8.012324219826436</v>
      </c>
    </row>
    <row r="2047" spans="1:9">
      <c r="A2047" s="1" t="s">
        <v>2059</v>
      </c>
      <c r="B2047">
        <f>HYPERLINK("https://www.suredividend.com/sure-analysis-research-database/","NVE Corp")</f>
        <v>0</v>
      </c>
      <c r="C2047">
        <v>-0.12417836205365</v>
      </c>
      <c r="D2047">
        <v>-0.257988290362878</v>
      </c>
      <c r="E2047">
        <v>-0.219446392749876</v>
      </c>
      <c r="F2047">
        <v>-0.266136439079648</v>
      </c>
      <c r="G2047">
        <v>-0.266814196142818</v>
      </c>
      <c r="H2047">
        <v>0.05731142646967301</v>
      </c>
      <c r="I2047">
        <v>-0.183357048556298</v>
      </c>
    </row>
    <row r="2048" spans="1:9">
      <c r="A2048" s="1" t="s">
        <v>2060</v>
      </c>
      <c r="B2048">
        <f>HYPERLINK("https://www.suredividend.com/sure-analysis-research-database/","NV5 Global Inc")</f>
        <v>0</v>
      </c>
      <c r="C2048">
        <v>0.00655175103346</v>
      </c>
      <c r="D2048">
        <v>0.09736394557823101</v>
      </c>
      <c r="E2048">
        <v>0.283441074092491</v>
      </c>
      <c r="F2048">
        <v>-0.065667535476397</v>
      </c>
      <c r="G2048">
        <v>0.373895454061535</v>
      </c>
      <c r="H2048">
        <v>2.298824130879346</v>
      </c>
      <c r="I2048">
        <v>2.53077975376197</v>
      </c>
    </row>
    <row r="2049" spans="1:9">
      <c r="A2049" s="1" t="s">
        <v>2061</v>
      </c>
      <c r="B2049">
        <f>HYPERLINK("https://www.suredividend.com/sure-analysis-research-database/","Nova Lifestyle Inc")</f>
        <v>0</v>
      </c>
      <c r="C2049">
        <v>-0.024559999999999</v>
      </c>
      <c r="D2049">
        <v>-0.333715846994535</v>
      </c>
      <c r="E2049">
        <v>-0.458088888888888</v>
      </c>
      <c r="F2049">
        <v>-0.347967914438502</v>
      </c>
      <c r="G2049">
        <v>-0.5706690140845071</v>
      </c>
      <c r="H2049">
        <v>0.098468468468468</v>
      </c>
      <c r="I2049">
        <v>-0.857391812865497</v>
      </c>
    </row>
    <row r="2050" spans="1:9">
      <c r="A2050" s="1" t="s">
        <v>2062</v>
      </c>
      <c r="B2050">
        <f>HYPERLINK("https://www.suredividend.com/sure-analysis-research-database/","InVivo Therapeutics Holdings Corp")</f>
        <v>0</v>
      </c>
      <c r="C2050">
        <v>-0.003972194637537001</v>
      </c>
      <c r="D2050">
        <v>-0.418325923062052</v>
      </c>
      <c r="E2050">
        <v>-0.5282959711553531</v>
      </c>
      <c r="F2050">
        <v>-0.340276255207191</v>
      </c>
      <c r="G2050">
        <v>-0.5933234220840651</v>
      </c>
      <c r="H2050">
        <v>-0.786595744680851</v>
      </c>
      <c r="I2050">
        <v>-0.9971746478873241</v>
      </c>
    </row>
    <row r="2051" spans="1:9">
      <c r="A2051" s="1" t="s">
        <v>2063</v>
      </c>
      <c r="B2051">
        <f>HYPERLINK("https://www.suredividend.com/sure-analysis-research-database/","NVR Inc.")</f>
        <v>0</v>
      </c>
      <c r="C2051">
        <v>-0.106908535090628</v>
      </c>
      <c r="D2051">
        <v>-0.241789087093389</v>
      </c>
      <c r="E2051">
        <v>-0.127066583711363</v>
      </c>
      <c r="F2051">
        <v>-0.266281031737032</v>
      </c>
      <c r="G2051">
        <v>-0.130274732439291</v>
      </c>
      <c r="H2051">
        <v>0.576492876519057</v>
      </c>
      <c r="I2051">
        <v>1.046761401189689</v>
      </c>
    </row>
    <row r="2052" spans="1:9">
      <c r="A2052" s="1" t="s">
        <v>2064</v>
      </c>
      <c r="B2052">
        <f>HYPERLINK("https://www.suredividend.com/sure-analysis-research-database/","Nevro Corp")</f>
        <v>0</v>
      </c>
      <c r="C2052">
        <v>0.119908814589665</v>
      </c>
      <c r="D2052">
        <v>-0.199543775798392</v>
      </c>
      <c r="E2052">
        <v>-0.36838947458644</v>
      </c>
      <c r="F2052">
        <v>-0.09103244110028301</v>
      </c>
      <c r="G2052">
        <v>-0.505004366225565</v>
      </c>
      <c r="H2052">
        <v>-0.308269970900215</v>
      </c>
      <c r="I2052">
        <v>-0.157828571428571</v>
      </c>
    </row>
    <row r="2053" spans="1:9">
      <c r="A2053" s="1" t="s">
        <v>2065</v>
      </c>
      <c r="B2053">
        <f>HYPERLINK("https://www.suredividend.com/sure-analysis-research-database/","nVent Electric plc")</f>
        <v>0</v>
      </c>
      <c r="C2053">
        <v>-0.01678520625889</v>
      </c>
      <c r="D2053">
        <v>-0.061129795545799</v>
      </c>
      <c r="E2053">
        <v>0.09041344843253001</v>
      </c>
      <c r="F2053">
        <v>-0.08608420401266101</v>
      </c>
      <c r="G2053">
        <v>0.194995954440779</v>
      </c>
      <c r="H2053">
        <v>1.188283565078641</v>
      </c>
      <c r="I2053">
        <v>0.355294117647059</v>
      </c>
    </row>
    <row r="2054" spans="1:9">
      <c r="A2054" s="1" t="s">
        <v>2066</v>
      </c>
      <c r="B2054">
        <f>HYPERLINK("https://www.suredividend.com/sure-analysis-research-database/","Invitae Corp")</f>
        <v>0</v>
      </c>
      <c r="C2054">
        <v>-0.142480211081794</v>
      </c>
      <c r="D2054">
        <v>-0.446337308347529</v>
      </c>
      <c r="E2054">
        <v>-0.7636363636363631</v>
      </c>
      <c r="F2054">
        <v>-0.5743287491814011</v>
      </c>
      <c r="G2054">
        <v>-0.8273113708820401</v>
      </c>
      <c r="H2054">
        <v>-0.532037437005039</v>
      </c>
      <c r="I2054">
        <v>-0.379770992366412</v>
      </c>
    </row>
    <row r="2055" spans="1:9">
      <c r="A2055" s="1" t="s">
        <v>2067</v>
      </c>
      <c r="B2055">
        <f>HYPERLINK("https://www.suredividend.com/sure-analysis-NWBI/","Northwest Bancshares Inc")</f>
        <v>0</v>
      </c>
      <c r="C2055">
        <v>-0.083916083916083</v>
      </c>
      <c r="D2055">
        <v>-0.114679426096006</v>
      </c>
      <c r="E2055">
        <v>-0.031136750240366</v>
      </c>
      <c r="F2055">
        <v>-0.061537359409699</v>
      </c>
      <c r="G2055">
        <v>-0.027446787975975</v>
      </c>
      <c r="H2055">
        <v>0.534550821746107</v>
      </c>
      <c r="I2055">
        <v>0.03644160324066</v>
      </c>
    </row>
    <row r="2056" spans="1:9">
      <c r="A2056" s="1" t="s">
        <v>2068</v>
      </c>
      <c r="B2056">
        <f>HYPERLINK("https://www.suredividend.com/sure-analysis-research-database/","Northwestern Corp.")</f>
        <v>0</v>
      </c>
      <c r="C2056">
        <v>0.015097540288379</v>
      </c>
      <c r="D2056">
        <v>0.04263222820821901</v>
      </c>
      <c r="E2056">
        <v>0.069818913840603</v>
      </c>
      <c r="F2056">
        <v>0.05795410346168801</v>
      </c>
      <c r="G2056">
        <v>-0.103191433559883</v>
      </c>
      <c r="H2056">
        <v>0.06890355217514001</v>
      </c>
      <c r="I2056">
        <v>0.210515136496505</v>
      </c>
    </row>
    <row r="2057" spans="1:9">
      <c r="A2057" s="1" t="s">
        <v>2069</v>
      </c>
      <c r="B2057">
        <f>HYPERLINK("https://www.suredividend.com/sure-analysis-research-database/","Norwood Financial Corp.")</f>
        <v>0</v>
      </c>
      <c r="C2057">
        <v>0.03957432901370801</v>
      </c>
      <c r="D2057">
        <v>0.04146739850199301</v>
      </c>
      <c r="E2057">
        <v>0.126586812049822</v>
      </c>
      <c r="F2057">
        <v>0.11098029981948</v>
      </c>
      <c r="G2057">
        <v>0.131372713576072</v>
      </c>
      <c r="H2057">
        <v>0.398867465831266</v>
      </c>
      <c r="I2057">
        <v>0.8814131532776861</v>
      </c>
    </row>
    <row r="2058" spans="1:9">
      <c r="A2058" s="1" t="s">
        <v>2070</v>
      </c>
      <c r="B2058">
        <f>HYPERLINK("https://www.suredividend.com/sure-analysis-research-database/","New Home Company Inc (The)")</f>
        <v>0</v>
      </c>
      <c r="C2058">
        <v>0.005592841163311</v>
      </c>
      <c r="D2058">
        <v>0.426984126984127</v>
      </c>
      <c r="E2058">
        <v>0.6648148148148141</v>
      </c>
      <c r="F2058">
        <v>0.91684434968017</v>
      </c>
      <c r="G2058">
        <v>1.293367346938775</v>
      </c>
      <c r="H2058">
        <v>1.353403141361256</v>
      </c>
      <c r="I2058">
        <v>-0.192998204667863</v>
      </c>
    </row>
    <row r="2059" spans="1:9">
      <c r="A2059" s="1" t="s">
        <v>2071</v>
      </c>
      <c r="B2059">
        <f>HYPERLINK("https://www.suredividend.com/sure-analysis-NWL/","Newell Brands Inc")</f>
        <v>0</v>
      </c>
      <c r="C2059">
        <v>-0.002670226969292</v>
      </c>
      <c r="D2059">
        <v>-0.051239823372268</v>
      </c>
      <c r="E2059">
        <v>0.012044275243527</v>
      </c>
      <c r="F2059">
        <v>0.036080186411214</v>
      </c>
      <c r="G2059">
        <v>-0.130822635069619</v>
      </c>
      <c r="H2059">
        <v>0.9195847324059481</v>
      </c>
      <c r="I2059">
        <v>-0.403965583733393</v>
      </c>
    </row>
    <row r="2060" spans="1:9">
      <c r="A2060" s="1" t="s">
        <v>2072</v>
      </c>
      <c r="B2060">
        <f>HYPERLINK("https://www.suredividend.com/sure-analysis-research-database/","National Western Life Group Inc")</f>
        <v>0</v>
      </c>
      <c r="C2060">
        <v>-0.019736842105263</v>
      </c>
      <c r="D2060">
        <v>-0.054292237442922</v>
      </c>
      <c r="E2060">
        <v>-0.019157008284431</v>
      </c>
      <c r="F2060">
        <v>-0.034182055586644</v>
      </c>
      <c r="G2060">
        <v>-0.138110051082512</v>
      </c>
      <c r="H2060">
        <v>0.154774715502004</v>
      </c>
      <c r="I2060">
        <v>-0.306743609612735</v>
      </c>
    </row>
    <row r="2061" spans="1:9">
      <c r="A2061" s="1" t="s">
        <v>2073</v>
      </c>
      <c r="B2061">
        <f>HYPERLINK("https://www.suredividend.com/sure-analysis-NWN/","Northwest Natural Holding Co")</f>
        <v>0</v>
      </c>
      <c r="C2061">
        <v>-0.062053403535163</v>
      </c>
      <c r="D2061">
        <v>0.01152054575062</v>
      </c>
      <c r="E2061">
        <v>0.074377139115469</v>
      </c>
      <c r="F2061">
        <v>0.033086522031792</v>
      </c>
      <c r="G2061">
        <v>-0.065481844530502</v>
      </c>
      <c r="H2061">
        <v>-0.134901887329122</v>
      </c>
      <c r="I2061">
        <v>-0.176013876269926</v>
      </c>
    </row>
    <row r="2062" spans="1:9">
      <c r="A2062" s="1" t="s">
        <v>2074</v>
      </c>
      <c r="B2062">
        <f>HYPERLINK("https://www.suredividend.com/sure-analysis-research-database/","Northwest Pipe Co.")</f>
        <v>0</v>
      </c>
      <c r="C2062">
        <v>-0.08053221288515401</v>
      </c>
      <c r="D2062">
        <v>-0.143230016313213</v>
      </c>
      <c r="E2062">
        <v>0.08154859967051001</v>
      </c>
      <c r="F2062">
        <v>-0.174213836477987</v>
      </c>
      <c r="G2062">
        <v>-0.212829736211031</v>
      </c>
      <c r="H2062">
        <v>0.135322092520536</v>
      </c>
      <c r="I2062">
        <v>1.012260536398467</v>
      </c>
    </row>
    <row r="2063" spans="1:9">
      <c r="A2063" s="1" t="s">
        <v>2075</v>
      </c>
      <c r="B2063">
        <f>HYPERLINK("https://www.suredividend.com/sure-analysis-research-database/","News Corp")</f>
        <v>0</v>
      </c>
      <c r="C2063">
        <v>-0.028054298642533</v>
      </c>
      <c r="D2063">
        <v>-0.05926457964718</v>
      </c>
      <c r="E2063">
        <v>-0.105287053736926</v>
      </c>
      <c r="F2063">
        <v>-0.040870182582952</v>
      </c>
      <c r="G2063">
        <v>-0.12907738155574</v>
      </c>
      <c r="H2063">
        <v>1.518850334791327</v>
      </c>
      <c r="I2063">
        <v>0.8047993547086101</v>
      </c>
    </row>
    <row r="2064" spans="1:9">
      <c r="A2064" s="1" t="s">
        <v>2076</v>
      </c>
      <c r="B2064">
        <f>HYPERLINK("https://www.suredividend.com/sure-analysis-research-database/","News Corp")</f>
        <v>0</v>
      </c>
      <c r="C2064">
        <v>-0.021266759130836</v>
      </c>
      <c r="D2064">
        <v>-0.06378801011834201</v>
      </c>
      <c r="E2064">
        <v>-0.110010594111019</v>
      </c>
      <c r="F2064">
        <v>-0.04658106763104401</v>
      </c>
      <c r="G2064">
        <v>-0.199685469206603</v>
      </c>
      <c r="H2064">
        <v>1.559762040071097</v>
      </c>
      <c r="I2064">
        <v>0.8338213128670671</v>
      </c>
    </row>
    <row r="2065" spans="1:9">
      <c r="A2065" s="1" t="s">
        <v>2077</v>
      </c>
      <c r="B2065">
        <f>HYPERLINK("https://www.suredividend.com/sure-analysis-research-database/","Quanex Building Products Corp")</f>
        <v>0</v>
      </c>
      <c r="C2065">
        <v>-0.127078891257995</v>
      </c>
      <c r="D2065">
        <v>-0.144456100608953</v>
      </c>
      <c r="E2065">
        <v>-0.024034404336777</v>
      </c>
      <c r="F2065">
        <v>-0.171040269543525</v>
      </c>
      <c r="G2065">
        <v>-0.24621820270728</v>
      </c>
      <c r="H2065">
        <v>1.088711570053977</v>
      </c>
      <c r="I2065">
        <v>0.164954614005633</v>
      </c>
    </row>
    <row r="2066" spans="1:9">
      <c r="A2066" s="1" t="s">
        <v>2078</v>
      </c>
      <c r="B2066">
        <f>HYPERLINK("https://www.suredividend.com/sure-analysis-research-database/","NextGen Healthcare Inc")</f>
        <v>0</v>
      </c>
      <c r="C2066">
        <v>0.06831983805668</v>
      </c>
      <c r="D2066">
        <v>0.108136482939632</v>
      </c>
      <c r="E2066">
        <v>0.452856159669649</v>
      </c>
      <c r="F2066">
        <v>0.186621697582911</v>
      </c>
      <c r="G2066">
        <v>0.125866666666666</v>
      </c>
      <c r="H2066">
        <v>1.09009900990099</v>
      </c>
      <c r="I2066">
        <v>0.5319303338171261</v>
      </c>
    </row>
    <row r="2067" spans="1:9">
      <c r="A2067" s="1" t="s">
        <v>2079</v>
      </c>
      <c r="B2067">
        <f>HYPERLINK("https://www.suredividend.com/sure-analysis-NXRT/","NexPoint Residential Trust Inc")</f>
        <v>0</v>
      </c>
      <c r="C2067">
        <v>0.007523148148148</v>
      </c>
      <c r="D2067">
        <v>0.06018385451427601</v>
      </c>
      <c r="E2067">
        <v>0.333472220732927</v>
      </c>
      <c r="F2067">
        <v>0.042857177085654</v>
      </c>
      <c r="G2067">
        <v>0.822891581402946</v>
      </c>
      <c r="H2067">
        <v>2.478813406919262</v>
      </c>
      <c r="I2067">
        <v>3.068137209084961</v>
      </c>
    </row>
    <row r="2068" spans="1:9">
      <c r="A2068" s="1" t="s">
        <v>2080</v>
      </c>
      <c r="B2068">
        <f>HYPERLINK("https://www.suredividend.com/sure-analysis-research-database/","Nexstar Media Group Inc")</f>
        <v>0</v>
      </c>
      <c r="C2068">
        <v>-0.09428936714255201</v>
      </c>
      <c r="D2068">
        <v>0.005120783570927</v>
      </c>
      <c r="E2068">
        <v>0.139299882062828</v>
      </c>
      <c r="F2068">
        <v>0.131743398718218</v>
      </c>
      <c r="G2068">
        <v>0.127957721156538</v>
      </c>
      <c r="H2068">
        <v>2.009352675884823</v>
      </c>
      <c r="I2068">
        <v>1.857632679404607</v>
      </c>
    </row>
    <row r="2069" spans="1:9">
      <c r="A2069" s="1" t="s">
        <v>2081</v>
      </c>
      <c r="B2069">
        <f>HYPERLINK("https://www.suredividend.com/sure-analysis-research-database/","Nxt-ID Inc")</f>
        <v>0</v>
      </c>
      <c r="C2069">
        <v>-0.185185185185185</v>
      </c>
      <c r="D2069">
        <v>-0.110294117647058</v>
      </c>
      <c r="E2069">
        <v>-0.6482558139534881</v>
      </c>
      <c r="F2069">
        <v>-0.209150326797385</v>
      </c>
      <c r="G2069">
        <v>-0.8662983425414361</v>
      </c>
      <c r="H2069">
        <v>-0.345769126791024</v>
      </c>
      <c r="I2069">
        <v>-0.8874418604651161</v>
      </c>
    </row>
    <row r="2070" spans="1:9">
      <c r="A2070" s="1" t="s">
        <v>2082</v>
      </c>
      <c r="B2070">
        <f>HYPERLINK("https://www.suredividend.com/sure-analysis-NYCB/","New York Community Bancorp Inc.")</f>
        <v>0</v>
      </c>
      <c r="C2070">
        <v>-0.113857016769638</v>
      </c>
      <c r="D2070">
        <v>-0.231434629840851</v>
      </c>
      <c r="E2070">
        <v>-0.25422469823584</v>
      </c>
      <c r="F2070">
        <v>-0.165343464489687</v>
      </c>
      <c r="G2070">
        <v>-0.153199959515536</v>
      </c>
      <c r="H2070">
        <v>0.159058899586709</v>
      </c>
      <c r="I2070">
        <v>0.010823055625472</v>
      </c>
    </row>
    <row r="2071" spans="1:9">
      <c r="A2071" s="1" t="s">
        <v>2083</v>
      </c>
      <c r="B2071">
        <f>HYPERLINK("https://www.suredividend.com/sure-analysis-NYMT/","New York Mortgage Trust Inc")</f>
        <v>0</v>
      </c>
      <c r="C2071">
        <v>-0.030605179338041</v>
      </c>
      <c r="D2071">
        <v>-0.0485769429418</v>
      </c>
      <c r="E2071">
        <v>-0.147318927083587</v>
      </c>
      <c r="F2071">
        <v>-0.033229290390299</v>
      </c>
      <c r="G2071">
        <v>-0.139033749877004</v>
      </c>
      <c r="H2071">
        <v>1.237708586407518</v>
      </c>
      <c r="I2071">
        <v>-0.022755828563451</v>
      </c>
    </row>
    <row r="2072" spans="1:9">
      <c r="A2072" s="1" t="s">
        <v>2084</v>
      </c>
      <c r="B2072">
        <f>HYPERLINK("https://www.suredividend.com/sure-analysis-research-database/","New York Times Co.")</f>
        <v>0</v>
      </c>
      <c r="C2072">
        <v>-0.026244809596479</v>
      </c>
      <c r="D2072">
        <v>0.021945047756726</v>
      </c>
      <c r="E2072">
        <v>-0.170773447372447</v>
      </c>
      <c r="F2072">
        <v>-0.08802150524231801</v>
      </c>
      <c r="G2072">
        <v>-0.099448386494597</v>
      </c>
      <c r="H2072">
        <v>0.428650462277444</v>
      </c>
      <c r="I2072">
        <v>2.18418208589313</v>
      </c>
    </row>
    <row r="2073" spans="1:9">
      <c r="A2073" s="1" t="s">
        <v>2085</v>
      </c>
      <c r="B2073">
        <f>HYPERLINK("https://www.suredividend.com/sure-analysis-O/","Realty Income Corp.")</f>
        <v>0</v>
      </c>
      <c r="C2073">
        <v>0.110764363754294</v>
      </c>
      <c r="D2073">
        <v>0.02648852145221</v>
      </c>
      <c r="E2073">
        <v>0.064481701059643</v>
      </c>
      <c r="F2073">
        <v>0.025197175024779</v>
      </c>
      <c r="G2073">
        <v>0.129364407834158</v>
      </c>
      <c r="H2073">
        <v>0.592226793091652</v>
      </c>
      <c r="I2073">
        <v>0.458858228956959</v>
      </c>
    </row>
    <row r="2074" spans="1:9">
      <c r="A2074" s="1" t="s">
        <v>2086</v>
      </c>
      <c r="B2074">
        <f>HYPERLINK("https://www.suredividend.com/sure-analysis-research-database/","Oasis Petroleum Inc.")</f>
        <v>0</v>
      </c>
      <c r="C2074">
        <v>0.062069149845296</v>
      </c>
      <c r="D2074">
        <v>0.11420283952011</v>
      </c>
      <c r="E2074">
        <v>0.4581975326525191</v>
      </c>
      <c r="F2074">
        <v>0.228373308342851</v>
      </c>
      <c r="G2074">
        <v>1.181066035746372</v>
      </c>
      <c r="H2074">
        <v>4.091100351993957</v>
      </c>
      <c r="I2074">
        <v>4.091100351993957</v>
      </c>
    </row>
    <row r="2075" spans="1:9">
      <c r="A2075" s="1" t="s">
        <v>2087</v>
      </c>
      <c r="B2075">
        <f>HYPERLINK("https://www.suredividend.com/sure-analysis-research-database/","Ocean Bio-Chem, Inc.")</f>
        <v>0</v>
      </c>
      <c r="C2075">
        <v>-0.07727797001153401</v>
      </c>
      <c r="D2075">
        <v>-0.14324880054832</v>
      </c>
      <c r="E2075">
        <v>-0.260368706199959</v>
      </c>
      <c r="F2075">
        <v>-0.07627647045239301</v>
      </c>
      <c r="G2075">
        <v>-0.356235263822836</v>
      </c>
      <c r="H2075">
        <v>0.413527457770867</v>
      </c>
      <c r="I2075">
        <v>0.812415043044857</v>
      </c>
    </row>
    <row r="2076" spans="1:9">
      <c r="A2076" s="1" t="s">
        <v>2088</v>
      </c>
      <c r="B2076">
        <f>HYPERLINK("https://www.suredividend.com/sure-analysis-research-database/","Origin Bancorp Inc")</f>
        <v>0</v>
      </c>
      <c r="C2076">
        <v>-0.08872955411158401</v>
      </c>
      <c r="D2076">
        <v>-0.08763995540271001</v>
      </c>
      <c r="E2076">
        <v>-0.05523846691708501</v>
      </c>
      <c r="F2076">
        <v>-0.04958870816975101</v>
      </c>
      <c r="G2076">
        <v>-0.029635833088773</v>
      </c>
      <c r="H2076">
        <v>1.264539658676466</v>
      </c>
      <c r="I2076">
        <v>0.129358317875351</v>
      </c>
    </row>
    <row r="2077" spans="1:9">
      <c r="A2077" s="1" t="s">
        <v>2089</v>
      </c>
      <c r="B2077">
        <f>HYPERLINK("https://www.suredividend.com/sure-analysis-research-database/","Owens Corning")</f>
        <v>0</v>
      </c>
      <c r="C2077">
        <v>-0.101968544943235</v>
      </c>
      <c r="D2077">
        <v>-0.08454719487295401</v>
      </c>
      <c r="E2077">
        <v>-0.04776735571554901</v>
      </c>
      <c r="F2077">
        <v>-0.040095122097851</v>
      </c>
      <c r="G2077">
        <v>-0.10019442563037</v>
      </c>
      <c r="H2077">
        <v>1.332079207385188</v>
      </c>
      <c r="I2077">
        <v>0.531433280876444</v>
      </c>
    </row>
    <row r="2078" spans="1:9">
      <c r="A2078" s="1" t="s">
        <v>2090</v>
      </c>
      <c r="B2078">
        <f>HYPERLINK("https://www.suredividend.com/sure-analysis-research-database/","Optical Cable Corp.")</f>
        <v>0</v>
      </c>
      <c r="C2078">
        <v>-0.032183908045976</v>
      </c>
      <c r="D2078">
        <v>-0.020930232558139</v>
      </c>
      <c r="E2078">
        <v>0.102094240837696</v>
      </c>
      <c r="F2078">
        <v>-0.216014897579143</v>
      </c>
      <c r="G2078">
        <v>0.271903323262839</v>
      </c>
      <c r="H2078">
        <v>0.7991452991452991</v>
      </c>
      <c r="I2078">
        <v>0.559259259259259</v>
      </c>
    </row>
    <row r="2079" spans="1:9">
      <c r="A2079" s="1" t="s">
        <v>2091</v>
      </c>
      <c r="B2079">
        <f>HYPERLINK("https://www.suredividend.com/sure-analysis-research-database/","OceanFirst Financial Corp.")</f>
        <v>0</v>
      </c>
      <c r="C2079">
        <v>-0.14622000905387</v>
      </c>
      <c r="D2079">
        <v>-0.209549116086471</v>
      </c>
      <c r="E2079">
        <v>-0.123504124549785</v>
      </c>
      <c r="F2079">
        <v>-0.144034565391039</v>
      </c>
      <c r="G2079">
        <v>-0.171935370565507</v>
      </c>
      <c r="H2079">
        <v>0.470679975046787</v>
      </c>
      <c r="I2079">
        <v>-0.160878985936047</v>
      </c>
    </row>
    <row r="2080" spans="1:9">
      <c r="A2080" s="1" t="s">
        <v>2092</v>
      </c>
      <c r="B2080">
        <f>HYPERLINK("https://www.suredividend.com/sure-analysis-research-database/","Ocwen Financial Corp.")</f>
        <v>0</v>
      </c>
      <c r="C2080">
        <v>-0.167000400480576</v>
      </c>
      <c r="D2080">
        <v>-0.488566510941726</v>
      </c>
      <c r="E2080">
        <v>-0.297059817505914</v>
      </c>
      <c r="F2080">
        <v>-0.47960970728046</v>
      </c>
      <c r="G2080">
        <v>-0.168997203355972</v>
      </c>
      <c r="H2080">
        <v>52.8860103626943</v>
      </c>
      <c r="I2080">
        <v>2.88785046728972</v>
      </c>
    </row>
    <row r="2081" spans="1:9">
      <c r="A2081" s="1" t="s">
        <v>2093</v>
      </c>
      <c r="B2081">
        <f>HYPERLINK("https://www.suredividend.com/sure-analysis-research-database/","Ocular Therapeutix Inc")</f>
        <v>0</v>
      </c>
      <c r="C2081">
        <v>-0.159309021113243</v>
      </c>
      <c r="D2081">
        <v>-0.293548387096774</v>
      </c>
      <c r="E2081">
        <v>-0.6085790884718491</v>
      </c>
      <c r="F2081">
        <v>-0.371592539454806</v>
      </c>
      <c r="G2081">
        <v>-0.7243549402139711</v>
      </c>
      <c r="H2081">
        <v>-0.176691729323308</v>
      </c>
      <c r="I2081">
        <v>-0.4859154929577461</v>
      </c>
    </row>
    <row r="2082" spans="1:9">
      <c r="A2082" s="1" t="s">
        <v>2094</v>
      </c>
      <c r="B2082">
        <f>HYPERLINK("https://www.suredividend.com/sure-analysis-research-database/","Oncocyte Corporation")</f>
        <v>0</v>
      </c>
      <c r="C2082">
        <v>0.05</v>
      </c>
      <c r="D2082">
        <v>-0.333333333333333</v>
      </c>
      <c r="E2082">
        <v>-0.629411764705882</v>
      </c>
      <c r="F2082">
        <v>-0.419354838709677</v>
      </c>
      <c r="G2082">
        <v>-0.7375</v>
      </c>
      <c r="H2082">
        <v>-0.4449339207048451</v>
      </c>
      <c r="I2082">
        <v>-0.788235294117647</v>
      </c>
    </row>
    <row r="2083" spans="1:9">
      <c r="A2083" s="1" t="s">
        <v>2095</v>
      </c>
      <c r="B2083">
        <f>HYPERLINK("https://www.suredividend.com/sure-analysis-research-database/","Oil-Dri Corp. Of America")</f>
        <v>0</v>
      </c>
      <c r="C2083">
        <v>-0.074238795757783</v>
      </c>
      <c r="D2083">
        <v>-0.208855208223695</v>
      </c>
      <c r="E2083">
        <v>-0.220534564654439</v>
      </c>
      <c r="F2083">
        <v>-0.166314933314437</v>
      </c>
      <c r="G2083">
        <v>-0.197356556404537</v>
      </c>
      <c r="H2083">
        <v>-0.149695668978346</v>
      </c>
      <c r="I2083">
        <v>-0.165489634924844</v>
      </c>
    </row>
    <row r="2084" spans="1:9">
      <c r="A2084" s="1" t="s">
        <v>2096</v>
      </c>
      <c r="B2084">
        <f>HYPERLINK("https://www.suredividend.com/sure-analysis-ODFL/","Old Dominion Freight Line, Inc.")</f>
        <v>0</v>
      </c>
      <c r="C2084">
        <v>-0.181354359925788</v>
      </c>
      <c r="D2084">
        <v>-0.161700726367718</v>
      </c>
      <c r="E2084">
        <v>-0.123494711834195</v>
      </c>
      <c r="F2084">
        <v>-0.26055252297524</v>
      </c>
      <c r="G2084">
        <v>0.055544569297946</v>
      </c>
      <c r="H2084">
        <v>0.9549378518057421</v>
      </c>
      <c r="I2084">
        <v>4.004054276269159</v>
      </c>
    </row>
    <row r="2085" spans="1:9">
      <c r="A2085" s="1" t="s">
        <v>2097</v>
      </c>
      <c r="B2085">
        <f>HYPERLINK("https://www.suredividend.com/sure-analysis-research-database/","ODP Corporation (The)")</f>
        <v>0</v>
      </c>
      <c r="C2085">
        <v>-0.010984277406848</v>
      </c>
      <c r="D2085">
        <v>0.07945463093559001</v>
      </c>
      <c r="E2085">
        <v>0.03470031545741301</v>
      </c>
      <c r="F2085">
        <v>0.169042769857433</v>
      </c>
      <c r="G2085">
        <v>0.076165924537145</v>
      </c>
      <c r="H2085">
        <v>1.56536312849162</v>
      </c>
      <c r="I2085">
        <v>0.105930407306076</v>
      </c>
    </row>
    <row r="2086" spans="1:9">
      <c r="A2086" s="1" t="s">
        <v>2098</v>
      </c>
      <c r="B2086">
        <f>HYPERLINK("https://www.suredividend.com/sure-analysis-research-database/","Odonate Therapeutics Inc")</f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2099</v>
      </c>
      <c r="B2087">
        <f>HYPERLINK("https://www.suredividend.com/sure-analysis-research-database/","Orion Energy Systems Inc")</f>
        <v>0</v>
      </c>
      <c r="C2087">
        <v>-0.117845117845117</v>
      </c>
      <c r="D2087">
        <v>-0.382075471698113</v>
      </c>
      <c r="E2087">
        <v>-0.371702637889688</v>
      </c>
      <c r="F2087">
        <v>-0.276243093922651</v>
      </c>
      <c r="G2087">
        <v>-0.5847860538827251</v>
      </c>
      <c r="H2087">
        <v>-0.362530413625304</v>
      </c>
      <c r="I2087">
        <v>0.431693989071038</v>
      </c>
    </row>
    <row r="2088" spans="1:9">
      <c r="A2088" s="1" t="s">
        <v>2100</v>
      </c>
      <c r="B2088">
        <f>HYPERLINK("https://www.suredividend.com/sure-analysis-OFC/","Corporate Office Properties Trust")</f>
        <v>0</v>
      </c>
      <c r="C2088">
        <v>0.03024916888845</v>
      </c>
      <c r="D2088">
        <v>0.018077470744277</v>
      </c>
      <c r="E2088">
        <v>0.009967015631722</v>
      </c>
      <c r="F2088">
        <v>0.016622517990285</v>
      </c>
      <c r="G2088">
        <v>0.05968784913836801</v>
      </c>
      <c r="H2088">
        <v>0.188803220783166</v>
      </c>
      <c r="I2088">
        <v>0.012974123671303</v>
      </c>
    </row>
    <row r="2089" spans="1:9">
      <c r="A2089" s="1" t="s">
        <v>2101</v>
      </c>
      <c r="B2089">
        <f>HYPERLINK("https://www.suredividend.com/sure-analysis-research-database/","Oconee Federal Financial Corp")</f>
        <v>0</v>
      </c>
      <c r="C2089">
        <v>0.09254498714652901</v>
      </c>
      <c r="D2089">
        <v>0.138392857142857</v>
      </c>
      <c r="E2089">
        <v>0.028225806451612</v>
      </c>
      <c r="F2089">
        <v>0.147614761476147</v>
      </c>
      <c r="G2089">
        <v>0.03625679662546</v>
      </c>
      <c r="H2089">
        <v>0.552681572409761</v>
      </c>
      <c r="I2089">
        <v>0.049698057441124</v>
      </c>
    </row>
    <row r="2090" spans="1:9">
      <c r="A2090" s="1" t="s">
        <v>2102</v>
      </c>
      <c r="B2090">
        <f>HYPERLINK("https://www.suredividend.com/sure-analysis-research-database/","OFG Bancorp")</f>
        <v>0</v>
      </c>
      <c r="C2090">
        <v>-0.07091521515932001</v>
      </c>
      <c r="D2090">
        <v>-0.15092693494171</v>
      </c>
      <c r="E2090">
        <v>0.019029255108975</v>
      </c>
      <c r="F2090">
        <v>-0.023694063045362</v>
      </c>
      <c r="G2090">
        <v>0.110035078657972</v>
      </c>
      <c r="H2090">
        <v>1.520277533470145</v>
      </c>
      <c r="I2090">
        <v>1.659859735973597</v>
      </c>
    </row>
    <row r="2091" spans="1:9">
      <c r="A2091" s="1" t="s">
        <v>2103</v>
      </c>
      <c r="B2091">
        <f>HYPERLINK("https://www.suredividend.com/sure-analysis-research-database/","Orthofix Medical Inc")</f>
        <v>0</v>
      </c>
      <c r="C2091">
        <v>0.015047021943573</v>
      </c>
      <c r="D2091">
        <v>-0.015805471124619</v>
      </c>
      <c r="E2091">
        <v>-0.106512141280353</v>
      </c>
      <c r="F2091">
        <v>0.041492441299453</v>
      </c>
      <c r="G2091">
        <v>-0.26692325107539</v>
      </c>
      <c r="H2091">
        <v>0.07005948446794401</v>
      </c>
      <c r="I2091">
        <v>-0.123443421765024</v>
      </c>
    </row>
    <row r="2092" spans="1:9">
      <c r="A2092" s="1" t="s">
        <v>2104</v>
      </c>
      <c r="B2092">
        <f>HYPERLINK("https://www.suredividend.com/sure-analysis-research-database/","Omega Flex Inc")</f>
        <v>0</v>
      </c>
      <c r="C2092">
        <v>-0.002250007754533</v>
      </c>
      <c r="D2092">
        <v>-0.081008261036142</v>
      </c>
      <c r="E2092">
        <v>-0.11353970063151</v>
      </c>
      <c r="F2092">
        <v>-0.009559390119121</v>
      </c>
      <c r="G2092">
        <v>-0.123422404890108</v>
      </c>
      <c r="H2092">
        <v>0.604831508682336</v>
      </c>
      <c r="I2092">
        <v>1.908054929668883</v>
      </c>
    </row>
    <row r="2093" spans="1:9">
      <c r="A2093" s="1" t="s">
        <v>2105</v>
      </c>
      <c r="B2093">
        <f>HYPERLINK("https://www.suredividend.com/sure-analysis-OGE/","Oge Energy Corp.")</f>
        <v>0</v>
      </c>
      <c r="C2093">
        <v>0.084651259737891</v>
      </c>
      <c r="D2093">
        <v>0.106345207343389</v>
      </c>
      <c r="E2093">
        <v>0.25934373761605</v>
      </c>
      <c r="F2093">
        <v>0.10742236338776</v>
      </c>
      <c r="G2093">
        <v>0.300986286985762</v>
      </c>
      <c r="H2093">
        <v>0.4896586273527511</v>
      </c>
      <c r="I2093">
        <v>0.486950340930603</v>
      </c>
    </row>
    <row r="2094" spans="1:9">
      <c r="A2094" s="1" t="s">
        <v>2106</v>
      </c>
      <c r="B2094">
        <f>HYPERLINK("https://www.suredividend.com/sure-analysis-research-database/","Oragenics Inc")</f>
        <v>0</v>
      </c>
      <c r="C2094">
        <v>0.001439263097294</v>
      </c>
      <c r="D2094">
        <v>-0.260102084219481</v>
      </c>
      <c r="E2094">
        <v>-0.415294117647058</v>
      </c>
      <c r="F2094">
        <v>-0.219955156950672</v>
      </c>
      <c r="G2094">
        <v>-0.5104137348719391</v>
      </c>
      <c r="H2094">
        <v>-0.151463414634146</v>
      </c>
      <c r="I2094">
        <v>-0.913025</v>
      </c>
    </row>
    <row r="2095" spans="1:9">
      <c r="A2095" s="1" t="s">
        <v>2107</v>
      </c>
      <c r="B2095">
        <f>HYPERLINK("https://www.suredividend.com/sure-analysis-OGS/","ONE Gas Inc")</f>
        <v>0</v>
      </c>
      <c r="C2095">
        <v>0.06674655482324701</v>
      </c>
      <c r="D2095">
        <v>0.115895430244</v>
      </c>
      <c r="E2095">
        <v>0.333638952684431</v>
      </c>
      <c r="F2095">
        <v>0.156740854704408</v>
      </c>
      <c r="G2095">
        <v>0.140339078582454</v>
      </c>
      <c r="H2095">
        <v>0.101881318148116</v>
      </c>
      <c r="I2095">
        <v>0.4889474670163511</v>
      </c>
    </row>
    <row r="2096" spans="1:9">
      <c r="A2096" s="1" t="s">
        <v>2108</v>
      </c>
      <c r="B2096">
        <f>HYPERLINK("https://www.suredividend.com/sure-analysis-OHI/","Omega Healthcare Investors, Inc.")</f>
        <v>0</v>
      </c>
      <c r="C2096">
        <v>-0.041521284019539</v>
      </c>
      <c r="D2096">
        <v>-0.11053691579404</v>
      </c>
      <c r="E2096">
        <v>-0.07966107941315401</v>
      </c>
      <c r="F2096">
        <v>-0.04921448572091101</v>
      </c>
      <c r="G2096">
        <v>-0.20072391659829</v>
      </c>
      <c r="H2096">
        <v>0.037613978892657</v>
      </c>
      <c r="I2096">
        <v>0.207939774506182</v>
      </c>
    </row>
    <row r="2097" spans="1:9">
      <c r="A2097" s="1" t="s">
        <v>2109</v>
      </c>
      <c r="B2097">
        <f>HYPERLINK("https://www.suredividend.com/sure-analysis-research-database/","O-I Glass Inc")</f>
        <v>0</v>
      </c>
      <c r="C2097">
        <v>-0.003802281368821</v>
      </c>
      <c r="D2097">
        <v>-0.082633053221288</v>
      </c>
      <c r="E2097">
        <v>-0.113667117726657</v>
      </c>
      <c r="F2097">
        <v>0.08894430590191101</v>
      </c>
      <c r="G2097">
        <v>-0.106412005457026</v>
      </c>
      <c r="H2097">
        <v>1.027863777089783</v>
      </c>
      <c r="I2097">
        <v>-0.327318568574993</v>
      </c>
    </row>
    <row r="2098" spans="1:9">
      <c r="A2098" s="1" t="s">
        <v>2110</v>
      </c>
      <c r="B2098">
        <f>HYPERLINK("https://www.suredividend.com/sure-analysis-research-database/","Oceaneering International, Inc.")</f>
        <v>0</v>
      </c>
      <c r="C2098">
        <v>0.016823687752355</v>
      </c>
      <c r="D2098">
        <v>0.094927536231884</v>
      </c>
      <c r="E2098">
        <v>-0.011772400261608</v>
      </c>
      <c r="F2098">
        <v>0.335985853227232</v>
      </c>
      <c r="G2098">
        <v>0.41214953271028</v>
      </c>
      <c r="H2098">
        <v>4.192439862542955</v>
      </c>
      <c r="I2098">
        <v>-0.43446365745939</v>
      </c>
    </row>
    <row r="2099" spans="1:9">
      <c r="A2099" s="1" t="s">
        <v>2111</v>
      </c>
      <c r="B2099">
        <f>HYPERLINK("https://www.suredividend.com/sure-analysis-research-database/","Oil States International, Inc.")</f>
        <v>0</v>
      </c>
      <c r="C2099">
        <v>0.180817610062893</v>
      </c>
      <c r="D2099">
        <v>0.136157337367624</v>
      </c>
      <c r="E2099">
        <v>0.08840579710144901</v>
      </c>
      <c r="F2099">
        <v>0.5110663983903421</v>
      </c>
      <c r="G2099">
        <v>0.283760683760683</v>
      </c>
      <c r="H2099">
        <v>2.352678571428571</v>
      </c>
      <c r="I2099">
        <v>-0.767851622874806</v>
      </c>
    </row>
    <row r="2100" spans="1:9">
      <c r="A2100" s="1" t="s">
        <v>2112</v>
      </c>
      <c r="B2100">
        <f>HYPERLINK("https://www.suredividend.com/sure-analysis-OKE/","Oneok Inc.")</f>
        <v>0</v>
      </c>
      <c r="C2100">
        <v>0.102690999072069</v>
      </c>
      <c r="D2100">
        <v>0.156770840938331</v>
      </c>
      <c r="E2100">
        <v>0.128291311207429</v>
      </c>
      <c r="F2100">
        <v>0.232563888471119</v>
      </c>
      <c r="G2100">
        <v>0.4761446331894451</v>
      </c>
      <c r="H2100">
        <v>2.228888818444065</v>
      </c>
      <c r="I2100">
        <v>0.833847736625514</v>
      </c>
    </row>
    <row r="2101" spans="1:9">
      <c r="A2101" s="1" t="s">
        <v>2113</v>
      </c>
      <c r="B2101">
        <f>HYPERLINK("https://www.suredividend.com/sure-analysis-research-database/","Okta Inc")</f>
        <v>0</v>
      </c>
      <c r="C2101">
        <v>-0.078438924192823</v>
      </c>
      <c r="D2101">
        <v>-0.297637101903038</v>
      </c>
      <c r="E2101">
        <v>-0.437024547094345</v>
      </c>
      <c r="F2101">
        <v>-0.359548556898782</v>
      </c>
      <c r="G2101">
        <v>-0.46821986813838</v>
      </c>
      <c r="H2101">
        <v>-0.026181916841891</v>
      </c>
      <c r="I2101">
        <v>4.862392813393222</v>
      </c>
    </row>
    <row r="2102" spans="1:9">
      <c r="A2102" s="1" t="s">
        <v>2114</v>
      </c>
      <c r="B2102">
        <f>HYPERLINK("https://www.suredividend.com/sure-analysis-research-database/","Universal Display Corp.")</f>
        <v>0</v>
      </c>
      <c r="C2102">
        <v>-0.08868348738446101</v>
      </c>
      <c r="D2102">
        <v>-0.110083283324307</v>
      </c>
      <c r="E2102">
        <v>-0.172034841264122</v>
      </c>
      <c r="F2102">
        <v>-0.114073912172376</v>
      </c>
      <c r="G2102">
        <v>-0.360203163556835</v>
      </c>
      <c r="H2102">
        <v>0.029993477837352</v>
      </c>
      <c r="I2102">
        <v>0.8282209050144521</v>
      </c>
    </row>
    <row r="2103" spans="1:9">
      <c r="A2103" s="1" t="s">
        <v>2115</v>
      </c>
      <c r="B2103">
        <f>HYPERLINK("https://www.suredividend.com/sure-analysis-research-database/","Ollies Bargain Outlet Holdings Inc")</f>
        <v>0</v>
      </c>
      <c r="C2103">
        <v>0.3034137025543081</v>
      </c>
      <c r="D2103">
        <v>0.207964601769911</v>
      </c>
      <c r="E2103">
        <v>-0.174103766449856</v>
      </c>
      <c r="F2103">
        <v>0.06661457315882001</v>
      </c>
      <c r="G2103">
        <v>-0.429645879034785</v>
      </c>
      <c r="H2103">
        <v>-0.007813919680174001</v>
      </c>
      <c r="I2103">
        <v>0.6396396396396391</v>
      </c>
    </row>
    <row r="2104" spans="1:9">
      <c r="A2104" s="1" t="s">
        <v>2116</v>
      </c>
      <c r="B2104">
        <f>HYPERLINK("https://www.suredividend.com/sure-analysis-OLN/","Olin Corp.")</f>
        <v>0</v>
      </c>
      <c r="C2104">
        <v>0.102044680045437</v>
      </c>
      <c r="D2104">
        <v>0.053572753714472</v>
      </c>
      <c r="E2104">
        <v>0.191521590060077</v>
      </c>
      <c r="F2104">
        <v>0.016024952916555</v>
      </c>
      <c r="G2104">
        <v>0.408501824446617</v>
      </c>
      <c r="H2104">
        <v>3.783466184567344</v>
      </c>
      <c r="I2104">
        <v>1.267963313618689</v>
      </c>
    </row>
    <row r="2105" spans="1:9">
      <c r="A2105" s="1" t="s">
        <v>2117</v>
      </c>
      <c r="B2105">
        <f>HYPERLINK("https://www.suredividend.com/sure-analysis-OLP/","One Liberty Properties, Inc.")</f>
        <v>0</v>
      </c>
      <c r="C2105">
        <v>-0.009350207476931001</v>
      </c>
      <c r="D2105">
        <v>-0.074549662511254</v>
      </c>
      <c r="E2105">
        <v>-0.009664100566137</v>
      </c>
      <c r="F2105">
        <v>-0.119141630407587</v>
      </c>
      <c r="G2105">
        <v>0.32834319218693</v>
      </c>
      <c r="H2105">
        <v>1.592664697268518</v>
      </c>
      <c r="I2105">
        <v>0.854048884423083</v>
      </c>
    </row>
    <row r="2106" spans="1:9">
      <c r="A2106" s="1" t="s">
        <v>2118</v>
      </c>
      <c r="B2106">
        <f>HYPERLINK("https://www.suredividend.com/sure-analysis-OMC/","Omnicom Group, Inc.")</f>
        <v>0</v>
      </c>
      <c r="C2106">
        <v>-0.063882940756602</v>
      </c>
      <c r="D2106">
        <v>-0.002105102972506</v>
      </c>
      <c r="E2106">
        <v>0.04742356962591401</v>
      </c>
      <c r="F2106">
        <v>0.084106793267488</v>
      </c>
      <c r="G2106">
        <v>0.025248820553444</v>
      </c>
      <c r="H2106">
        <v>0.60765726193638</v>
      </c>
      <c r="I2106">
        <v>0.11374682605508</v>
      </c>
    </row>
    <row r="2107" spans="1:9">
      <c r="A2107" s="1" t="s">
        <v>2119</v>
      </c>
      <c r="B2107">
        <f>HYPERLINK("https://www.suredividend.com/sure-analysis-research-database/","Omnicell, Inc.")</f>
        <v>0</v>
      </c>
      <c r="C2107">
        <v>-0.12268637061965</v>
      </c>
      <c r="D2107">
        <v>-0.270914396887159</v>
      </c>
      <c r="E2107">
        <v>-0.240724325693301</v>
      </c>
      <c r="F2107">
        <v>-0.335402349811571</v>
      </c>
      <c r="G2107">
        <v>-0.130005803830528</v>
      </c>
      <c r="H2107">
        <v>0.700028352707683</v>
      </c>
      <c r="I2107">
        <v>2.032111251580278</v>
      </c>
    </row>
    <row r="2108" spans="1:9">
      <c r="A2108" s="1" t="s">
        <v>2120</v>
      </c>
      <c r="B2108">
        <f>HYPERLINK("https://www.suredividend.com/sure-analysis-research-database/","Omeros Corporation")</f>
        <v>0</v>
      </c>
      <c r="C2108">
        <v>-0.154605263157894</v>
      </c>
      <c r="D2108">
        <v>-0.109185441941074</v>
      </c>
      <c r="E2108">
        <v>-0.335058214747736</v>
      </c>
      <c r="F2108">
        <v>-0.200622083981337</v>
      </c>
      <c r="G2108">
        <v>-0.7201959716929771</v>
      </c>
      <c r="H2108">
        <v>-0.6352022711142651</v>
      </c>
      <c r="I2108">
        <v>-0.6666666666666661</v>
      </c>
    </row>
    <row r="2109" spans="1:9">
      <c r="A2109" s="1" t="s">
        <v>2121</v>
      </c>
      <c r="B2109">
        <f>HYPERLINK("https://www.suredividend.com/sure-analysis-research-database/","Odyssey Marine Exploration, Inc.")</f>
        <v>0</v>
      </c>
      <c r="C2109">
        <v>0.103565365025466</v>
      </c>
      <c r="D2109">
        <v>0.113013698630137</v>
      </c>
      <c r="E2109">
        <v>0.04838709677419301</v>
      </c>
      <c r="F2109">
        <v>0.25</v>
      </c>
      <c r="G2109">
        <v>0.015625</v>
      </c>
      <c r="H2109">
        <v>0.9696969696969691</v>
      </c>
      <c r="I2109">
        <v>0.7759562841530051</v>
      </c>
    </row>
    <row r="2110" spans="1:9">
      <c r="A2110" s="1" t="s">
        <v>2122</v>
      </c>
      <c r="B2110">
        <f>HYPERLINK("https://www.suredividend.com/sure-analysis-research-database/","OneMain Holdings Inc")</f>
        <v>0</v>
      </c>
      <c r="C2110">
        <v>0.033168982519049</v>
      </c>
      <c r="D2110">
        <v>-0.142630246740228</v>
      </c>
      <c r="E2110">
        <v>-0.194804831869659</v>
      </c>
      <c r="F2110">
        <v>-0.06210073160211901</v>
      </c>
      <c r="G2110">
        <v>-0.129546514504096</v>
      </c>
      <c r="H2110">
        <v>2.04658432297759</v>
      </c>
      <c r="I2110">
        <v>1.612031208390229</v>
      </c>
    </row>
    <row r="2111" spans="1:9">
      <c r="A2111" s="1" t="s">
        <v>2123</v>
      </c>
      <c r="B2111">
        <f>HYPERLINK("https://www.suredividend.com/sure-analysis-research-database/","Owens &amp; Minor, Inc.")</f>
        <v>0</v>
      </c>
      <c r="C2111">
        <v>-0.029137010676156</v>
      </c>
      <c r="D2111">
        <v>-0.013336347197106</v>
      </c>
      <c r="E2111">
        <v>0.325619533527696</v>
      </c>
      <c r="F2111">
        <v>0.003448275862068</v>
      </c>
      <c r="G2111">
        <v>0.162044666175049</v>
      </c>
      <c r="H2111">
        <v>5.09304987506805</v>
      </c>
      <c r="I2111">
        <v>0.418202375692043</v>
      </c>
    </row>
    <row r="2112" spans="1:9">
      <c r="A2112" s="1" t="s">
        <v>2124</v>
      </c>
      <c r="B2112">
        <f>HYPERLINK("https://www.suredividend.com/sure-analysis-research-database/","ON Semiconductor Corp.")</f>
        <v>0</v>
      </c>
      <c r="C2112">
        <v>-0.113957744135751</v>
      </c>
      <c r="D2112">
        <v>-0.195468277945619</v>
      </c>
      <c r="E2112">
        <v>0.229171474728825</v>
      </c>
      <c r="F2112">
        <v>-0.215842167255594</v>
      </c>
      <c r="G2112">
        <v>0.262683736367946</v>
      </c>
      <c r="H2112">
        <v>2.994000749906261</v>
      </c>
      <c r="I2112">
        <v>2.77462792345854</v>
      </c>
    </row>
    <row r="2113" spans="1:9">
      <c r="A2113" s="1" t="s">
        <v>2125</v>
      </c>
      <c r="B2113">
        <f>HYPERLINK("https://www.suredividend.com/sure-analysis-research-database/","Old National Bancorp")</f>
        <v>0</v>
      </c>
      <c r="C2113">
        <v>-0.15180055401662</v>
      </c>
      <c r="D2113">
        <v>-0.229181351324136</v>
      </c>
      <c r="E2113">
        <v>-0.08780543026865301</v>
      </c>
      <c r="F2113">
        <v>-0.148356232964343</v>
      </c>
      <c r="G2113">
        <v>-0.177876224996643</v>
      </c>
      <c r="H2113">
        <v>0.302967634318005</v>
      </c>
      <c r="I2113">
        <v>0.08263679692251101</v>
      </c>
    </row>
    <row r="2114" spans="1:9">
      <c r="A2114" s="1" t="s">
        <v>2126</v>
      </c>
      <c r="B2114">
        <f>HYPERLINK("https://www.suredividend.com/sure-analysis-research-database/","OncoSec Medical Inc")</f>
        <v>0</v>
      </c>
      <c r="C2114">
        <v>0.047858942065491</v>
      </c>
      <c r="D2114">
        <v>0.029702970297029</v>
      </c>
      <c r="E2114">
        <v>-0.4951456310679611</v>
      </c>
      <c r="F2114">
        <v>0.08378491037932401</v>
      </c>
      <c r="G2114">
        <v>-0.7763440860215051</v>
      </c>
      <c r="H2114">
        <v>-0.324675324675324</v>
      </c>
      <c r="I2114">
        <v>-0.9103448275862061</v>
      </c>
    </row>
    <row r="2115" spans="1:9">
      <c r="A2115" s="1" t="s">
        <v>2127</v>
      </c>
      <c r="B2115">
        <f>HYPERLINK("https://www.suredividend.com/sure-analysis-research-database/","Oncternal Therapeutics Inc")</f>
        <v>0</v>
      </c>
      <c r="C2115">
        <v>-0.233333333333333</v>
      </c>
      <c r="D2115">
        <v>-0.4334975369458121</v>
      </c>
      <c r="E2115">
        <v>-0.7028423772609821</v>
      </c>
      <c r="F2115">
        <v>-0.4933920704845811</v>
      </c>
      <c r="G2115">
        <v>-0.8225308641975301</v>
      </c>
      <c r="H2115">
        <v>-0.5559845559845561</v>
      </c>
      <c r="I2115">
        <v>-0.7368421052631581</v>
      </c>
    </row>
    <row r="2116" spans="1:9">
      <c r="A2116" s="1" t="s">
        <v>2128</v>
      </c>
      <c r="B2116">
        <f>HYPERLINK("https://www.suredividend.com/sure-analysis-research-database/","Onconova Therapeutics Inc")</f>
        <v>0</v>
      </c>
      <c r="C2116">
        <v>0.00625</v>
      </c>
      <c r="D2116">
        <v>-0.274774774774774</v>
      </c>
      <c r="E2116">
        <v>-0.561307901907356</v>
      </c>
      <c r="F2116">
        <v>-0.368627450980392</v>
      </c>
      <c r="G2116">
        <v>-0.8221485777409551</v>
      </c>
      <c r="H2116">
        <v>-0.6645833333333331</v>
      </c>
      <c r="I2116">
        <v>-0.9974535389482001</v>
      </c>
    </row>
    <row r="2117" spans="1:9">
      <c r="A2117" s="1" t="s">
        <v>2129</v>
      </c>
      <c r="B2117">
        <f>HYPERLINK("https://www.suredividend.com/sure-analysis-research-database/","Organovo Holdings Inc")</f>
        <v>0</v>
      </c>
      <c r="C2117">
        <v>-0.145077720207253</v>
      </c>
      <c r="D2117">
        <v>-0.117647058823529</v>
      </c>
      <c r="E2117">
        <v>-0.489164086687306</v>
      </c>
      <c r="F2117">
        <v>-0.09090909090909001</v>
      </c>
      <c r="G2117">
        <v>-0.607609988109393</v>
      </c>
      <c r="H2117">
        <v>-0.484536082474226</v>
      </c>
      <c r="I2117">
        <v>-0.9416961130742051</v>
      </c>
    </row>
    <row r="2118" spans="1:9">
      <c r="A2118" s="1" t="s">
        <v>2130</v>
      </c>
      <c r="B2118">
        <f>HYPERLINK("https://www.suredividend.com/sure-analysis-research-database/","Ooma Inc")</f>
        <v>0</v>
      </c>
      <c r="C2118">
        <v>-0.017943409247757</v>
      </c>
      <c r="D2118">
        <v>-0.263076126359399</v>
      </c>
      <c r="E2118">
        <v>-0.277664974619289</v>
      </c>
      <c r="F2118">
        <v>-0.303816046966731</v>
      </c>
      <c r="G2118">
        <v>-0.156990521327014</v>
      </c>
      <c r="H2118">
        <v>0.268270944741533</v>
      </c>
      <c r="I2118">
        <v>0.242794759825327</v>
      </c>
    </row>
    <row r="2119" spans="1:9">
      <c r="A2119" s="1" t="s">
        <v>2131</v>
      </c>
      <c r="B2119">
        <f>HYPERLINK("https://www.suredividend.com/sure-analysis-research-database/","Opgen Inc")</f>
        <v>0</v>
      </c>
      <c r="C2119">
        <v>-0.106210303458009</v>
      </c>
      <c r="D2119">
        <v>-0.224512705378099</v>
      </c>
      <c r="E2119">
        <v>-0.6256650246305411</v>
      </c>
      <c r="F2119">
        <v>-0.2401</v>
      </c>
      <c r="G2119">
        <v>-0.6667105263157891</v>
      </c>
      <c r="H2119">
        <v>-0.7066023166023161</v>
      </c>
      <c r="I2119">
        <v>-0.998706553191489</v>
      </c>
    </row>
    <row r="2120" spans="1:9">
      <c r="A2120" s="1" t="s">
        <v>2132</v>
      </c>
      <c r="B2120">
        <f>HYPERLINK("https://www.suredividend.com/sure-analysis-OPI/","Office Properties Income Trust")</f>
        <v>0</v>
      </c>
      <c r="C2120">
        <v>-0.004451639012545</v>
      </c>
      <c r="D2120">
        <v>-0.100077920082529</v>
      </c>
      <c r="E2120">
        <v>-0.089131787079001</v>
      </c>
      <c r="F2120">
        <v>0.011508998729446</v>
      </c>
      <c r="G2120">
        <v>-0.06549866662614601</v>
      </c>
      <c r="H2120">
        <v>0.143452109808588</v>
      </c>
      <c r="I2120">
        <v>-0.66343095203891</v>
      </c>
    </row>
    <row r="2121" spans="1:9">
      <c r="A2121" s="1" t="s">
        <v>2133</v>
      </c>
      <c r="B2121">
        <f>HYPERLINK("https://www.suredividend.com/sure-analysis-research-database/","Opko Health Inc")</f>
        <v>0</v>
      </c>
      <c r="C2121">
        <v>-0.040229885057471</v>
      </c>
      <c r="D2121">
        <v>-0.262693156732891</v>
      </c>
      <c r="E2121">
        <v>-0.102150537634408</v>
      </c>
      <c r="F2121">
        <v>-0.305613305613305</v>
      </c>
      <c r="G2121">
        <v>-0.230414746543778</v>
      </c>
      <c r="H2121">
        <v>0.988095238095238</v>
      </c>
      <c r="I2121">
        <v>-0.561679790026246</v>
      </c>
    </row>
    <row r="2122" spans="1:9">
      <c r="A2122" s="1" t="s">
        <v>2134</v>
      </c>
      <c r="B2122">
        <f>HYPERLINK("https://www.suredividend.com/sure-analysis-research-database/","Old Point Financial Corp.")</f>
        <v>0</v>
      </c>
      <c r="C2122">
        <v>0.02359056377449</v>
      </c>
      <c r="D2122">
        <v>0.102146602719202</v>
      </c>
      <c r="E2122">
        <v>0.196983228207658</v>
      </c>
      <c r="F2122">
        <v>0.101207887401493</v>
      </c>
      <c r="G2122">
        <v>0.215863215388268</v>
      </c>
      <c r="H2122">
        <v>0.7226528854435831</v>
      </c>
      <c r="I2122">
        <v>-0.07046661849553501</v>
      </c>
    </row>
    <row r="2123" spans="1:9">
      <c r="A2123" s="1" t="s">
        <v>2135</v>
      </c>
      <c r="B2123">
        <f>HYPERLINK("https://www.suredividend.com/sure-analysis-research-database/","OptimizeRx Corp")</f>
        <v>0</v>
      </c>
      <c r="C2123">
        <v>0.003349652151507</v>
      </c>
      <c r="D2123">
        <v>-0.216183574879227</v>
      </c>
      <c r="E2123">
        <v>-0.5398251004490661</v>
      </c>
      <c r="F2123">
        <v>-0.373047818386733</v>
      </c>
      <c r="G2123">
        <v>-0.245495059097074</v>
      </c>
      <c r="H2123">
        <v>2.909638554216867</v>
      </c>
      <c r="I2123">
        <v>28.95384615384615</v>
      </c>
    </row>
    <row r="2124" spans="1:9">
      <c r="A2124" s="1" t="s">
        <v>2136</v>
      </c>
      <c r="B2124">
        <f>HYPERLINK("https://www.suredividend.com/sure-analysis-research-database/","OptiNose Inc")</f>
        <v>0</v>
      </c>
      <c r="C2124">
        <v>0.209523809523809</v>
      </c>
      <c r="D2124">
        <v>0.215311004784689</v>
      </c>
      <c r="E2124">
        <v>-0.153333333333333</v>
      </c>
      <c r="F2124">
        <v>0.5679012345679011</v>
      </c>
      <c r="G2124">
        <v>-0.276353276353276</v>
      </c>
      <c r="H2124">
        <v>-0.328042328042328</v>
      </c>
      <c r="I2124">
        <v>-0.866315789473684</v>
      </c>
    </row>
    <row r="2125" spans="1:9">
      <c r="A2125" s="1" t="s">
        <v>2137</v>
      </c>
      <c r="B2125">
        <f>HYPERLINK("https://www.suredividend.com/sure-analysis-research-database/","Ocean Power Technologies")</f>
        <v>0</v>
      </c>
      <c r="C2125">
        <v>-0.114285714285714</v>
      </c>
      <c r="D2125">
        <v>-0.053435114503816</v>
      </c>
      <c r="E2125">
        <v>-0.406698564593301</v>
      </c>
      <c r="F2125">
        <v>-0.162162162162162</v>
      </c>
      <c r="G2125">
        <v>-0.493877551020408</v>
      </c>
      <c r="H2125">
        <v>1.755555555555555</v>
      </c>
      <c r="I2125">
        <v>-0.966120218579235</v>
      </c>
    </row>
    <row r="2126" spans="1:9">
      <c r="A2126" s="1" t="s">
        <v>2138</v>
      </c>
      <c r="B2126">
        <f>HYPERLINK("https://www.suredividend.com/sure-analysis-research-database/","Oppenheimer Holdings Inc")</f>
        <v>0</v>
      </c>
      <c r="C2126">
        <v>-0.218580470162748</v>
      </c>
      <c r="D2126">
        <v>-0.253674954609534</v>
      </c>
      <c r="E2126">
        <v>-0.296990501135755</v>
      </c>
      <c r="F2126">
        <v>-0.251904861860997</v>
      </c>
      <c r="G2126">
        <v>-0.198694546626149</v>
      </c>
      <c r="H2126">
        <v>1.04619172763217</v>
      </c>
      <c r="I2126">
        <v>1.459990464601612</v>
      </c>
    </row>
    <row r="2127" spans="1:9">
      <c r="A2127" s="1" t="s">
        <v>2139</v>
      </c>
      <c r="B2127">
        <f>HYPERLINK("https://www.suredividend.com/sure-analysis-research-database/","Ormat Technologies Inc")</f>
        <v>0</v>
      </c>
      <c r="C2127">
        <v>0.08358856559469101</v>
      </c>
      <c r="D2127">
        <v>0.110749189928823</v>
      </c>
      <c r="E2127">
        <v>0.194149497222417</v>
      </c>
      <c r="F2127">
        <v>0.072510338590414</v>
      </c>
      <c r="G2127">
        <v>0.057866849061798</v>
      </c>
      <c r="H2127">
        <v>0.416136720320085</v>
      </c>
      <c r="I2127">
        <v>0.5238255900763791</v>
      </c>
    </row>
    <row r="2128" spans="1:9">
      <c r="A2128" s="1" t="s">
        <v>2140</v>
      </c>
      <c r="B2128">
        <f>HYPERLINK("https://www.suredividend.com/sure-analysis-research-database/","Orbcomm Inc")</f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1" t="s">
        <v>2141</v>
      </c>
      <c r="B2129">
        <f>HYPERLINK("https://www.suredividend.com/sure-analysis-ORC/","Orchid Island Capital Inc")</f>
        <v>0</v>
      </c>
      <c r="C2129">
        <v>-0.090397321560842</v>
      </c>
      <c r="D2129">
        <v>-0.240888185549676</v>
      </c>
      <c r="E2129">
        <v>-0.33278275232548</v>
      </c>
      <c r="F2129">
        <v>-0.288115942028985</v>
      </c>
      <c r="G2129">
        <v>-0.331998781496148</v>
      </c>
      <c r="H2129">
        <v>0.276613439787092</v>
      </c>
      <c r="I2129">
        <v>-0.369739273249846</v>
      </c>
    </row>
    <row r="2130" spans="1:9">
      <c r="A2130" s="1" t="s">
        <v>2142</v>
      </c>
      <c r="B2130">
        <f>HYPERLINK("https://www.suredividend.com/sure-analysis-ORCL/","Oracle Corp.")</f>
        <v>0</v>
      </c>
      <c r="C2130">
        <v>-0.002490947715208</v>
      </c>
      <c r="D2130">
        <v>-0.090423053453816</v>
      </c>
      <c r="E2130">
        <v>-0.160211020103142</v>
      </c>
      <c r="F2130">
        <v>-0.082018657725254</v>
      </c>
      <c r="G2130">
        <v>0.021304055521919</v>
      </c>
      <c r="H2130">
        <v>0.526349460062283</v>
      </c>
      <c r="I2130">
        <v>0.95784654130206</v>
      </c>
    </row>
    <row r="2131" spans="1:9">
      <c r="A2131" s="1" t="s">
        <v>2143</v>
      </c>
      <c r="B2131">
        <f>HYPERLINK("https://www.suredividend.com/sure-analysis-research-database/","Organogenesis Holdings Inc")</f>
        <v>0</v>
      </c>
      <c r="C2131">
        <v>-0.058898847631241</v>
      </c>
      <c r="D2131">
        <v>-0.127078384798099</v>
      </c>
      <c r="E2131">
        <v>-0.328767123287671</v>
      </c>
      <c r="F2131">
        <v>-0.204545454545454</v>
      </c>
      <c r="G2131">
        <v>-0.657502329916123</v>
      </c>
      <c r="H2131">
        <v>1.534482758620689</v>
      </c>
      <c r="I2131">
        <v>-0.256825075834176</v>
      </c>
    </row>
    <row r="2132" spans="1:9">
      <c r="A2132" s="1" t="s">
        <v>2144</v>
      </c>
      <c r="B2132">
        <f>HYPERLINK("https://www.suredividend.com/sure-analysis-ORI/","Old Republic International Corp.")</f>
        <v>0</v>
      </c>
      <c r="C2132">
        <v>-0.07440246723207401</v>
      </c>
      <c r="D2132">
        <v>-0.071043325517871</v>
      </c>
      <c r="E2132">
        <v>-0.008158628524217001</v>
      </c>
      <c r="F2132">
        <v>-0.014731831425171</v>
      </c>
      <c r="G2132">
        <v>0.113827512142622</v>
      </c>
      <c r="H2132">
        <v>0.8482310558241211</v>
      </c>
      <c r="I2132">
        <v>0.793423863517531</v>
      </c>
    </row>
    <row r="2133" spans="1:9">
      <c r="A2133" s="1" t="s">
        <v>2145</v>
      </c>
      <c r="B2133">
        <f>HYPERLINK("https://www.suredividend.com/sure-analysis-research-database/","O`Reilly Automotive, Inc.")</f>
        <v>0</v>
      </c>
      <c r="C2133">
        <v>0.018577176611591</v>
      </c>
      <c r="D2133">
        <v>0.051570992973617</v>
      </c>
      <c r="E2133">
        <v>0.134962400038156</v>
      </c>
      <c r="F2133">
        <v>0.010832165158659</v>
      </c>
      <c r="G2133">
        <v>0.345623162180502</v>
      </c>
      <c r="H2133">
        <v>0.9415796344647521</v>
      </c>
      <c r="I2133">
        <v>1.832969562284217</v>
      </c>
    </row>
    <row r="2134" spans="1:9">
      <c r="A2134" s="1" t="s">
        <v>2146</v>
      </c>
      <c r="B2134">
        <f>HYPERLINK("https://www.suredividend.com/sure-analysis-research-database/","Orion Group Holdings Inc")</f>
        <v>0</v>
      </c>
      <c r="C2134">
        <v>0.137777777777777</v>
      </c>
      <c r="D2134">
        <v>-0.326315789473684</v>
      </c>
      <c r="E2134">
        <v>-0.4506437768240341</v>
      </c>
      <c r="F2134">
        <v>-0.320954907161803</v>
      </c>
      <c r="G2134">
        <v>-0.568296795952782</v>
      </c>
      <c r="H2134">
        <v>0.179723502304147</v>
      </c>
      <c r="I2134">
        <v>-0.661822985468956</v>
      </c>
    </row>
    <row r="2135" spans="1:9">
      <c r="A2135" s="1" t="s">
        <v>2147</v>
      </c>
      <c r="B2135">
        <f>HYPERLINK("https://www.suredividend.com/sure-analysis-research-database/","Orrstown Financial Services, Inc.")</f>
        <v>0</v>
      </c>
      <c r="C2135">
        <v>-0.06279168434450501</v>
      </c>
      <c r="D2135">
        <v>-0.132016754552098</v>
      </c>
      <c r="E2135">
        <v>-0.06020795398465</v>
      </c>
      <c r="F2135">
        <v>-0.116516619806185</v>
      </c>
      <c r="G2135">
        <v>0.006506524750309</v>
      </c>
      <c r="H2135">
        <v>1.046469400233459</v>
      </c>
      <c r="I2135">
        <v>0.26827195792713</v>
      </c>
    </row>
    <row r="2136" spans="1:9">
      <c r="A2136" s="1" t="s">
        <v>2148</v>
      </c>
      <c r="B2136">
        <f>HYPERLINK("https://www.suredividend.com/sure-analysis-research-database/","Old Second Bancorporation Inc.")</f>
        <v>0</v>
      </c>
      <c r="C2136">
        <v>-0.019498607242339</v>
      </c>
      <c r="D2136">
        <v>-0.0005607649117320001</v>
      </c>
      <c r="E2136">
        <v>0.06981939199610901</v>
      </c>
      <c r="F2136">
        <v>0.122484773111387</v>
      </c>
      <c r="G2136">
        <v>0.096581749079042</v>
      </c>
      <c r="H2136">
        <v>1.206308663835654</v>
      </c>
      <c r="I2136">
        <v>0.311622014383127</v>
      </c>
    </row>
    <row r="2137" spans="1:9">
      <c r="A2137" s="1" t="s">
        <v>2149</v>
      </c>
      <c r="B2137">
        <f>HYPERLINK("https://www.suredividend.com/sure-analysis-research-database/","Overseas Shipholding Group, Inc.")</f>
        <v>0</v>
      </c>
      <c r="C2137">
        <v>0.09478672985782</v>
      </c>
      <c r="D2137">
        <v>0.190721649484536</v>
      </c>
      <c r="E2137">
        <v>0.137931034482758</v>
      </c>
      <c r="F2137">
        <v>0.228723404255319</v>
      </c>
      <c r="G2137">
        <v>-0.021186440677966</v>
      </c>
      <c r="H2137">
        <v>0.004347826086956001</v>
      </c>
      <c r="I2137">
        <v>-0.349295774647887</v>
      </c>
    </row>
    <row r="2138" spans="1:9">
      <c r="A2138" s="1" t="s">
        <v>2150</v>
      </c>
      <c r="B2138">
        <f>HYPERLINK("https://www.suredividend.com/sure-analysis-research-database/","OSI Systems, Inc.")</f>
        <v>0</v>
      </c>
      <c r="C2138">
        <v>-0.025808007718282</v>
      </c>
      <c r="D2138">
        <v>-0.099141295862607</v>
      </c>
      <c r="E2138">
        <v>-0.148788198103266</v>
      </c>
      <c r="F2138">
        <v>-0.133261802575107</v>
      </c>
      <c r="G2138">
        <v>-0.181311442181007</v>
      </c>
      <c r="H2138">
        <v>0.131372549019607</v>
      </c>
      <c r="I2138">
        <v>0.137265943967337</v>
      </c>
    </row>
    <row r="2139" spans="1:9">
      <c r="A2139" s="1" t="s">
        <v>2151</v>
      </c>
      <c r="B2139">
        <f>HYPERLINK("https://www.suredividend.com/sure-analysis-OSK/","Oshkosh Corp")</f>
        <v>0</v>
      </c>
      <c r="C2139">
        <v>-0.108641975308641</v>
      </c>
      <c r="D2139">
        <v>-0.212252237690178</v>
      </c>
      <c r="E2139">
        <v>-0.035039347862028</v>
      </c>
      <c r="F2139">
        <v>-0.132436307900997</v>
      </c>
      <c r="G2139">
        <v>-0.185088635301455</v>
      </c>
      <c r="H2139">
        <v>0.664810614341932</v>
      </c>
      <c r="I2139">
        <v>0.56428041816857</v>
      </c>
    </row>
    <row r="2140" spans="1:9">
      <c r="A2140" s="1" t="s">
        <v>2152</v>
      </c>
      <c r="B2140">
        <f>HYPERLINK("https://www.suredividend.com/sure-analysis-research-database/","OneSpan Inc")</f>
        <v>0</v>
      </c>
      <c r="C2140">
        <v>0.146041506533435</v>
      </c>
      <c r="D2140">
        <v>-0.09854897218863301</v>
      </c>
      <c r="E2140">
        <v>-0.265155248891079</v>
      </c>
      <c r="F2140">
        <v>-0.1193148257531</v>
      </c>
      <c r="G2140">
        <v>-0.4710890386661931</v>
      </c>
      <c r="H2140">
        <v>-0.039922730199613</v>
      </c>
      <c r="I2140">
        <v>0.232231404958677</v>
      </c>
    </row>
    <row r="2141" spans="1:9">
      <c r="A2141" s="1" t="s">
        <v>2153</v>
      </c>
      <c r="B2141">
        <f>HYPERLINK("https://www.suredividend.com/sure-analysis-research-database/","Overstock.com Inc")</f>
        <v>0</v>
      </c>
      <c r="C2141">
        <v>-0.207877912971746</v>
      </c>
      <c r="D2141">
        <v>-0.21851475076297</v>
      </c>
      <c r="E2141">
        <v>-0.505471868160164</v>
      </c>
      <c r="F2141">
        <v>-0.349093374004406</v>
      </c>
      <c r="G2141">
        <v>-0.4840832773673601</v>
      </c>
      <c r="H2141">
        <v>3.216245883644347</v>
      </c>
      <c r="I2141">
        <v>1.157865168539325</v>
      </c>
    </row>
    <row r="2142" spans="1:9">
      <c r="A2142" s="1" t="s">
        <v>2154</v>
      </c>
      <c r="B2142">
        <f>HYPERLINK("https://www.suredividend.com/sure-analysis-research-database/","Orasure Technologies Inc.")</f>
        <v>0</v>
      </c>
      <c r="C2142">
        <v>-0.020348837209302</v>
      </c>
      <c r="D2142">
        <v>-0.207990599294947</v>
      </c>
      <c r="E2142">
        <v>-0.358705994291151</v>
      </c>
      <c r="F2142">
        <v>-0.224395857307249</v>
      </c>
      <c r="G2142">
        <v>-0.326673326673326</v>
      </c>
      <c r="H2142">
        <v>-0.4856924837848151</v>
      </c>
      <c r="I2142">
        <v>-0.454251012145748</v>
      </c>
    </row>
    <row r="2143" spans="1:9">
      <c r="A2143" s="1" t="s">
        <v>2155</v>
      </c>
      <c r="B2143">
        <f>HYPERLINK("https://www.suredividend.com/sure-analysis-research-database/","OneSpaWorld Holdings Limited")</f>
        <v>0</v>
      </c>
      <c r="C2143">
        <v>0.019417475728155</v>
      </c>
      <c r="D2143">
        <v>0.017441860465116</v>
      </c>
      <c r="E2143">
        <v>-0.054054054054054</v>
      </c>
      <c r="F2143">
        <v>0.04790419161676601</v>
      </c>
      <c r="G2143">
        <v>-0.006622516556291</v>
      </c>
      <c r="H2143">
        <v>1.755905511811023</v>
      </c>
      <c r="I2143">
        <v>-0.141518612694078</v>
      </c>
    </row>
    <row r="2144" spans="1:9">
      <c r="A2144" s="1" t="s">
        <v>2156</v>
      </c>
      <c r="B2144">
        <f>HYPERLINK("https://www.suredividend.com/sure-analysis-research-database/","Otelco Inc")</f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2157</v>
      </c>
      <c r="B2145">
        <f>HYPERLINK("https://www.suredividend.com/sure-analysis-research-database/","Otonomy Inc")</f>
        <v>0</v>
      </c>
      <c r="C2145">
        <v>-0.05907172995780501</v>
      </c>
      <c r="D2145">
        <v>0.09852216748768401</v>
      </c>
      <c r="E2145">
        <v>0.161458333333333</v>
      </c>
      <c r="F2145">
        <v>0.07211538461538401</v>
      </c>
      <c r="G2145">
        <v>0.009049773755656</v>
      </c>
      <c r="H2145">
        <v>0.061904761904761</v>
      </c>
      <c r="I2145">
        <v>-0.8216</v>
      </c>
    </row>
    <row r="2146" spans="1:9">
      <c r="A2146" s="1" t="s">
        <v>2158</v>
      </c>
      <c r="B2146">
        <f>HYPERLINK("https://www.suredividend.com/sure-analysis-OTTR/","Otter Tail Corporation")</f>
        <v>0</v>
      </c>
      <c r="C2146">
        <v>0.002083333333333</v>
      </c>
      <c r="D2146">
        <v>-0.020533858388587</v>
      </c>
      <c r="E2146">
        <v>0.08500633339695601</v>
      </c>
      <c r="F2146">
        <v>-0.118452717457963</v>
      </c>
      <c r="G2146">
        <v>0.354844440977706</v>
      </c>
      <c r="H2146">
        <v>0.505625931535314</v>
      </c>
      <c r="I2146">
        <v>0.9235146824493511</v>
      </c>
    </row>
    <row r="2147" spans="1:9">
      <c r="A2147" s="1" t="s">
        <v>2159</v>
      </c>
      <c r="B2147">
        <f>HYPERLINK("https://www.suredividend.com/sure-analysis-research-database/","Outfront Media Inc")</f>
        <v>0</v>
      </c>
      <c r="C2147">
        <v>-0.004395604395604</v>
      </c>
      <c r="D2147">
        <v>0.07922667333738301</v>
      </c>
      <c r="E2147">
        <v>0.053104682789991</v>
      </c>
      <c r="F2147">
        <v>0.024902336385164</v>
      </c>
      <c r="G2147">
        <v>0.199205823957644</v>
      </c>
      <c r="H2147">
        <v>1.258638169156875</v>
      </c>
      <c r="I2147">
        <v>0.297455212017929</v>
      </c>
    </row>
    <row r="2148" spans="1:9">
      <c r="A2148" s="1" t="s">
        <v>2160</v>
      </c>
      <c r="B2148">
        <f>HYPERLINK("https://www.suredividend.com/sure-analysis-research-database/","Ohio Valley Banc Corp.")</f>
        <v>0</v>
      </c>
      <c r="C2148">
        <v>0.009194249414911001</v>
      </c>
      <c r="D2148">
        <v>0.013235674220478</v>
      </c>
      <c r="E2148">
        <v>0.119584286874696</v>
      </c>
      <c r="F2148">
        <v>0.025197754312555</v>
      </c>
      <c r="G2148">
        <v>0.351278756922029</v>
      </c>
      <c r="H2148">
        <v>0.33737699543205</v>
      </c>
      <c r="I2148">
        <v>0.20097239573801</v>
      </c>
    </row>
    <row r="2149" spans="1:9">
      <c r="A2149" s="1" t="s">
        <v>2161</v>
      </c>
      <c r="B2149">
        <f>HYPERLINK("https://www.suredividend.com/sure-analysis-research-database/","Oak Valley Bancorp")</f>
        <v>0</v>
      </c>
      <c r="C2149">
        <v>-0.013157894736842</v>
      </c>
      <c r="D2149">
        <v>0.008471157724889001</v>
      </c>
      <c r="E2149">
        <v>0.007348044345699</v>
      </c>
      <c r="F2149">
        <v>0.043242397371028</v>
      </c>
      <c r="G2149">
        <v>0.09342728708540801</v>
      </c>
      <c r="H2149">
        <v>0.55594934520465</v>
      </c>
      <c r="I2149">
        <v>0.386108116433081</v>
      </c>
    </row>
    <row r="2150" spans="1:9">
      <c r="A2150" s="1" t="s">
        <v>2162</v>
      </c>
      <c r="B2150">
        <f>HYPERLINK("https://www.suredividend.com/sure-analysis-research-database/","Oxford Industries, Inc.")</f>
        <v>0</v>
      </c>
      <c r="C2150">
        <v>0.106308469897645</v>
      </c>
      <c r="D2150">
        <v>-0.007966298738347</v>
      </c>
      <c r="E2150">
        <v>0.015677671122472</v>
      </c>
      <c r="F2150">
        <v>-0.07926667821316001</v>
      </c>
      <c r="G2150">
        <v>0.060956236988948</v>
      </c>
      <c r="H2150">
        <v>1.630299342282986</v>
      </c>
      <c r="I2150">
        <v>0.8543019805949801</v>
      </c>
    </row>
    <row r="2151" spans="1:9">
      <c r="A2151" s="1" t="s">
        <v>2163</v>
      </c>
      <c r="B2151">
        <f>HYPERLINK("https://www.suredividend.com/sure-analysis-OXY/","Occidental Petroleum Corp.")</f>
        <v>0</v>
      </c>
      <c r="C2151">
        <v>0.119833930930364</v>
      </c>
      <c r="D2151">
        <v>0.6750645721302451</v>
      </c>
      <c r="E2151">
        <v>0.879370629370629</v>
      </c>
      <c r="F2151">
        <v>1.051796272604682</v>
      </c>
      <c r="G2151">
        <v>1.442377346065196</v>
      </c>
      <c r="H2151">
        <v>3.892527641049741</v>
      </c>
      <c r="I2151">
        <v>0.108833482510739</v>
      </c>
    </row>
    <row r="2152" spans="1:9">
      <c r="A2152" s="1" t="s">
        <v>2164</v>
      </c>
      <c r="B2152">
        <f>HYPERLINK("https://www.suredividend.com/sure-analysis-OZK/","Bank OZK")</f>
        <v>0</v>
      </c>
      <c r="C2152">
        <v>-0.106406133617594</v>
      </c>
      <c r="D2152">
        <v>-0.199733177820206</v>
      </c>
      <c r="E2152">
        <v>-0.08750979213350001</v>
      </c>
      <c r="F2152">
        <v>-0.126927753108154</v>
      </c>
      <c r="G2152">
        <v>0.034577132411414</v>
      </c>
      <c r="H2152">
        <v>1.481759962343148</v>
      </c>
      <c r="I2152">
        <v>0.275675882180651</v>
      </c>
    </row>
    <row r="2153" spans="1:9">
      <c r="A2153" s="1" t="s">
        <v>2165</v>
      </c>
      <c r="B2153">
        <f>HYPERLINK("https://www.suredividend.com/sure-analysis-research-database/","Pacific Biosciences of California Inc")</f>
        <v>0</v>
      </c>
      <c r="C2153">
        <v>-0.265107212475633</v>
      </c>
      <c r="D2153">
        <v>-0.3934030571198711</v>
      </c>
      <c r="E2153">
        <v>-0.6908569085690851</v>
      </c>
      <c r="F2153">
        <v>-0.6314760508308891</v>
      </c>
      <c r="G2153">
        <v>-0.7608626704725651</v>
      </c>
      <c r="H2153">
        <v>1.582191780821917</v>
      </c>
      <c r="I2153">
        <v>0.5546391752577321</v>
      </c>
    </row>
    <row r="2154" spans="1:9">
      <c r="A2154" s="1" t="s">
        <v>2166</v>
      </c>
      <c r="B2154">
        <f>HYPERLINK("https://www.suredividend.com/sure-analysis-PACW/","Pacwest Bancorp")</f>
        <v>0</v>
      </c>
      <c r="C2154">
        <v>-0.186533013728481</v>
      </c>
      <c r="D2154">
        <v>-0.267225980205482</v>
      </c>
      <c r="E2154">
        <v>-0.206934279431916</v>
      </c>
      <c r="F2154">
        <v>-0.169405278159119</v>
      </c>
      <c r="G2154">
        <v>-0.05049446524499401</v>
      </c>
      <c r="H2154">
        <v>1.338357073952969</v>
      </c>
      <c r="I2154">
        <v>-0.08838490523647501</v>
      </c>
    </row>
    <row r="2155" spans="1:9">
      <c r="A2155" s="1" t="s">
        <v>2167</v>
      </c>
      <c r="B2155">
        <f>HYPERLINK("https://www.suredividend.com/sure-analysis-research-database/","Penske Automotive Group Inc")</f>
        <v>0</v>
      </c>
      <c r="C2155">
        <v>-0.08327003418154101</v>
      </c>
      <c r="D2155">
        <v>-0.07094318271482801</v>
      </c>
      <c r="E2155">
        <v>-0.05787230388521501</v>
      </c>
      <c r="F2155">
        <v>-0.095378324871146</v>
      </c>
      <c r="G2155">
        <v>0.131146177358565</v>
      </c>
      <c r="H2155">
        <v>2.332504953023933</v>
      </c>
      <c r="I2155">
        <v>1.488376408490634</v>
      </c>
    </row>
    <row r="2156" spans="1:9">
      <c r="A2156" s="1" t="s">
        <v>2168</v>
      </c>
      <c r="B2156">
        <f>HYPERLINK("https://www.suredividend.com/sure-analysis-research-database/","Phibro Animal Health Corp.")</f>
        <v>0</v>
      </c>
      <c r="C2156">
        <v>-0.016591251885369</v>
      </c>
      <c r="D2156">
        <v>-0.06640638051099401</v>
      </c>
      <c r="E2156">
        <v>-0.09276437847866401</v>
      </c>
      <c r="F2156">
        <v>-0.03669047032750501</v>
      </c>
      <c r="G2156">
        <v>-0.186328995973243</v>
      </c>
      <c r="H2156">
        <v>-0.111438189078321</v>
      </c>
      <c r="I2156">
        <v>-0.226317850461005</v>
      </c>
    </row>
    <row r="2157" spans="1:9">
      <c r="A2157" s="1" t="s">
        <v>2169</v>
      </c>
      <c r="B2157">
        <f>HYPERLINK("https://www.suredividend.com/sure-analysis-research-database/","Pangaea Logistics Solutions Ltd")</f>
        <v>0</v>
      </c>
      <c r="C2157">
        <v>-0.111864406779661</v>
      </c>
      <c r="D2157">
        <v>0.326884606619229</v>
      </c>
      <c r="E2157">
        <v>0.181590637472658</v>
      </c>
      <c r="F2157">
        <v>0.400582685162911</v>
      </c>
      <c r="G2157">
        <v>0.8143416086700591</v>
      </c>
      <c r="H2157">
        <v>1.829679231018468</v>
      </c>
      <c r="I2157">
        <v>0.6437668611581651</v>
      </c>
    </row>
    <row r="2158" spans="1:9">
      <c r="A2158" s="1" t="s">
        <v>2170</v>
      </c>
      <c r="B2158">
        <f>HYPERLINK("https://www.suredividend.com/sure-analysis-research-database/","Palo Alto Networks Inc")</f>
        <v>0</v>
      </c>
      <c r="C2158">
        <v>0.131535239745811</v>
      </c>
      <c r="D2158">
        <v>0.255795315661878</v>
      </c>
      <c r="E2158">
        <v>0.234183321847002</v>
      </c>
      <c r="F2158">
        <v>0.125763345067892</v>
      </c>
      <c r="G2158">
        <v>0.709477703531978</v>
      </c>
      <c r="H2158">
        <v>2.293814703873036</v>
      </c>
      <c r="I2158">
        <v>4.585776668746101</v>
      </c>
    </row>
    <row r="2159" spans="1:9">
      <c r="A2159" s="1" t="s">
        <v>2171</v>
      </c>
      <c r="B2159">
        <f>HYPERLINK("https://www.suredividend.com/sure-analysis-research-database/","Par Technology Corp.")</f>
        <v>0</v>
      </c>
      <c r="C2159">
        <v>-0.010752688172043</v>
      </c>
      <c r="D2159">
        <v>-0.165532879818594</v>
      </c>
      <c r="E2159">
        <v>-0.463087248322147</v>
      </c>
      <c r="F2159">
        <v>-0.302634072389615</v>
      </c>
      <c r="G2159">
        <v>-0.5418897049670111</v>
      </c>
      <c r="H2159">
        <v>1.553782095766828</v>
      </c>
      <c r="I2159">
        <v>3.959568733153638</v>
      </c>
    </row>
    <row r="2160" spans="1:9">
      <c r="A2160" s="1" t="s">
        <v>2172</v>
      </c>
      <c r="B2160">
        <f>HYPERLINK("https://www.suredividend.com/sure-analysis-research-database/","Par Pacific Holdings Inc")</f>
        <v>0</v>
      </c>
      <c r="C2160">
        <v>0.230118443316412</v>
      </c>
      <c r="D2160">
        <v>-0.173863636363636</v>
      </c>
      <c r="E2160">
        <v>-0.100247524752475</v>
      </c>
      <c r="F2160">
        <v>-0.118253486961794</v>
      </c>
      <c r="G2160">
        <v>-0.037086092715231</v>
      </c>
      <c r="H2160">
        <v>1.199697428139182</v>
      </c>
      <c r="I2160">
        <v>-0.112332112332112</v>
      </c>
    </row>
    <row r="2161" spans="1:9">
      <c r="A2161" s="1" t="s">
        <v>2173</v>
      </c>
      <c r="B2161">
        <f>HYPERLINK("https://www.suredividend.com/sure-analysis-research-database/","Patriot Transportation Holding Inc")</f>
        <v>0</v>
      </c>
      <c r="C2161">
        <v>-0.002463054187192</v>
      </c>
      <c r="D2161">
        <v>0.006211180124223</v>
      </c>
      <c r="E2161">
        <v>-0.08775565366249201</v>
      </c>
      <c r="F2161">
        <v>0.003717472118959</v>
      </c>
      <c r="G2161">
        <v>-0.009331849369519</v>
      </c>
      <c r="H2161">
        <v>0.543709858779135</v>
      </c>
      <c r="I2161">
        <v>-0.222185945572221</v>
      </c>
    </row>
    <row r="2162" spans="1:9">
      <c r="A2162" s="1" t="s">
        <v>2174</v>
      </c>
      <c r="B2162">
        <f>HYPERLINK("https://www.suredividend.com/sure-analysis-research-database/","Patrick Industries, Inc.")</f>
        <v>0</v>
      </c>
      <c r="C2162">
        <v>-0.127177959791511</v>
      </c>
      <c r="D2162">
        <v>-0.235478194627607</v>
      </c>
      <c r="E2162">
        <v>-0.279095997943437</v>
      </c>
      <c r="F2162">
        <v>-0.270251122762412</v>
      </c>
      <c r="G2162">
        <v>-0.331320792603342</v>
      </c>
      <c r="H2162">
        <v>1.186997421574444</v>
      </c>
      <c r="I2162">
        <v>0.50994824285924</v>
      </c>
    </row>
    <row r="2163" spans="1:9">
      <c r="A2163" s="1" t="s">
        <v>2175</v>
      </c>
      <c r="B2163">
        <f>HYPERLINK("https://www.suredividend.com/sure-analysis-research-database/","Paycom Software Inc")</f>
        <v>0</v>
      </c>
      <c r="C2163">
        <v>-0.024020536642014</v>
      </c>
      <c r="D2163">
        <v>-0.04380370669780501</v>
      </c>
      <c r="E2163">
        <v>-0.384389999421709</v>
      </c>
      <c r="F2163">
        <v>-0.23080999060671</v>
      </c>
      <c r="G2163">
        <v>-0.198534394057269</v>
      </c>
      <c r="H2163">
        <v>0.544966378017512</v>
      </c>
      <c r="I2163">
        <v>4.531001039140977</v>
      </c>
    </row>
    <row r="2164" spans="1:9">
      <c r="A2164" s="1" t="s">
        <v>2176</v>
      </c>
      <c r="B2164">
        <f>HYPERLINK("https://www.suredividend.com/sure-analysis-research-database/","PaySign Inc")</f>
        <v>0</v>
      </c>
      <c r="C2164">
        <v>-0.171171171171171</v>
      </c>
      <c r="D2164">
        <v>-0.051546391752577</v>
      </c>
      <c r="E2164">
        <v>-0.303030303030303</v>
      </c>
      <c r="F2164">
        <v>0.149999999999999</v>
      </c>
      <c r="G2164">
        <v>-0.543424317617866</v>
      </c>
      <c r="H2164">
        <v>-0.7276091783863801</v>
      </c>
      <c r="I2164">
        <v>6.666666666666667</v>
      </c>
    </row>
    <row r="2165" spans="1:9">
      <c r="A2165" s="1" t="s">
        <v>2177</v>
      </c>
      <c r="B2165">
        <f>HYPERLINK("https://www.suredividend.com/sure-analysis-PAYX/","Paychex Inc.")</f>
        <v>0</v>
      </c>
      <c r="C2165">
        <v>0.097470895222802</v>
      </c>
      <c r="D2165">
        <v>0.100025108481516</v>
      </c>
      <c r="E2165">
        <v>0.160242285140003</v>
      </c>
      <c r="F2165">
        <v>0.007349695304168001</v>
      </c>
      <c r="G2165">
        <v>0.435591623597517</v>
      </c>
      <c r="H2165">
        <v>1.269026272498949</v>
      </c>
      <c r="I2165">
        <v>1.74616874402308</v>
      </c>
    </row>
    <row r="2166" spans="1:9">
      <c r="A2166" s="1" t="s">
        <v>2178</v>
      </c>
      <c r="B2166">
        <f>HYPERLINK("https://www.suredividend.com/sure-analysis-PB/","Prosperity Bancshares Inc.")</f>
        <v>0</v>
      </c>
      <c r="C2166">
        <v>-0.081222466960352</v>
      </c>
      <c r="D2166">
        <v>-0.154803650782192</v>
      </c>
      <c r="E2166">
        <v>-0.078113129359762</v>
      </c>
      <c r="F2166">
        <v>-0.07005000884804101</v>
      </c>
      <c r="G2166">
        <v>-0.101901965480954</v>
      </c>
      <c r="H2166">
        <v>0.514415767713944</v>
      </c>
      <c r="I2166">
        <v>0.176742324462805</v>
      </c>
    </row>
    <row r="2167" spans="1:9">
      <c r="A2167" s="1" t="s">
        <v>2179</v>
      </c>
      <c r="B2167">
        <f>HYPERLINK("https://www.suredividend.com/sure-analysis-PBCT/","People`s United Financial Inc")</f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2180</v>
      </c>
      <c r="B2168">
        <f>HYPERLINK("https://www.suredividend.com/sure-analysis-research-database/","PBF Energy Inc")</f>
        <v>0</v>
      </c>
      <c r="C2168">
        <v>0.384693360364926</v>
      </c>
      <c r="D2168">
        <v>0.5052341597796141</v>
      </c>
      <c r="E2168">
        <v>0.7423469387755101</v>
      </c>
      <c r="F2168">
        <v>1.106399383191981</v>
      </c>
      <c r="G2168">
        <v>0.9682997118155611</v>
      </c>
      <c r="H2168">
        <v>3.248833592534992</v>
      </c>
      <c r="I2168">
        <v>0.4895670332426431</v>
      </c>
    </row>
    <row r="2169" spans="1:9">
      <c r="A2169" s="1" t="s">
        <v>2181</v>
      </c>
      <c r="B2169">
        <f>HYPERLINK("https://www.suredividend.com/sure-analysis-research-database/","Prestige Consumer Healthcare Inc")</f>
        <v>0</v>
      </c>
      <c r="C2169">
        <v>-0.038434163701067</v>
      </c>
      <c r="D2169">
        <v>-0.09404861693210301</v>
      </c>
      <c r="E2169">
        <v>-0.07497432386169101</v>
      </c>
      <c r="F2169">
        <v>-0.108985985160758</v>
      </c>
      <c r="G2169">
        <v>0.195046439628483</v>
      </c>
      <c r="H2169">
        <v>0.406193078324225</v>
      </c>
      <c r="I2169">
        <v>-0.039118065433854</v>
      </c>
    </row>
    <row r="2170" spans="1:9">
      <c r="A2170" s="1" t="s">
        <v>2182</v>
      </c>
      <c r="B2170">
        <f>HYPERLINK("https://www.suredividend.com/sure-analysis-research-database/","Pathfinder Bancorp, Inc.")</f>
        <v>0</v>
      </c>
      <c r="C2170">
        <v>0.140112994350282</v>
      </c>
      <c r="D2170">
        <v>0.184272300469483</v>
      </c>
      <c r="E2170">
        <v>0.25076700900577</v>
      </c>
      <c r="F2170">
        <v>0.180110057835918</v>
      </c>
      <c r="G2170">
        <v>0.354989894649199</v>
      </c>
      <c r="H2170">
        <v>1.233264350770797</v>
      </c>
      <c r="I2170">
        <v>0.485232315946743</v>
      </c>
    </row>
    <row r="2171" spans="1:9">
      <c r="A2171" s="1" t="s">
        <v>2183</v>
      </c>
      <c r="B2171">
        <f>HYPERLINK("https://www.suredividend.com/sure-analysis-research-database/","Pitney Bowes, Inc.")</f>
        <v>0</v>
      </c>
      <c r="C2171">
        <v>-0.066147859922178</v>
      </c>
      <c r="D2171">
        <v>-0.265212399540757</v>
      </c>
      <c r="E2171">
        <v>-0.312665568840839</v>
      </c>
      <c r="F2171">
        <v>-0.268537990308128</v>
      </c>
      <c r="G2171">
        <v>-0.411396828900415</v>
      </c>
      <c r="H2171">
        <v>1.582172252407337</v>
      </c>
      <c r="I2171">
        <v>-0.519288547049633</v>
      </c>
    </row>
    <row r="2172" spans="1:9">
      <c r="A2172" s="1" t="s">
        <v>2184</v>
      </c>
      <c r="B2172">
        <f>HYPERLINK("https://www.suredividend.com/sure-analysis-research-database/","Prudential Bancorp Inc")</f>
        <v>0</v>
      </c>
      <c r="C2172">
        <v>-0.054867256637168</v>
      </c>
      <c r="D2172">
        <v>0.163948123660406</v>
      </c>
      <c r="E2172">
        <v>0.09596913225515101</v>
      </c>
      <c r="F2172">
        <v>0.184525746058974</v>
      </c>
      <c r="G2172">
        <v>0.178573793286102</v>
      </c>
      <c r="H2172">
        <v>0.67475119177051</v>
      </c>
      <c r="I2172">
        <v>-0.029696613629067</v>
      </c>
    </row>
    <row r="2173" spans="1:9">
      <c r="A2173" s="1" t="s">
        <v>2185</v>
      </c>
      <c r="B2173">
        <f>HYPERLINK("https://www.suredividend.com/sure-analysis-research-database/","Potbelly Corp")</f>
        <v>0</v>
      </c>
      <c r="C2173">
        <v>-0.030075187969924</v>
      </c>
      <c r="D2173">
        <v>0.12565445026178</v>
      </c>
      <c r="E2173">
        <v>0.022187004754358</v>
      </c>
      <c r="F2173">
        <v>0.155913978494623</v>
      </c>
      <c r="G2173">
        <v>0.048780487804878</v>
      </c>
      <c r="H2173">
        <v>0.9196428571428571</v>
      </c>
      <c r="I2173">
        <v>-0.527472527472527</v>
      </c>
    </row>
    <row r="2174" spans="1:9">
      <c r="A2174" s="1" t="s">
        <v>2186</v>
      </c>
      <c r="B2174">
        <f>HYPERLINK("https://www.suredividend.com/sure-analysis-research-database/","Puma Biotechnology Inc")</f>
        <v>0</v>
      </c>
      <c r="C2174">
        <v>-0.04713804713804701</v>
      </c>
      <c r="D2174">
        <v>0.017985611510791</v>
      </c>
      <c r="E2174">
        <v>-0.532231404958677</v>
      </c>
      <c r="F2174">
        <v>-0.069078947368421</v>
      </c>
      <c r="G2174">
        <v>-0.7189672293942401</v>
      </c>
      <c r="H2174">
        <v>-0.6709302325581391</v>
      </c>
      <c r="I2174">
        <v>-0.9206171107994391</v>
      </c>
    </row>
    <row r="2175" spans="1:9">
      <c r="A2175" s="1" t="s">
        <v>2187</v>
      </c>
      <c r="B2175">
        <f>HYPERLINK("https://www.suredividend.com/sure-analysis-PCAR/","Paccar Inc.")</f>
        <v>0</v>
      </c>
      <c r="C2175">
        <v>-0.07308160779537101</v>
      </c>
      <c r="D2175">
        <v>-0.129407433369144</v>
      </c>
      <c r="E2175">
        <v>-0.0126348766</v>
      </c>
      <c r="F2175">
        <v>-0.048129120585472</v>
      </c>
      <c r="G2175">
        <v>-0.089125545289644</v>
      </c>
      <c r="H2175">
        <v>0.336889428336434</v>
      </c>
      <c r="I2175">
        <v>0.5403214231826561</v>
      </c>
    </row>
    <row r="2176" spans="1:9">
      <c r="A2176" s="1" t="s">
        <v>2188</v>
      </c>
      <c r="B2176">
        <f>HYPERLINK("https://www.suredividend.com/sure-analysis-research-database/","PotlatchDeltic Corp")</f>
        <v>0</v>
      </c>
      <c r="C2176">
        <v>-0.05143475906876</v>
      </c>
      <c r="D2176">
        <v>-0.072125637295747</v>
      </c>
      <c r="E2176">
        <v>0.036514660292969</v>
      </c>
      <c r="F2176">
        <v>-0.120199260806684</v>
      </c>
      <c r="G2176">
        <v>-0.054919328302253</v>
      </c>
      <c r="H2176">
        <v>0.973239626976618</v>
      </c>
      <c r="I2176">
        <v>0.5586957488767961</v>
      </c>
    </row>
    <row r="2177" spans="1:9">
      <c r="A2177" s="1" t="s">
        <v>2189</v>
      </c>
      <c r="B2177">
        <f>HYPERLINK("https://www.suredividend.com/sure-analysis-research-database/","Pacira BioSciences Inc")</f>
        <v>0</v>
      </c>
      <c r="C2177">
        <v>0.046378029984587</v>
      </c>
      <c r="D2177">
        <v>0.16541822721598</v>
      </c>
      <c r="E2177">
        <v>0.40375939849624</v>
      </c>
      <c r="F2177">
        <v>0.2411500747881</v>
      </c>
      <c r="G2177">
        <v>0.184081179641668</v>
      </c>
      <c r="H2177">
        <v>1.215366360130525</v>
      </c>
      <c r="I2177">
        <v>0.627015250544662</v>
      </c>
    </row>
    <row r="2178" spans="1:9">
      <c r="A2178" s="1" t="s">
        <v>2190</v>
      </c>
      <c r="B2178">
        <f>HYPERLINK("https://www.suredividend.com/sure-analysis-research-database/","PCSB Financial Corp")</f>
        <v>0</v>
      </c>
      <c r="C2178">
        <v>-0.018324607329842</v>
      </c>
      <c r="D2178">
        <v>-0.012076378351036</v>
      </c>
      <c r="E2178">
        <v>0.031704981897016</v>
      </c>
      <c r="F2178">
        <v>-0.012076378351036</v>
      </c>
      <c r="G2178">
        <v>0.112799268816693</v>
      </c>
      <c r="H2178">
        <v>0.541015673156739</v>
      </c>
      <c r="I2178">
        <v>0.184003637259173</v>
      </c>
    </row>
    <row r="2179" spans="1:9">
      <c r="A2179" s="1" t="s">
        <v>2191</v>
      </c>
      <c r="B2179">
        <f>HYPERLINK("https://www.suredividend.com/sure-analysis-research-database/","PCTEL Inc")</f>
        <v>0</v>
      </c>
      <c r="C2179">
        <v>-0.03539823008849501</v>
      </c>
      <c r="D2179">
        <v>-0.202983328458613</v>
      </c>
      <c r="E2179">
        <v>-0.219686800894854</v>
      </c>
      <c r="F2179">
        <v>-0.222663980459626</v>
      </c>
      <c r="G2179">
        <v>-0.3119447030788891</v>
      </c>
      <c r="H2179">
        <v>-0.194948114775287</v>
      </c>
      <c r="I2179">
        <v>-0.249065637863626</v>
      </c>
    </row>
    <row r="2180" spans="1:9">
      <c r="A2180" s="1" t="s">
        <v>2192</v>
      </c>
      <c r="B2180">
        <f>HYPERLINK("https://www.suredividend.com/sure-analysis-research-database/","Paylocity Holding Corp")</f>
        <v>0</v>
      </c>
      <c r="C2180">
        <v>0.007999597504528</v>
      </c>
      <c r="D2180">
        <v>0.020267861689667</v>
      </c>
      <c r="E2180">
        <v>-0.292624368887476</v>
      </c>
      <c r="F2180">
        <v>-0.151634485094851</v>
      </c>
      <c r="G2180">
        <v>0.03193407159412801</v>
      </c>
      <c r="H2180">
        <v>1.293646250715512</v>
      </c>
      <c r="I2180">
        <v>4.209308372334893</v>
      </c>
    </row>
    <row r="2181" spans="1:9">
      <c r="A2181" s="1" t="s">
        <v>2193</v>
      </c>
      <c r="B2181">
        <f>HYPERLINK("https://www.suredividend.com/sure-analysis-research-database/","Park City Group, Inc.")</f>
        <v>0</v>
      </c>
      <c r="C2181">
        <v>-0.131487889273356</v>
      </c>
      <c r="D2181">
        <v>-0.123909249563699</v>
      </c>
      <c r="E2181">
        <v>-0.106761565836299</v>
      </c>
      <c r="F2181">
        <v>-0.134482758620689</v>
      </c>
      <c r="G2181">
        <v>-0.140410958904109</v>
      </c>
      <c r="H2181">
        <v>0.367847411444141</v>
      </c>
      <c r="I2181">
        <v>-0.591869918699187</v>
      </c>
    </row>
    <row r="2182" spans="1:9">
      <c r="A2182" s="1" t="s">
        <v>2194</v>
      </c>
      <c r="B2182">
        <f>HYPERLINK("https://www.suredividend.com/sure-analysis-research-database/","Pure Cycle Corp.")</f>
        <v>0</v>
      </c>
      <c r="C2182">
        <v>-0.029264214046822</v>
      </c>
      <c r="D2182">
        <v>-0.14190687361419</v>
      </c>
      <c r="E2182">
        <v>-0.2391874180865</v>
      </c>
      <c r="F2182">
        <v>-0.204794520547945</v>
      </c>
      <c r="G2182">
        <v>-0.293795620437956</v>
      </c>
      <c r="H2182">
        <v>0.150644202180376</v>
      </c>
      <c r="I2182">
        <v>1.054867256637167</v>
      </c>
    </row>
    <row r="2183" spans="1:9">
      <c r="A2183" s="1" t="s">
        <v>2195</v>
      </c>
      <c r="B2183">
        <f>HYPERLINK("https://www.suredividend.com/sure-analysis-research-database/","Pagerduty Inc")</f>
        <v>0</v>
      </c>
      <c r="C2183">
        <v>0.214897579143389</v>
      </c>
      <c r="D2183">
        <v>0.05225806451612901</v>
      </c>
      <c r="E2183">
        <v>-0.21055179090029</v>
      </c>
      <c r="F2183">
        <v>-0.061294964028777</v>
      </c>
      <c r="G2183">
        <v>-0.228476821192053</v>
      </c>
      <c r="H2183">
        <v>0.654158215010141</v>
      </c>
      <c r="I2183">
        <v>-0.14718954248366</v>
      </c>
    </row>
    <row r="2184" spans="1:9">
      <c r="A2184" s="1" t="s">
        <v>2196</v>
      </c>
      <c r="B2184">
        <f>HYPERLINK("https://www.suredividend.com/sure-analysis-research-database/","PDC Energy Inc")</f>
        <v>0</v>
      </c>
      <c r="C2184">
        <v>0.174864212432106</v>
      </c>
      <c r="D2184">
        <v>0.383715971284384</v>
      </c>
      <c r="E2184">
        <v>0.541381958685342</v>
      </c>
      <c r="F2184">
        <v>0.602138104428048</v>
      </c>
      <c r="G2184">
        <v>1.24554179066602</v>
      </c>
      <c r="H2184">
        <v>7.89566697510767</v>
      </c>
      <c r="I2184">
        <v>0.238359074832701</v>
      </c>
    </row>
    <row r="2185" spans="1:9">
      <c r="A2185" s="1" t="s">
        <v>2197</v>
      </c>
      <c r="B2185">
        <f>HYPERLINK("https://www.suredividend.com/sure-analysis-PDCO/","Patterson Companies Inc.")</f>
        <v>0</v>
      </c>
      <c r="C2185">
        <v>0.145240431795878</v>
      </c>
      <c r="D2185">
        <v>0.226235341916863</v>
      </c>
      <c r="E2185">
        <v>0.10746980634304</v>
      </c>
      <c r="F2185">
        <v>0.204089985176727</v>
      </c>
      <c r="G2185">
        <v>0.112152353118696</v>
      </c>
      <c r="H2185">
        <v>1.487406660082842</v>
      </c>
      <c r="I2185">
        <v>-0.019410133602218</v>
      </c>
    </row>
    <row r="2186" spans="1:9">
      <c r="A2186" s="1" t="s">
        <v>2198</v>
      </c>
      <c r="B2186">
        <f>HYPERLINK("https://www.suredividend.com/sure-analysis-research-database/","Pro-Dex Inc. (co)")</f>
        <v>0</v>
      </c>
      <c r="C2186">
        <v>-0.014829142488717</v>
      </c>
      <c r="D2186">
        <v>-0.391961798647035</v>
      </c>
      <c r="E2186">
        <v>-0.4055631200155611</v>
      </c>
      <c r="F2186">
        <v>-0.341663076260232</v>
      </c>
      <c r="G2186">
        <v>-0.412985017287744</v>
      </c>
      <c r="H2186">
        <v>-0.156732891832229</v>
      </c>
      <c r="I2186">
        <v>2.395555555555555</v>
      </c>
    </row>
    <row r="2187" spans="1:9">
      <c r="A2187" s="1" t="s">
        <v>2199</v>
      </c>
      <c r="B2187">
        <f>HYPERLINK("https://www.suredividend.com/sure-analysis-research-database/","PDF Solutions Inc.")</f>
        <v>0</v>
      </c>
      <c r="C2187">
        <v>-0.121621621621621</v>
      </c>
      <c r="D2187">
        <v>-0.167556029882604</v>
      </c>
      <c r="E2187">
        <v>0.019607843137254</v>
      </c>
      <c r="F2187">
        <v>-0.263919471531928</v>
      </c>
      <c r="G2187">
        <v>0.337907375643224</v>
      </c>
      <c r="H2187">
        <v>0.623872310895211</v>
      </c>
      <c r="I2187">
        <v>0.061705989110707</v>
      </c>
    </row>
    <row r="2188" spans="1:9">
      <c r="A2188" s="1" t="s">
        <v>2200</v>
      </c>
      <c r="B2188">
        <f>HYPERLINK("https://www.suredividend.com/sure-analysis-research-database/","Ponce Financial Group Inc")</f>
        <v>0</v>
      </c>
      <c r="C2188">
        <v>-0.014272121788772</v>
      </c>
      <c r="D2188">
        <v>-0.039851714550509</v>
      </c>
      <c r="E2188">
        <v>-0.039851714550509</v>
      </c>
      <c r="F2188">
        <v>-0.039851714550509</v>
      </c>
      <c r="G2188">
        <v>-0.039851714550509</v>
      </c>
      <c r="H2188">
        <v>-0.039851714550509</v>
      </c>
      <c r="I2188">
        <v>-0.039851714550509</v>
      </c>
    </row>
    <row r="2189" spans="1:9">
      <c r="A2189" s="1" t="s">
        <v>2201</v>
      </c>
      <c r="B2189">
        <f>HYPERLINK("https://www.suredividend.com/sure-analysis-research-database/","PDL Biopharma Inc")</f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2202</v>
      </c>
      <c r="B2190">
        <f>HYPERLINK("https://www.suredividend.com/sure-analysis-PDM/","Piedmont Office Realty Trust Inc")</f>
        <v>0</v>
      </c>
      <c r="C2190">
        <v>-0.004229607250755</v>
      </c>
      <c r="D2190">
        <v>-0.139564874615597</v>
      </c>
      <c r="E2190">
        <v>-0.08557223868340101</v>
      </c>
      <c r="F2190">
        <v>-0.091815872281096</v>
      </c>
      <c r="G2190">
        <v>-0.045589325426241</v>
      </c>
      <c r="H2190">
        <v>0.059820705089454</v>
      </c>
      <c r="I2190">
        <v>-0.04845489399048401</v>
      </c>
    </row>
    <row r="2191" spans="1:9">
      <c r="A2191" s="1" t="s">
        <v>2203</v>
      </c>
      <c r="B2191">
        <f>HYPERLINK("https://www.suredividend.com/sure-analysis-research-database/","PDS Biotechnology Corporation")</f>
        <v>0</v>
      </c>
      <c r="C2191">
        <v>-0.036144578313253</v>
      </c>
      <c r="D2191">
        <v>-0.178885630498533</v>
      </c>
      <c r="E2191">
        <v>-0.545823195458232</v>
      </c>
      <c r="F2191">
        <v>-0.308641975308642</v>
      </c>
      <c r="G2191">
        <v>0.038961038961038</v>
      </c>
      <c r="H2191">
        <v>4.09090909090909</v>
      </c>
      <c r="I2191">
        <v>-0.365079365079365</v>
      </c>
    </row>
    <row r="2192" spans="1:9">
      <c r="A2192" s="1" t="s">
        <v>2204</v>
      </c>
      <c r="B2192">
        <f>HYPERLINK("https://www.suredividend.com/sure-analysis-research-database/","Parsley Energy Inc")</f>
        <v>0</v>
      </c>
      <c r="C2192">
        <v>0.178148921363952</v>
      </c>
      <c r="D2192">
        <v>0.6788140215181711</v>
      </c>
      <c r="E2192">
        <v>0.6351484479128431</v>
      </c>
      <c r="F2192">
        <v>0.19225352112676</v>
      </c>
      <c r="G2192">
        <v>-0.050055829559928</v>
      </c>
      <c r="H2192">
        <v>-0.07683583163841101</v>
      </c>
      <c r="I2192">
        <v>0.056982138063219</v>
      </c>
    </row>
    <row r="2193" spans="1:9">
      <c r="A2193" s="1" t="s">
        <v>2205</v>
      </c>
      <c r="B2193">
        <f>HYPERLINK("https://www.suredividend.com/sure-analysis-research-database/","Pebblebrook Hotel Trust")</f>
        <v>0</v>
      </c>
      <c r="C2193">
        <v>0.004139582051836</v>
      </c>
      <c r="D2193">
        <v>0.008751419600507</v>
      </c>
      <c r="E2193">
        <v>0.066628993236441</v>
      </c>
      <c r="F2193">
        <v>0.08045257367738401</v>
      </c>
      <c r="G2193">
        <v>-0.007737674754809001</v>
      </c>
      <c r="H2193">
        <v>1.297538894594697</v>
      </c>
      <c r="I2193">
        <v>-0.065557919164571</v>
      </c>
    </row>
    <row r="2194" spans="1:9">
      <c r="A2194" s="1" t="s">
        <v>2206</v>
      </c>
      <c r="B2194">
        <f>HYPERLINK("https://www.suredividend.com/sure-analysis-research-database/","Peoples Bancorp Of North Carolina Inc")</f>
        <v>0</v>
      </c>
      <c r="C2194">
        <v>0.004609929078014</v>
      </c>
      <c r="D2194">
        <v>0.028118104749738</v>
      </c>
      <c r="E2194">
        <v>0.02042286496416</v>
      </c>
      <c r="F2194">
        <v>0.038923890482092</v>
      </c>
      <c r="G2194">
        <v>0.229397929160988</v>
      </c>
      <c r="H2194">
        <v>0.8235066941297631</v>
      </c>
      <c r="I2194">
        <v>0.216704890011252</v>
      </c>
    </row>
    <row r="2195" spans="1:9">
      <c r="A2195" s="1" t="s">
        <v>2207</v>
      </c>
      <c r="B2195">
        <f>HYPERLINK("https://www.suredividend.com/sure-analysis-research-database/","Peoples Bancorp, Inc. (Marietta, OH)")</f>
        <v>0</v>
      </c>
      <c r="C2195">
        <v>-0.09176542084472701</v>
      </c>
      <c r="D2195">
        <v>-0.100595490640355</v>
      </c>
      <c r="E2195">
        <v>-0.056800252445566</v>
      </c>
      <c r="F2195">
        <v>-0.049986174104574</v>
      </c>
      <c r="G2195">
        <v>-0.079009804586155</v>
      </c>
      <c r="H2195">
        <v>0.5969268907742611</v>
      </c>
      <c r="I2195">
        <v>0.179357883232127</v>
      </c>
    </row>
    <row r="2196" spans="1:9">
      <c r="A2196" s="1" t="s">
        <v>2208</v>
      </c>
      <c r="B2196">
        <f>HYPERLINK("https://www.suredividend.com/sure-analysis-research-database/","PEDEVCO Corp")</f>
        <v>0</v>
      </c>
      <c r="C2196">
        <v>-0.007518796992481</v>
      </c>
      <c r="D2196">
        <v>0.137931034482758</v>
      </c>
      <c r="E2196">
        <v>-0.25</v>
      </c>
      <c r="F2196">
        <v>0.245283018867924</v>
      </c>
      <c r="G2196">
        <v>0.128205128205128</v>
      </c>
      <c r="H2196">
        <v>0.359003397508493</v>
      </c>
      <c r="I2196">
        <v>0.2</v>
      </c>
    </row>
    <row r="2197" spans="1:9">
      <c r="A2197" s="1" t="s">
        <v>2209</v>
      </c>
      <c r="B2197">
        <f>HYPERLINK("https://www.suredividend.com/sure-analysis-PEG/","Public Service Enterprise Group Inc.")</f>
        <v>0</v>
      </c>
      <c r="C2197">
        <v>0.075173534189927</v>
      </c>
      <c r="D2197">
        <v>0.124817680650663</v>
      </c>
      <c r="E2197">
        <v>0.191083886336566</v>
      </c>
      <c r="F2197">
        <v>0.099870674547058</v>
      </c>
      <c r="G2197">
        <v>0.177572421512695</v>
      </c>
      <c r="H2197">
        <v>0.4689265536723161</v>
      </c>
      <c r="I2197">
        <v>0.845710750758059</v>
      </c>
    </row>
    <row r="2198" spans="1:9">
      <c r="A2198" s="1" t="s">
        <v>2210</v>
      </c>
      <c r="B2198">
        <f>HYPERLINK("https://www.suredividend.com/sure-analysis-research-database/","Pegasystems Inc.")</f>
        <v>0</v>
      </c>
      <c r="C2198">
        <v>-0.017430682114891</v>
      </c>
      <c r="D2198">
        <v>-0.251103092679886</v>
      </c>
      <c r="E2198">
        <v>-0.4236893011643</v>
      </c>
      <c r="F2198">
        <v>-0.333413849711706</v>
      </c>
      <c r="G2198">
        <v>-0.4257400408170811</v>
      </c>
      <c r="H2198">
        <v>-0.032910380346184</v>
      </c>
      <c r="I2198">
        <v>0.7228024499818491</v>
      </c>
    </row>
    <row r="2199" spans="1:9">
      <c r="A2199" s="1" t="s">
        <v>2211</v>
      </c>
      <c r="B2199">
        <f>HYPERLINK("https://www.suredividend.com/sure-analysis-research-database/","Pennsylvania Real Estate Investment Trust")</f>
        <v>0</v>
      </c>
      <c r="C2199">
        <v>-0.313333333333333</v>
      </c>
      <c r="D2199">
        <v>-0.494716981132075</v>
      </c>
      <c r="E2199">
        <v>-0.707322404371584</v>
      </c>
      <c r="F2199">
        <v>-0.474901960784313</v>
      </c>
      <c r="G2199">
        <v>-0.7024444444444441</v>
      </c>
      <c r="H2199">
        <v>-0.402031930333817</v>
      </c>
      <c r="I2199">
        <v>-0.947195109928029</v>
      </c>
    </row>
    <row r="2200" spans="1:9">
      <c r="A2200" s="1" t="s">
        <v>2212</v>
      </c>
      <c r="B2200">
        <f>HYPERLINK("https://www.suredividend.com/sure-analysis-research-database/","Penumbra Inc")</f>
        <v>0</v>
      </c>
      <c r="C2200">
        <v>-0.018319019014049</v>
      </c>
      <c r="D2200">
        <v>-0.167690883070965</v>
      </c>
      <c r="E2200">
        <v>-0.261475256769374</v>
      </c>
      <c r="F2200">
        <v>-0.311777808715021</v>
      </c>
      <c r="G2200">
        <v>-0.311945439994432</v>
      </c>
      <c r="H2200">
        <v>0.150119234572209</v>
      </c>
      <c r="I2200">
        <v>1.427747084100675</v>
      </c>
    </row>
    <row r="2201" spans="1:9">
      <c r="A2201" s="1" t="s">
        <v>2213</v>
      </c>
      <c r="B2201">
        <f>HYPERLINK("https://www.suredividend.com/sure-analysis-research-database/","Penn National Gaming, Inc.")</f>
        <v>0</v>
      </c>
      <c r="C2201">
        <v>-0.167522894795622</v>
      </c>
      <c r="D2201">
        <v>-0.161529808773903</v>
      </c>
      <c r="E2201">
        <v>-0.5203346203346201</v>
      </c>
      <c r="F2201">
        <v>-0.281195756991321</v>
      </c>
      <c r="G2201">
        <v>-0.627076245747448</v>
      </c>
      <c r="H2201">
        <v>1.785500747384155</v>
      </c>
      <c r="I2201">
        <v>1.03438864628821</v>
      </c>
    </row>
    <row r="2202" spans="1:9">
      <c r="A2202" s="1" t="s">
        <v>2214</v>
      </c>
      <c r="B2202">
        <f>HYPERLINK("https://www.suredividend.com/sure-analysis-PEP/","PepsiCo Inc")</f>
        <v>0</v>
      </c>
      <c r="C2202">
        <v>0.07639323731997501</v>
      </c>
      <c r="D2202">
        <v>-0.014856242940232</v>
      </c>
      <c r="E2202">
        <v>0.09690753752234101</v>
      </c>
      <c r="F2202">
        <v>-0.003911342894393001</v>
      </c>
      <c r="G2202">
        <v>0.225549608023749</v>
      </c>
      <c r="H2202">
        <v>0.342110009298737</v>
      </c>
      <c r="I2202">
        <v>0.7526634060398061</v>
      </c>
    </row>
    <row r="2203" spans="1:9">
      <c r="A2203" s="1" t="s">
        <v>2215</v>
      </c>
      <c r="B2203">
        <f>HYPERLINK("https://www.suredividend.com/sure-analysis-research-database/","Perma-Fix Environmental Services, Inc.")</f>
        <v>0</v>
      </c>
      <c r="C2203">
        <v>0.014760147601476</v>
      </c>
      <c r="D2203">
        <v>-0.143302180685358</v>
      </c>
      <c r="E2203">
        <v>-0.204052098408104</v>
      </c>
      <c r="F2203">
        <v>-0.131121642969984</v>
      </c>
      <c r="G2203">
        <v>-0.228611500701262</v>
      </c>
      <c r="H2203">
        <v>-0.04513888888888801</v>
      </c>
      <c r="I2203">
        <v>0.527777777777777</v>
      </c>
    </row>
    <row r="2204" spans="1:9">
      <c r="A2204" s="1" t="s">
        <v>2216</v>
      </c>
      <c r="B2204">
        <f>HYPERLINK("https://www.suredividend.com/sure-analysis-research-database/","PetIQ Inc")</f>
        <v>0</v>
      </c>
      <c r="C2204">
        <v>-0.039363484087102</v>
      </c>
      <c r="D2204">
        <v>0.116845180136319</v>
      </c>
      <c r="E2204">
        <v>-0.096850393700787</v>
      </c>
      <c r="F2204">
        <v>0.010127697049757</v>
      </c>
      <c r="G2204">
        <v>-0.38</v>
      </c>
      <c r="H2204">
        <v>0.036601897876186</v>
      </c>
      <c r="I2204">
        <v>-0.016295025728988</v>
      </c>
    </row>
    <row r="2205" spans="1:9">
      <c r="A2205" s="1" t="s">
        <v>2217</v>
      </c>
      <c r="B2205">
        <f>HYPERLINK("https://www.suredividend.com/sure-analysis-PETS/","Petmed Express, Inc.")</f>
        <v>0</v>
      </c>
      <c r="C2205">
        <v>-0.107861060329067</v>
      </c>
      <c r="D2205">
        <v>0.029826997505623</v>
      </c>
      <c r="E2205">
        <v>-0.09198490610975001</v>
      </c>
      <c r="F2205">
        <v>-0.021950007215122</v>
      </c>
      <c r="G2205">
        <v>-0.198578462124621</v>
      </c>
      <c r="H2205">
        <v>-0.184603714063246</v>
      </c>
      <c r="I2205">
        <v>0.367812676932736</v>
      </c>
    </row>
    <row r="2206" spans="1:9">
      <c r="A2206" s="1" t="s">
        <v>2218</v>
      </c>
      <c r="B2206">
        <f>HYPERLINK("https://www.suredividend.com/sure-analysis-research-database/","Preferred Bank (Los Angeles, CA)")</f>
        <v>0</v>
      </c>
      <c r="C2206">
        <v>-0.085109597053138</v>
      </c>
      <c r="D2206">
        <v>-0.120662568221246</v>
      </c>
      <c r="E2206">
        <v>0.05254401939319001</v>
      </c>
      <c r="F2206">
        <v>-0.001410651901561</v>
      </c>
      <c r="G2206">
        <v>0.057987762817239</v>
      </c>
      <c r="H2206">
        <v>1.42852540595376</v>
      </c>
      <c r="I2206">
        <v>0.603475781541699</v>
      </c>
    </row>
    <row r="2207" spans="1:9">
      <c r="A2207" s="1" t="s">
        <v>2219</v>
      </c>
      <c r="B2207">
        <f>HYPERLINK("https://www.suredividend.com/sure-analysis-research-database/","Premier Financial Bancorp, Inc.")</f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2220</v>
      </c>
      <c r="B2208">
        <f>HYPERLINK("https://www.suredividend.com/sure-analysis-PFE/","Pfizer Inc.")</f>
        <v>0</v>
      </c>
      <c r="C2208">
        <v>0.003779289493575</v>
      </c>
      <c r="D2208">
        <v>-0.025953784147544</v>
      </c>
      <c r="E2208">
        <v>0.301367513829479</v>
      </c>
      <c r="F2208">
        <v>-0.093583416944802</v>
      </c>
      <c r="G2208">
        <v>0.4264844891295</v>
      </c>
      <c r="H2208">
        <v>0.5971232538980991</v>
      </c>
      <c r="I2208">
        <v>0.8883955392343321</v>
      </c>
    </row>
    <row r="2209" spans="1:9">
      <c r="A2209" s="1" t="s">
        <v>2221</v>
      </c>
      <c r="B2209">
        <f>HYPERLINK("https://www.suredividend.com/sure-analysis-PFG/","Principal Financial Group Inc")</f>
        <v>0</v>
      </c>
      <c r="C2209">
        <v>0.06311098332374901</v>
      </c>
      <c r="D2209">
        <v>-0.027770656422432</v>
      </c>
      <c r="E2209">
        <v>0.09784069062270301</v>
      </c>
      <c r="F2209">
        <v>0.032581831586531</v>
      </c>
      <c r="G2209">
        <v>0.214610807161851</v>
      </c>
      <c r="H2209">
        <v>1.812503565547117</v>
      </c>
      <c r="I2209">
        <v>0.465604376003329</v>
      </c>
    </row>
    <row r="2210" spans="1:9">
      <c r="A2210" s="1" t="s">
        <v>2222</v>
      </c>
      <c r="B2210">
        <f>HYPERLINK("https://www.suredividend.com/sure-analysis-research-database/","Performance Food Group Company")</f>
        <v>0</v>
      </c>
      <c r="C2210">
        <v>-0.024688958009331</v>
      </c>
      <c r="D2210">
        <v>0.04368629082587901</v>
      </c>
      <c r="E2210">
        <v>0.05933277027027001</v>
      </c>
      <c r="F2210">
        <v>0.09326650686424001</v>
      </c>
      <c r="G2210">
        <v>-0.12351502445842</v>
      </c>
      <c r="H2210">
        <v>1.296109839816933</v>
      </c>
      <c r="I2210">
        <v>1.13036093418259</v>
      </c>
    </row>
    <row r="2211" spans="1:9">
      <c r="A2211" s="1" t="s">
        <v>2223</v>
      </c>
      <c r="B2211">
        <f>HYPERLINK("https://www.suredividend.com/sure-analysis-research-database/","Profire Energy Inc")</f>
        <v>0</v>
      </c>
      <c r="C2211">
        <v>0.163793103448276</v>
      </c>
      <c r="D2211">
        <v>0.144067796610169</v>
      </c>
      <c r="E2211">
        <v>0.134453781512605</v>
      </c>
      <c r="F2211">
        <v>0.273584905660377</v>
      </c>
      <c r="G2211">
        <v>0.216216216216216</v>
      </c>
      <c r="H2211">
        <v>0.928571428571428</v>
      </c>
      <c r="I2211">
        <v>0.015037593984962</v>
      </c>
    </row>
    <row r="2212" spans="1:9">
      <c r="A2212" s="1" t="s">
        <v>2224</v>
      </c>
      <c r="B2212">
        <f>HYPERLINK("https://www.suredividend.com/sure-analysis-research-database/","P &amp; F Industries, Inc.")</f>
        <v>0</v>
      </c>
      <c r="C2212">
        <v>-0.010465116279069</v>
      </c>
      <c r="D2212">
        <v>-0.034521880064829</v>
      </c>
      <c r="E2212">
        <v>-0.108233532934131</v>
      </c>
      <c r="F2212">
        <v>-0.023442622950819</v>
      </c>
      <c r="G2212">
        <v>-0.05294117647058801</v>
      </c>
      <c r="H2212">
        <v>0.259408033826638</v>
      </c>
      <c r="I2212">
        <v>-0.046864749835997</v>
      </c>
    </row>
    <row r="2213" spans="1:9">
      <c r="A2213" s="1" t="s">
        <v>2225</v>
      </c>
      <c r="B2213">
        <f>HYPERLINK("https://www.suredividend.com/sure-analysis-research-database/","Peoples Financial Services Corp")</f>
        <v>0</v>
      </c>
      <c r="C2213">
        <v>-0.033062880324543</v>
      </c>
      <c r="D2213">
        <v>-0.09129034102823101</v>
      </c>
      <c r="E2213">
        <v>0.05882274547607001</v>
      </c>
      <c r="F2213">
        <v>-0.08784055292132101</v>
      </c>
      <c r="G2213">
        <v>0.186570619246986</v>
      </c>
      <c r="H2213">
        <v>0.5796484809925241</v>
      </c>
      <c r="I2213">
        <v>0.375805222691695</v>
      </c>
    </row>
    <row r="2214" spans="1:9">
      <c r="A2214" s="1" t="s">
        <v>2226</v>
      </c>
      <c r="B2214">
        <f>HYPERLINK("https://www.suredividend.com/sure-analysis-research-database/","Performant Financial Corp")</f>
        <v>0</v>
      </c>
      <c r="C2214">
        <v>0.179487179487179</v>
      </c>
      <c r="D2214">
        <v>0.283720930232558</v>
      </c>
      <c r="E2214">
        <v>-0.183431952662721</v>
      </c>
      <c r="F2214">
        <v>0.145228215767634</v>
      </c>
      <c r="G2214">
        <v>0.174468085106382</v>
      </c>
      <c r="H2214">
        <v>3</v>
      </c>
      <c r="I2214">
        <v>0.221238938053097</v>
      </c>
    </row>
    <row r="2215" spans="1:9">
      <c r="A2215" s="1" t="s">
        <v>2227</v>
      </c>
      <c r="B2215">
        <f>HYPERLINK("https://www.suredividend.com/sure-analysis-research-database/","Proofpoint Inc")</f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2228</v>
      </c>
      <c r="B2216">
        <f>HYPERLINK("https://www.suredividend.com/sure-analysis-research-database/","Provident Financial Services Inc")</f>
        <v>0</v>
      </c>
      <c r="C2216">
        <v>-0.06960167714884601</v>
      </c>
      <c r="D2216">
        <v>-0.137924336252243</v>
      </c>
      <c r="E2216">
        <v>-0.08393984304368</v>
      </c>
      <c r="F2216">
        <v>-0.07456835432479701</v>
      </c>
      <c r="G2216">
        <v>-0.00883959638912</v>
      </c>
      <c r="H2216">
        <v>1.00632911392405</v>
      </c>
      <c r="I2216">
        <v>0.117946082654454</v>
      </c>
    </row>
    <row r="2217" spans="1:9">
      <c r="A2217" s="1" t="s">
        <v>2229</v>
      </c>
      <c r="B2217">
        <f>HYPERLINK("https://www.suredividend.com/sure-analysis-research-database/","PFSWEB Inc")</f>
        <v>0</v>
      </c>
      <c r="C2217">
        <v>-0.032340425531914</v>
      </c>
      <c r="D2217">
        <v>-0.05486284289276801</v>
      </c>
      <c r="E2217">
        <v>-0.11723602484472</v>
      </c>
      <c r="F2217">
        <v>-0.11723602484472</v>
      </c>
      <c r="G2217">
        <v>0.5682758620689651</v>
      </c>
      <c r="H2217">
        <v>2.394029850746268</v>
      </c>
      <c r="I2217">
        <v>0.7465437788018431</v>
      </c>
    </row>
    <row r="2218" spans="1:9">
      <c r="A2218" s="1" t="s">
        <v>2230</v>
      </c>
      <c r="B2218">
        <f>HYPERLINK("https://www.suredividend.com/sure-analysis-PG/","Procter &amp; Gamble Co.")</f>
        <v>0</v>
      </c>
      <c r="C2218">
        <v>0.05882745726495701</v>
      </c>
      <c r="D2218">
        <v>-0.002403241230056</v>
      </c>
      <c r="E2218">
        <v>0.110746862912388</v>
      </c>
      <c r="F2218">
        <v>-0.025394325935131</v>
      </c>
      <c r="G2218">
        <v>0.183645287103215</v>
      </c>
      <c r="H2218">
        <v>0.370214575066708</v>
      </c>
      <c r="I2218">
        <v>1.025733988436057</v>
      </c>
    </row>
    <row r="2219" spans="1:9">
      <c r="A2219" s="1" t="s">
        <v>2231</v>
      </c>
      <c r="B2219">
        <f>HYPERLINK("https://www.suredividend.com/sure-analysis-research-database/","Peapack-Gladstone Financial Corp.")</f>
        <v>0</v>
      </c>
      <c r="C2219">
        <v>-0.126059322033898</v>
      </c>
      <c r="D2219">
        <v>-0.11364899963203</v>
      </c>
      <c r="E2219">
        <v>-0.006030084156119</v>
      </c>
      <c r="F2219">
        <v>-0.066575775661387</v>
      </c>
      <c r="G2219">
        <v>0.044703826465197</v>
      </c>
      <c r="H2219">
        <v>1.284812229976736</v>
      </c>
      <c r="I2219">
        <v>0.159558805443601</v>
      </c>
    </row>
    <row r="2220" spans="1:9">
      <c r="A2220" s="1" t="s">
        <v>2232</v>
      </c>
      <c r="B2220">
        <f>HYPERLINK("https://www.suredividend.com/sure-analysis-PGR/","Progressive Corp.")</f>
        <v>0</v>
      </c>
      <c r="C2220">
        <v>0.057171766130332</v>
      </c>
      <c r="D2220">
        <v>0.022398656135349</v>
      </c>
      <c r="E2220">
        <v>0.249062729443275</v>
      </c>
      <c r="F2220">
        <v>0.094177756306088</v>
      </c>
      <c r="G2220">
        <v>0.155345598896903</v>
      </c>
      <c r="H2220">
        <v>0.5146806889358451</v>
      </c>
      <c r="I2220">
        <v>2.255850424297339</v>
      </c>
    </row>
    <row r="2221" spans="1:9">
      <c r="A2221" s="1" t="s">
        <v>2233</v>
      </c>
      <c r="B2221">
        <f>HYPERLINK("https://www.suredividend.com/sure-analysis-PGRE/","Paramount Group Inc")</f>
        <v>0</v>
      </c>
      <c r="C2221">
        <v>-0.010138407972606</v>
      </c>
      <c r="D2221">
        <v>0.097522067425289</v>
      </c>
      <c r="E2221">
        <v>0.123289758688624</v>
      </c>
      <c r="F2221">
        <v>0.246226301171356</v>
      </c>
      <c r="G2221">
        <v>-0.003283755070504</v>
      </c>
      <c r="H2221">
        <v>0.233726643474518</v>
      </c>
      <c r="I2221">
        <v>-0.280480237608851</v>
      </c>
    </row>
    <row r="2222" spans="1:9">
      <c r="A2222" s="1" t="s">
        <v>2234</v>
      </c>
      <c r="B2222">
        <f>HYPERLINK("https://www.suredividend.com/sure-analysis-research-database/","PGT Innovations Inc")</f>
        <v>0</v>
      </c>
      <c r="C2222">
        <v>-0.200928074245939</v>
      </c>
      <c r="D2222">
        <v>-0.213698630136986</v>
      </c>
      <c r="E2222">
        <v>-0.149629629629629</v>
      </c>
      <c r="F2222">
        <v>-0.234326367274344</v>
      </c>
      <c r="G2222">
        <v>-0.3545727136431781</v>
      </c>
      <c r="H2222">
        <v>1.006993006993006</v>
      </c>
      <c r="I2222">
        <v>0.6718446601941741</v>
      </c>
    </row>
    <row r="2223" spans="1:9">
      <c r="A2223" s="1" t="s">
        <v>2235</v>
      </c>
      <c r="B2223">
        <f>HYPERLINK("https://www.suredividend.com/sure-analysis-PH/","Parker-Hannifin Corp.")</f>
        <v>0</v>
      </c>
      <c r="C2223">
        <v>-0.042111153859606</v>
      </c>
      <c r="D2223">
        <v>-0.159542918028198</v>
      </c>
      <c r="E2223">
        <v>-0.07490509053850801</v>
      </c>
      <c r="F2223">
        <v>-0.136267402302214</v>
      </c>
      <c r="G2223">
        <v>-0.13588532235576</v>
      </c>
      <c r="H2223">
        <v>1.240322366903402</v>
      </c>
      <c r="I2223">
        <v>0.9375021665755231</v>
      </c>
    </row>
    <row r="2224" spans="1:9">
      <c r="A2224" s="1" t="s">
        <v>2236</v>
      </c>
      <c r="B2224">
        <f>HYPERLINK("https://www.suredividend.com/sure-analysis-research-database/","PhaseBio Pharmaceuticals Inc")</f>
        <v>0</v>
      </c>
      <c r="C2224">
        <v>0.27</v>
      </c>
      <c r="D2224">
        <v>-0.433035714285714</v>
      </c>
      <c r="E2224">
        <v>-0.6825</v>
      </c>
      <c r="F2224">
        <v>-0.5134099616858231</v>
      </c>
      <c r="G2224">
        <v>-0.603125</v>
      </c>
      <c r="H2224">
        <v>-0.658602150537634</v>
      </c>
      <c r="I2224">
        <v>-0.746</v>
      </c>
    </row>
    <row r="2225" spans="1:9">
      <c r="A2225" s="1" t="s">
        <v>2237</v>
      </c>
      <c r="B2225">
        <f>HYPERLINK("https://www.suredividend.com/sure-analysis-research-database/","Phio Pharmaceuticals Corp")</f>
        <v>0</v>
      </c>
      <c r="C2225">
        <v>0.429257746817198</v>
      </c>
      <c r="D2225">
        <v>0.346001583531274</v>
      </c>
      <c r="E2225">
        <v>-0.287425149700598</v>
      </c>
      <c r="F2225">
        <v>0.189999999999999</v>
      </c>
      <c r="G2225">
        <v>-0.4803493449781661</v>
      </c>
      <c r="H2225">
        <v>-0.37696335078534</v>
      </c>
      <c r="I2225">
        <v>-0.839514497639919</v>
      </c>
    </row>
    <row r="2226" spans="1:9">
      <c r="A2226" s="1" t="s">
        <v>2238</v>
      </c>
      <c r="B2226">
        <f>HYPERLINK("https://www.suredividend.com/sure-analysis-PHM/","PulteGroup Inc")</f>
        <v>0</v>
      </c>
      <c r="C2226">
        <v>-0.09440034327397501</v>
      </c>
      <c r="D2226">
        <v>-0.258242627237485</v>
      </c>
      <c r="E2226">
        <v>-0.122850766180816</v>
      </c>
      <c r="F2226">
        <v>-0.259151350061079</v>
      </c>
      <c r="G2226">
        <v>-0.212588143118307</v>
      </c>
      <c r="H2226">
        <v>0.7806144617448411</v>
      </c>
      <c r="I2226">
        <v>0.8980340665863261</v>
      </c>
    </row>
    <row r="2227" spans="1:9">
      <c r="A2227" s="1" t="s">
        <v>2239</v>
      </c>
      <c r="B2227">
        <f>HYPERLINK("https://www.suredividend.com/sure-analysis-research-database/","PHX Minerals Inc")</f>
        <v>0</v>
      </c>
      <c r="C2227">
        <v>0.35361216730038</v>
      </c>
      <c r="D2227">
        <v>0.37255657940394</v>
      </c>
      <c r="E2227">
        <v>0.076699733849503</v>
      </c>
      <c r="F2227">
        <v>0.650899647560749</v>
      </c>
      <c r="G2227">
        <v>0.7248062015503871</v>
      </c>
      <c r="H2227">
        <v>0.164540399084069</v>
      </c>
      <c r="I2227">
        <v>-0.7955609153817441</v>
      </c>
    </row>
    <row r="2228" spans="1:9">
      <c r="A2228" s="1" t="s">
        <v>2240</v>
      </c>
      <c r="B2228">
        <f>HYPERLINK("https://www.suredividend.com/sure-analysis-research-database/","Impinj Inc")</f>
        <v>0</v>
      </c>
      <c r="C2228">
        <v>-0.178190630048465</v>
      </c>
      <c r="D2228">
        <v>-0.4386448907525931</v>
      </c>
      <c r="E2228">
        <v>-0.032705837611713</v>
      </c>
      <c r="F2228">
        <v>-0.426493799323562</v>
      </c>
      <c r="G2228">
        <v>-0.101554221123277</v>
      </c>
      <c r="H2228">
        <v>1.97485380116959</v>
      </c>
      <c r="I2228">
        <v>0.595170899968642</v>
      </c>
    </row>
    <row r="2229" spans="1:9">
      <c r="A2229" s="1" t="s">
        <v>2241</v>
      </c>
      <c r="B2229">
        <f>HYPERLINK("https://www.suredividend.com/sure-analysis-PII/","Polaris Inc")</f>
        <v>0</v>
      </c>
      <c r="C2229">
        <v>0.001307189542483</v>
      </c>
      <c r="D2229">
        <v>-0.092913748142308</v>
      </c>
      <c r="E2229">
        <v>-0.169312591451913</v>
      </c>
      <c r="F2229">
        <v>-0.019049143588922</v>
      </c>
      <c r="G2229">
        <v>-0.245052963857016</v>
      </c>
      <c r="H2229">
        <v>1.025054478573019</v>
      </c>
      <c r="I2229">
        <v>0.5145010224717831</v>
      </c>
    </row>
    <row r="2230" spans="1:9">
      <c r="A2230" s="1" t="s">
        <v>2242</v>
      </c>
      <c r="B2230">
        <f>HYPERLINK("https://www.suredividend.com/sure-analysis-research-database/","Premier Inc")</f>
        <v>0</v>
      </c>
      <c r="C2230">
        <v>0.019613337069207</v>
      </c>
      <c r="D2230">
        <v>-0.07572267108274301</v>
      </c>
      <c r="E2230">
        <v>-0.07113156544578701</v>
      </c>
      <c r="F2230">
        <v>-0.111194696965996</v>
      </c>
      <c r="G2230">
        <v>0.057108246838697</v>
      </c>
      <c r="H2230">
        <v>0.170017458628195</v>
      </c>
      <c r="I2230">
        <v>0.163898981628371</v>
      </c>
    </row>
    <row r="2231" spans="1:9">
      <c r="A2231" s="1" t="s">
        <v>2243</v>
      </c>
      <c r="B2231">
        <f>HYPERLINK("https://www.suredividend.com/sure-analysis-research-database/","Pinterest Inc")</f>
        <v>0</v>
      </c>
      <c r="C2231">
        <v>-0.088440970793911</v>
      </c>
      <c r="D2231">
        <v>-0.325007614986292</v>
      </c>
      <c r="E2231">
        <v>-0.579267134991456</v>
      </c>
      <c r="F2231">
        <v>-0.390371389270976</v>
      </c>
      <c r="G2231">
        <v>-0.709262660718971</v>
      </c>
      <c r="H2231">
        <v>0.302763080540858</v>
      </c>
      <c r="I2231">
        <v>-0.091803278688524</v>
      </c>
    </row>
    <row r="2232" spans="1:9">
      <c r="A2232" s="1" t="s">
        <v>2244</v>
      </c>
      <c r="B2232">
        <f>HYPERLINK("https://www.suredividend.com/sure-analysis-research-database/","PJT Partners Inc")</f>
        <v>0</v>
      </c>
      <c r="C2232">
        <v>-0.001758593125499</v>
      </c>
      <c r="D2232">
        <v>-0.142102645412502</v>
      </c>
      <c r="E2232">
        <v>-0.256186730009125</v>
      </c>
      <c r="F2232">
        <v>-0.153450057078399</v>
      </c>
      <c r="G2232">
        <v>-0.065374396587209</v>
      </c>
      <c r="H2232">
        <v>0.503082474549424</v>
      </c>
      <c r="I2232">
        <v>1.028781139223643</v>
      </c>
    </row>
    <row r="2233" spans="1:9">
      <c r="A2233" s="1" t="s">
        <v>2245</v>
      </c>
      <c r="B2233">
        <f>HYPERLINK("https://www.suredividend.com/sure-analysis-research-database/","Park Hotels &amp; Resorts Inc")</f>
        <v>0</v>
      </c>
      <c r="C2233">
        <v>0.002590199105203</v>
      </c>
      <c r="D2233">
        <v>-0.013916337285902</v>
      </c>
      <c r="E2233">
        <v>0.002590199105203</v>
      </c>
      <c r="F2233">
        <v>0.01533064486214</v>
      </c>
      <c r="G2233">
        <v>-0.100448367332566</v>
      </c>
      <c r="H2233">
        <v>1.512391492486428</v>
      </c>
      <c r="I2233">
        <v>-0.035227295615218</v>
      </c>
    </row>
    <row r="2234" spans="1:9">
      <c r="A2234" s="1" t="s">
        <v>2246</v>
      </c>
      <c r="B2234">
        <f>HYPERLINK("https://www.suredividend.com/sure-analysis-research-database/","Parke Bancorp Inc")</f>
        <v>0</v>
      </c>
      <c r="C2234">
        <v>0.008662528339965002</v>
      </c>
      <c r="D2234">
        <v>-0.029240503668201</v>
      </c>
      <c r="E2234">
        <v>0.02974624269723</v>
      </c>
      <c r="F2234">
        <v>0.100393644499938</v>
      </c>
      <c r="G2234">
        <v>0.215666247229344</v>
      </c>
      <c r="H2234">
        <v>1.108964698360506</v>
      </c>
      <c r="I2234">
        <v>0.6860167944505291</v>
      </c>
    </row>
    <row r="2235" spans="1:9">
      <c r="A2235" s="1" t="s">
        <v>2247</v>
      </c>
      <c r="B2235">
        <f>HYPERLINK("https://www.suredividend.com/sure-analysis-research-database/","Park Aerospace Corp")</f>
        <v>0</v>
      </c>
      <c r="C2235">
        <v>-0.126539428952499</v>
      </c>
      <c r="D2235">
        <v>-0.107275151874351</v>
      </c>
      <c r="E2235">
        <v>-0.09446836651111001</v>
      </c>
      <c r="F2235">
        <v>-0.073198120245813</v>
      </c>
      <c r="G2235">
        <v>-0.103589362097824</v>
      </c>
      <c r="H2235">
        <v>-0.017465468599664</v>
      </c>
      <c r="I2235">
        <v>0.267033983849259</v>
      </c>
    </row>
    <row r="2236" spans="1:9">
      <c r="A2236" s="1" t="s">
        <v>2248</v>
      </c>
      <c r="B2236">
        <f>HYPERLINK("https://www.suredividend.com/sure-analysis-research-database/","Packaging Corp Of America")</f>
        <v>0</v>
      </c>
      <c r="C2236">
        <v>0.04943993820007701</v>
      </c>
      <c r="D2236">
        <v>0.195221752420027</v>
      </c>
      <c r="E2236">
        <v>0.236596333448633</v>
      </c>
      <c r="F2236">
        <v>0.205405469355401</v>
      </c>
      <c r="G2236">
        <v>0.194127372121352</v>
      </c>
      <c r="H2236">
        <v>1.028086169402795</v>
      </c>
      <c r="I2236">
        <v>1.086997933741464</v>
      </c>
    </row>
    <row r="2237" spans="1:9">
      <c r="A2237" s="1" t="s">
        <v>2249</v>
      </c>
      <c r="B2237">
        <f>HYPERLINK("https://www.suredividend.com/sure-analysis-research-database/","Perkinelmer, Inc.")</f>
        <v>0</v>
      </c>
      <c r="C2237">
        <v>-0.083361726291879</v>
      </c>
      <c r="D2237">
        <v>-0.095175821878224</v>
      </c>
      <c r="E2237">
        <v>-0.04871070303591001</v>
      </c>
      <c r="F2237">
        <v>-0.196837104513674</v>
      </c>
      <c r="G2237">
        <v>0.213746266726418</v>
      </c>
      <c r="H2237">
        <v>0.9872335448764901</v>
      </c>
      <c r="I2237">
        <v>1.873545825953056</v>
      </c>
    </row>
    <row r="2238" spans="1:9">
      <c r="A2238" s="1" t="s">
        <v>2250</v>
      </c>
      <c r="B2238">
        <f>HYPERLINK("https://www.suredividend.com/sure-analysis-research-database/","Park-Ohio Holdings Corp.")</f>
        <v>0</v>
      </c>
      <c r="C2238">
        <v>-0.180573663624511</v>
      </c>
      <c r="D2238">
        <v>-0.436474491168295</v>
      </c>
      <c r="E2238">
        <v>-0.455001886031659</v>
      </c>
      <c r="F2238">
        <v>-0.402401802778332</v>
      </c>
      <c r="G2238">
        <v>-0.6353149723947651</v>
      </c>
      <c r="H2238">
        <v>-0.122666201361019</v>
      </c>
      <c r="I2238">
        <v>-0.623418176589013</v>
      </c>
    </row>
    <row r="2239" spans="1:9">
      <c r="A2239" s="1" t="s">
        <v>2251</v>
      </c>
      <c r="B2239">
        <f>HYPERLINK("https://www.suredividend.com/sure-analysis-research-database/","Photronics, Inc.")</f>
        <v>0</v>
      </c>
      <c r="C2239">
        <v>-0.08430913348946101</v>
      </c>
      <c r="D2239">
        <v>-0.209701869631126</v>
      </c>
      <c r="E2239">
        <v>0.186646433990895</v>
      </c>
      <c r="F2239">
        <v>-0.170291777188329</v>
      </c>
      <c r="G2239">
        <v>0.230527143981117</v>
      </c>
      <c r="H2239">
        <v>0.401433691756272</v>
      </c>
      <c r="I2239">
        <v>0.468544600938967</v>
      </c>
    </row>
    <row r="2240" spans="1:9">
      <c r="A2240" s="1" t="s">
        <v>2252</v>
      </c>
      <c r="B2240">
        <f>HYPERLINK("https://www.suredividend.com/sure-analysis-research-database/","Anaplan Inc")</f>
        <v>0</v>
      </c>
      <c r="C2240">
        <v>0.4466622310933681</v>
      </c>
      <c r="D2240">
        <v>0.3964889745236561</v>
      </c>
      <c r="E2240">
        <v>0.004156403940886001</v>
      </c>
      <c r="F2240">
        <v>0.422682660850599</v>
      </c>
      <c r="G2240">
        <v>0.078003635762683</v>
      </c>
      <c r="H2240">
        <v>0.8436970039570381</v>
      </c>
      <c r="I2240">
        <v>1.684362139917695</v>
      </c>
    </row>
    <row r="2241" spans="1:9">
      <c r="A2241" s="1" t="s">
        <v>2253</v>
      </c>
      <c r="B2241">
        <f>HYPERLINK("https://www.suredividend.com/sure-analysis-research-database/","Dave &amp; Buster`s Entertainment Inc")</f>
        <v>0</v>
      </c>
      <c r="C2241">
        <v>0.0750526069675</v>
      </c>
      <c r="D2241">
        <v>0.208092485549132</v>
      </c>
      <c r="E2241">
        <v>0.241695922225222</v>
      </c>
      <c r="F2241">
        <v>0.197395833333333</v>
      </c>
      <c r="G2241">
        <v>0.050251256281407</v>
      </c>
      <c r="H2241">
        <v>3.083481349911189</v>
      </c>
      <c r="I2241">
        <v>-0.216432090497151</v>
      </c>
    </row>
    <row r="2242" spans="1:9">
      <c r="A2242" s="1" t="s">
        <v>2254</v>
      </c>
      <c r="B2242">
        <f>HYPERLINK("https://www.suredividend.com/sure-analysis-research-database/","Plumas Bancorp.")</f>
        <v>0</v>
      </c>
      <c r="C2242">
        <v>-0.026063100137174</v>
      </c>
      <c r="D2242">
        <v>0.003590308992734</v>
      </c>
      <c r="E2242">
        <v>-0.003145007300909</v>
      </c>
      <c r="F2242">
        <v>0.05512194831982901</v>
      </c>
      <c r="G2242">
        <v>0.267694153608821</v>
      </c>
      <c r="H2242">
        <v>1.249298282296438</v>
      </c>
      <c r="I2242">
        <v>1.215191848093999</v>
      </c>
    </row>
    <row r="2243" spans="1:9">
      <c r="A2243" s="1" t="s">
        <v>2255</v>
      </c>
      <c r="B2243">
        <f>HYPERLINK("https://www.suredividend.com/sure-analysis-research-database/","Childrens Place Inc")</f>
        <v>0</v>
      </c>
      <c r="C2243">
        <v>-0.06085376930063501</v>
      </c>
      <c r="D2243">
        <v>-0.297076818490822</v>
      </c>
      <c r="E2243">
        <v>-0.364240039350713</v>
      </c>
      <c r="F2243">
        <v>-0.347963173161811</v>
      </c>
      <c r="G2243">
        <v>-0.327173347214992</v>
      </c>
      <c r="H2243">
        <v>1.117550686053655</v>
      </c>
      <c r="I2243">
        <v>-0.503506664246621</v>
      </c>
    </row>
    <row r="2244" spans="1:9">
      <c r="A2244" s="1" t="s">
        <v>2256</v>
      </c>
      <c r="B2244">
        <f>HYPERLINK("https://www.suredividend.com/sure-analysis-PLD/","Prologis Inc")</f>
        <v>0</v>
      </c>
      <c r="C2244">
        <v>0.05800494212511301</v>
      </c>
      <c r="D2244">
        <v>0.07068072129792501</v>
      </c>
      <c r="E2244">
        <v>0.198613233220519</v>
      </c>
      <c r="F2244">
        <v>-0.028653816877065</v>
      </c>
      <c r="G2244">
        <v>0.472935378242019</v>
      </c>
      <c r="H2244">
        <v>0.9250906638427271</v>
      </c>
      <c r="I2244">
        <v>2.388884375930797</v>
      </c>
    </row>
    <row r="2245" spans="1:9">
      <c r="A2245" s="1" t="s">
        <v>2257</v>
      </c>
      <c r="B2245">
        <f>HYPERLINK("https://www.suredividend.com/sure-analysis-research-database/","Planet Fitness Inc")</f>
        <v>0</v>
      </c>
      <c r="C2245">
        <v>-0.003349503349503</v>
      </c>
      <c r="D2245">
        <v>-0.005646462318506001</v>
      </c>
      <c r="E2245">
        <v>0.06491422929779</v>
      </c>
      <c r="F2245">
        <v>-0.04736144844336401</v>
      </c>
      <c r="G2245">
        <v>-0.022763306908267</v>
      </c>
      <c r="H2245">
        <v>0.722355289421157</v>
      </c>
      <c r="I2245">
        <v>3.560782241014799</v>
      </c>
    </row>
    <row r="2246" spans="1:9">
      <c r="A2246" s="1" t="s">
        <v>2258</v>
      </c>
      <c r="B2246">
        <f>HYPERLINK("https://www.suredividend.com/sure-analysis-research-database/","Douglas Dynamics Inc")</f>
        <v>0</v>
      </c>
      <c r="C2246">
        <v>-0.005865102639296</v>
      </c>
      <c r="D2246">
        <v>-0.108286621405855</v>
      </c>
      <c r="E2246">
        <v>-0.101496445742577</v>
      </c>
      <c r="F2246">
        <v>-0.124723087171383</v>
      </c>
      <c r="G2246">
        <v>-0.25646480819424</v>
      </c>
      <c r="H2246">
        <v>0.05767610775192301</v>
      </c>
      <c r="I2246">
        <v>0.268024462772821</v>
      </c>
    </row>
    <row r="2247" spans="1:9">
      <c r="A2247" s="1" t="s">
        <v>2259</v>
      </c>
      <c r="B2247">
        <f>HYPERLINK("https://www.suredividend.com/sure-analysis-research-database/","Preformed Line Products Co.")</f>
        <v>0</v>
      </c>
      <c r="C2247">
        <v>0.034467090416159</v>
      </c>
      <c r="D2247">
        <v>-0.028598428880035</v>
      </c>
      <c r="E2247">
        <v>-0.066226946196017</v>
      </c>
      <c r="F2247">
        <v>-0.046914682816555</v>
      </c>
      <c r="G2247">
        <v>-0.08542845155166201</v>
      </c>
      <c r="H2247">
        <v>0.4768951325169201</v>
      </c>
      <c r="I2247">
        <v>0.297585524121538</v>
      </c>
    </row>
    <row r="2248" spans="1:9">
      <c r="A2248" s="1" t="s">
        <v>2260</v>
      </c>
      <c r="B2248">
        <f>HYPERLINK("https://www.suredividend.com/sure-analysis-research-database/","Pulse Biosciences Inc")</f>
        <v>0</v>
      </c>
      <c r="C2248">
        <v>-0.275574112734864</v>
      </c>
      <c r="D2248">
        <v>-0.720836685438455</v>
      </c>
      <c r="E2248">
        <v>-0.8397228637413391</v>
      </c>
      <c r="F2248">
        <v>-0.7656988521269411</v>
      </c>
      <c r="G2248">
        <v>-0.8349976224441271</v>
      </c>
      <c r="H2248">
        <v>-0.4578125</v>
      </c>
      <c r="I2248">
        <v>-0.850816852966466</v>
      </c>
    </row>
    <row r="2249" spans="1:9">
      <c r="A2249" s="1" t="s">
        <v>2261</v>
      </c>
      <c r="B2249">
        <f>HYPERLINK("https://www.suredividend.com/sure-analysis-research-database/","Plug Power Inc")</f>
        <v>0</v>
      </c>
      <c r="C2249">
        <v>0.07374999999999901</v>
      </c>
      <c r="D2249">
        <v>0.099402730375426</v>
      </c>
      <c r="E2249">
        <v>-0.175096030729833</v>
      </c>
      <c r="F2249">
        <v>-0.08714133900106201</v>
      </c>
      <c r="G2249">
        <v>-0.05396475770925101</v>
      </c>
      <c r="H2249">
        <v>4.739420935412026</v>
      </c>
      <c r="I2249">
        <v>10.50446428571428</v>
      </c>
    </row>
    <row r="2250" spans="1:9">
      <c r="A2250" s="1" t="s">
        <v>2262</v>
      </c>
      <c r="B2250">
        <f>HYPERLINK("https://www.suredividend.com/sure-analysis-research-database/","ePlus Inc")</f>
        <v>0</v>
      </c>
      <c r="C2250">
        <v>0.027247451343836</v>
      </c>
      <c r="D2250">
        <v>0.093312290392582</v>
      </c>
      <c r="E2250">
        <v>0.014182450361423</v>
      </c>
      <c r="F2250">
        <v>0.028582034149962</v>
      </c>
      <c r="G2250">
        <v>0.11655082099325</v>
      </c>
      <c r="H2250">
        <v>0.7851505878563371</v>
      </c>
      <c r="I2250">
        <v>0.725136186770428</v>
      </c>
    </row>
    <row r="2251" spans="1:9">
      <c r="A2251" s="1" t="s">
        <v>2263</v>
      </c>
      <c r="B2251">
        <f>HYPERLINK("https://www.suredividend.com/sure-analysis-research-database/","PLx Pharma Inc.")</f>
        <v>0</v>
      </c>
      <c r="C2251">
        <v>-0.106870229007633</v>
      </c>
      <c r="D2251">
        <v>-0.4978540772532181</v>
      </c>
      <c r="E2251">
        <v>-0.7478448275862061</v>
      </c>
      <c r="F2251">
        <v>-0.561797752808988</v>
      </c>
      <c r="G2251">
        <v>-0.669180018850141</v>
      </c>
      <c r="H2251">
        <v>0.403999999999999</v>
      </c>
      <c r="I2251">
        <v>1.599999999999999</v>
      </c>
    </row>
    <row r="2252" spans="1:9">
      <c r="A2252" s="1" t="s">
        <v>2264</v>
      </c>
      <c r="B2252">
        <f>HYPERLINK("https://www.suredividend.com/sure-analysis-research-database/","Plexus Corp.")</f>
        <v>0</v>
      </c>
      <c r="C2252">
        <v>-0.08167848699763501</v>
      </c>
      <c r="D2252">
        <v>-0.163364204178332</v>
      </c>
      <c r="E2252">
        <v>-0.168824221675403</v>
      </c>
      <c r="F2252">
        <v>-0.189800813432057</v>
      </c>
      <c r="G2252">
        <v>-0.154164398475775</v>
      </c>
      <c r="H2252">
        <v>0.399567645469284</v>
      </c>
      <c r="I2252">
        <v>0.36561785902619</v>
      </c>
    </row>
    <row r="2253" spans="1:9">
      <c r="A2253" s="1" t="s">
        <v>2265</v>
      </c>
      <c r="B2253">
        <f>HYPERLINK("https://www.suredividend.com/sure-analysis-research-database/","Playa Hotels &amp; Resorts N.V.")</f>
        <v>0</v>
      </c>
      <c r="C2253">
        <v>-0.045766590389016</v>
      </c>
      <c r="D2253">
        <v>0.11051930758988</v>
      </c>
      <c r="E2253">
        <v>-0.016509433962264</v>
      </c>
      <c r="F2253">
        <v>0.045112781954887</v>
      </c>
      <c r="G2253">
        <v>0.145604395604395</v>
      </c>
      <c r="H2253">
        <v>2.723214285714285</v>
      </c>
      <c r="I2253">
        <v>-0.190291262135922</v>
      </c>
    </row>
    <row r="2254" spans="1:9">
      <c r="A2254" s="1" t="s">
        <v>2266</v>
      </c>
      <c r="B2254">
        <f>HYPERLINK("https://www.suredividend.com/sure-analysis-PLYM/","Plymouth Industrial Reit Inc")</f>
        <v>0</v>
      </c>
      <c r="C2254">
        <v>-0.037853650507446</v>
      </c>
      <c r="D2254">
        <v>-0.09399294779891701</v>
      </c>
      <c r="E2254">
        <v>0.07733163551675901</v>
      </c>
      <c r="F2254">
        <v>-0.189691566113229</v>
      </c>
      <c r="G2254">
        <v>0.490893492702041</v>
      </c>
      <c r="H2254">
        <v>1.538291489025738</v>
      </c>
      <c r="I2254">
        <v>0.9866526601989741</v>
      </c>
    </row>
    <row r="2255" spans="1:9">
      <c r="A2255" s="1" t="s">
        <v>2267</v>
      </c>
      <c r="B2255">
        <f>HYPERLINK("https://www.suredividend.com/sure-analysis-PM/","Philip Morris International Inc")</f>
        <v>0</v>
      </c>
      <c r="C2255">
        <v>0.09999740592141601</v>
      </c>
      <c r="D2255">
        <v>-0.002255880141294</v>
      </c>
      <c r="E2255">
        <v>0.062838762231992</v>
      </c>
      <c r="F2255">
        <v>0.08575513165194301</v>
      </c>
      <c r="G2255">
        <v>0.153018218073053</v>
      </c>
      <c r="H2255">
        <v>0.507650098366873</v>
      </c>
      <c r="I2255">
        <v>0.176856958165319</v>
      </c>
    </row>
    <row r="2256" spans="1:9">
      <c r="A2256" s="1" t="s">
        <v>2268</v>
      </c>
      <c r="B2256">
        <f>HYPERLINK("https://www.suredividend.com/sure-analysis-research-database/","Pacific Mercantile Bancorp")</f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2269</v>
      </c>
      <c r="B2257">
        <f>HYPERLINK("https://www.suredividend.com/sure-analysis-research-database/","Psychemedics Corp.")</f>
        <v>0</v>
      </c>
      <c r="C2257">
        <v>-0.041604754829123</v>
      </c>
      <c r="D2257">
        <v>-0.10041841004184</v>
      </c>
      <c r="E2257">
        <v>-0.223031982171896</v>
      </c>
      <c r="F2257">
        <v>-0.08119658119658101</v>
      </c>
      <c r="G2257">
        <v>-0.05999970852704101</v>
      </c>
      <c r="H2257">
        <v>0.170344026709246</v>
      </c>
      <c r="I2257">
        <v>-0.621747468053788</v>
      </c>
    </row>
    <row r="2258" spans="1:9">
      <c r="A2258" s="1" t="s">
        <v>2270</v>
      </c>
      <c r="B2258">
        <f>HYPERLINK("https://www.suredividend.com/sure-analysis-PMT/","Pennymac Mortgage Investment Trust")</f>
        <v>0</v>
      </c>
      <c r="C2258">
        <v>-0.02160206325368</v>
      </c>
      <c r="D2258">
        <v>-0.131144312202807</v>
      </c>
      <c r="E2258">
        <v>-0.180940963030942</v>
      </c>
      <c r="F2258">
        <v>-0.08200698007645901</v>
      </c>
      <c r="G2258">
        <v>-0.130831283318603</v>
      </c>
      <c r="H2258">
        <v>1.014088181581006</v>
      </c>
      <c r="I2258">
        <v>0.433279183105128</v>
      </c>
    </row>
    <row r="2259" spans="1:9">
      <c r="A2259" s="1" t="s">
        <v>2271</v>
      </c>
      <c r="B2259">
        <f>HYPERLINK("https://www.suredividend.com/sure-analysis-research-database/","CPI Card Group Inc")</f>
        <v>0</v>
      </c>
      <c r="C2259">
        <v>-0.045602605863192</v>
      </c>
      <c r="D2259">
        <v>-0.176040494938132</v>
      </c>
      <c r="E2259">
        <v>-0.427510746385306</v>
      </c>
      <c r="F2259">
        <v>-0.210242587601078</v>
      </c>
      <c r="G2259">
        <v>17.33541927409262</v>
      </c>
      <c r="H2259">
        <v>17.33541927409262</v>
      </c>
      <c r="I2259">
        <v>2.928877923192448</v>
      </c>
    </row>
    <row r="2260" spans="1:9">
      <c r="A2260" s="1" t="s">
        <v>2272</v>
      </c>
      <c r="B2260">
        <f>HYPERLINK("https://www.suredividend.com/sure-analysis-research-database/","Patriot National Bancorp Inc")</f>
        <v>0</v>
      </c>
      <c r="C2260">
        <v>0.003674219228414</v>
      </c>
      <c r="D2260">
        <v>0.069843342036553</v>
      </c>
      <c r="E2260">
        <v>0.6766062788342521</v>
      </c>
      <c r="F2260">
        <v>0.054019292604501</v>
      </c>
      <c r="G2260">
        <v>0.714435146443514</v>
      </c>
      <c r="H2260">
        <v>1.875438596491228</v>
      </c>
      <c r="I2260">
        <v>0.097583842280081</v>
      </c>
    </row>
    <row r="2261" spans="1:9">
      <c r="A2261" s="1" t="s">
        <v>2273</v>
      </c>
      <c r="B2261">
        <f>HYPERLINK("https://www.suredividend.com/sure-analysis-PNC/","PNC Financial Services Group")</f>
        <v>0</v>
      </c>
      <c r="C2261">
        <v>-0.08291208428404701</v>
      </c>
      <c r="D2261">
        <v>-0.205947318461407</v>
      </c>
      <c r="E2261">
        <v>-0.109034794482328</v>
      </c>
      <c r="F2261">
        <v>-0.11521113843002</v>
      </c>
      <c r="G2261">
        <v>0.004789688905629</v>
      </c>
      <c r="H2261">
        <v>1.056090138991693</v>
      </c>
      <c r="I2261">
        <v>0.744155335470837</v>
      </c>
    </row>
    <row r="2262" spans="1:9">
      <c r="A2262" s="1" t="s">
        <v>2274</v>
      </c>
      <c r="B2262">
        <f>HYPERLINK("https://www.suredividend.com/sure-analysis-research-database/","Pinnacle Financial Partners Inc.")</f>
        <v>0</v>
      </c>
      <c r="C2262">
        <v>-0.130973089123094</v>
      </c>
      <c r="D2262">
        <v>-0.22903679980828</v>
      </c>
      <c r="E2262">
        <v>-0.145293124304349</v>
      </c>
      <c r="F2262">
        <v>-0.108669300883144</v>
      </c>
      <c r="G2262">
        <v>-0.07329714394827901</v>
      </c>
      <c r="H2262">
        <v>1.418727839719765</v>
      </c>
      <c r="I2262">
        <v>0.468927335400751</v>
      </c>
    </row>
    <row r="2263" spans="1:9">
      <c r="A2263" s="1" t="s">
        <v>2275</v>
      </c>
      <c r="B2263">
        <f>HYPERLINK("https://www.suredividend.com/sure-analysis-research-database/","PNM Resources Inc")</f>
        <v>0</v>
      </c>
      <c r="C2263">
        <v>0.052124397722295</v>
      </c>
      <c r="D2263">
        <v>0.048111914964175</v>
      </c>
      <c r="E2263">
        <v>-0.017912266283971</v>
      </c>
      <c r="F2263">
        <v>0.061439306396696</v>
      </c>
      <c r="G2263">
        <v>-0.003644041256271</v>
      </c>
      <c r="H2263">
        <v>0.189966039895072</v>
      </c>
      <c r="I2263">
        <v>0.464964656660344</v>
      </c>
    </row>
    <row r="2264" spans="1:9">
      <c r="A2264" s="1" t="s">
        <v>2276</v>
      </c>
      <c r="B2264">
        <f>HYPERLINK("https://www.suredividend.com/sure-analysis-PNR/","Pentair plc")</f>
        <v>0</v>
      </c>
      <c r="C2264">
        <v>-0.07742389582966701</v>
      </c>
      <c r="D2264">
        <v>-0.204407850611375</v>
      </c>
      <c r="E2264">
        <v>-0.266279211337616</v>
      </c>
      <c r="F2264">
        <v>-0.279794831501111</v>
      </c>
      <c r="G2264">
        <v>-0.168903056655036</v>
      </c>
      <c r="H2264">
        <v>0.761056566762618</v>
      </c>
      <c r="I2264">
        <v>0.336531696424019</v>
      </c>
    </row>
    <row r="2265" spans="1:9">
      <c r="A2265" s="1" t="s">
        <v>2277</v>
      </c>
      <c r="B2265">
        <f>HYPERLINK("https://www.suredividend.com/sure-analysis-research-database/","PrimeEnergy Resources Corp")</f>
        <v>0</v>
      </c>
      <c r="C2265">
        <v>0.03207810320781</v>
      </c>
      <c r="D2265">
        <v>0.000270343336036</v>
      </c>
      <c r="E2265">
        <v>0.143740340030911</v>
      </c>
      <c r="F2265">
        <v>0.055634807417974</v>
      </c>
      <c r="G2265">
        <v>0.689112074868751</v>
      </c>
      <c r="H2265">
        <v>0.128048780487805</v>
      </c>
      <c r="I2265">
        <v>0.541827273674341</v>
      </c>
    </row>
    <row r="2266" spans="1:9">
      <c r="A2266" s="1" t="s">
        <v>2278</v>
      </c>
      <c r="B2266">
        <f>HYPERLINK("https://www.suredividend.com/sure-analysis-PNW/","Pinnacle West Capital Corp.")</f>
        <v>0</v>
      </c>
      <c r="C2266">
        <v>0.04698892789630001</v>
      </c>
      <c r="D2266">
        <v>0.08595181141355801</v>
      </c>
      <c r="E2266">
        <v>0.168834301081103</v>
      </c>
      <c r="F2266">
        <v>0.111796165923462</v>
      </c>
      <c r="G2266">
        <v>-0.04487980932085901</v>
      </c>
      <c r="H2266">
        <v>0.06887444240429201</v>
      </c>
      <c r="I2266">
        <v>0.09360367374110001</v>
      </c>
    </row>
    <row r="2267" spans="1:9">
      <c r="A2267" s="1" t="s">
        <v>2279</v>
      </c>
      <c r="B2267">
        <f>HYPERLINK("https://www.suredividend.com/sure-analysis-research-database/","Predictive Oncology Inc")</f>
        <v>0</v>
      </c>
      <c r="C2267">
        <v>-0.213051823416506</v>
      </c>
      <c r="D2267">
        <v>-0.125603322482882</v>
      </c>
      <c r="E2267">
        <v>-0.356198347107438</v>
      </c>
      <c r="F2267">
        <v>-0.181636726546906</v>
      </c>
      <c r="G2267">
        <v>-0.278703703703703</v>
      </c>
      <c r="H2267">
        <v>-0.4875</v>
      </c>
      <c r="I2267">
        <v>-0.6459090909090911</v>
      </c>
    </row>
    <row r="2268" spans="1:9">
      <c r="A2268" s="1" t="s">
        <v>2280</v>
      </c>
      <c r="B2268">
        <f>HYPERLINK("https://www.suredividend.com/sure-analysis-research-database/","Insulet Corporation")</f>
        <v>0</v>
      </c>
      <c r="C2268">
        <v>0.104173650687227</v>
      </c>
      <c r="D2268">
        <v>0.08565778089077501</v>
      </c>
      <c r="E2268">
        <v>-0.123098938400612</v>
      </c>
      <c r="F2268">
        <v>-0.009659112263689</v>
      </c>
      <c r="G2268">
        <v>-0.112794612794612</v>
      </c>
      <c r="H2268">
        <v>0.369898622303093</v>
      </c>
      <c r="I2268">
        <v>5.369349770364999</v>
      </c>
    </row>
    <row r="2269" spans="1:9">
      <c r="A2269" s="1" t="s">
        <v>2281</v>
      </c>
      <c r="B2269">
        <f>HYPERLINK("https://www.suredividend.com/sure-analysis-research-database/","Pool Corporation")</f>
        <v>0</v>
      </c>
      <c r="C2269">
        <v>-0.1147078317761</v>
      </c>
      <c r="D2269">
        <v>-0.160454627019102</v>
      </c>
      <c r="E2269">
        <v>-0.08331969950526301</v>
      </c>
      <c r="F2269">
        <v>-0.26710348521445</v>
      </c>
      <c r="G2269">
        <v>0.09079356114092001</v>
      </c>
      <c r="H2269">
        <v>1.14055737413382</v>
      </c>
      <c r="I2269">
        <v>2.737924596944915</v>
      </c>
    </row>
    <row r="2270" spans="1:9">
      <c r="A2270" s="1" t="s">
        <v>2282</v>
      </c>
      <c r="B2270">
        <f>HYPERLINK("https://www.suredividend.com/sure-analysis-POR/","Portland General Electric Co")</f>
        <v>0</v>
      </c>
      <c r="C2270">
        <v>0.009135488086001</v>
      </c>
      <c r="D2270">
        <v>0.030191410587267</v>
      </c>
      <c r="E2270">
        <v>0.143675706830291</v>
      </c>
      <c r="F2270">
        <v>0.035642719452634</v>
      </c>
      <c r="G2270">
        <v>0.113682916837361</v>
      </c>
      <c r="H2270">
        <v>0.186063912636587</v>
      </c>
      <c r="I2270">
        <v>0.4125269866177551</v>
      </c>
    </row>
    <row r="2271" spans="1:9">
      <c r="A2271" s="1" t="s">
        <v>2283</v>
      </c>
      <c r="B2271">
        <f>HYPERLINK("https://www.suredividend.com/sure-analysis-research-database/","Post Holdings Inc")</f>
        <v>0</v>
      </c>
      <c r="C2271">
        <v>0.108128151883713</v>
      </c>
      <c r="D2271">
        <v>-0.064535880326704</v>
      </c>
      <c r="E2271">
        <v>0.045617531553268</v>
      </c>
      <c r="F2271">
        <v>-0.022464603431514</v>
      </c>
      <c r="G2271">
        <v>-0.003547801963294</v>
      </c>
      <c r="H2271">
        <v>0.196629384451025</v>
      </c>
      <c r="I2271">
        <v>0.265183985964603</v>
      </c>
    </row>
    <row r="2272" spans="1:9">
      <c r="A2272" s="1" t="s">
        <v>2284</v>
      </c>
      <c r="B2272">
        <f>HYPERLINK("https://www.suredividend.com/sure-analysis-research-database/","Power Integrations Inc.")</f>
        <v>0</v>
      </c>
      <c r="C2272">
        <v>-0.107330415754923</v>
      </c>
      <c r="D2272">
        <v>-0.038198570323846</v>
      </c>
      <c r="E2272">
        <v>-0.167448979591836</v>
      </c>
      <c r="F2272">
        <v>-0.119893597627736</v>
      </c>
      <c r="G2272">
        <v>-0.007360545045318001</v>
      </c>
      <c r="H2272">
        <v>0.7452555743792461</v>
      </c>
      <c r="I2272">
        <v>1.701780877259211</v>
      </c>
    </row>
    <row r="2273" spans="1:9">
      <c r="A2273" s="1" t="s">
        <v>2285</v>
      </c>
      <c r="B2273">
        <f>HYPERLINK("https://www.suredividend.com/sure-analysis-research-database/","Powell Industries, Inc.")</f>
        <v>0</v>
      </c>
      <c r="C2273">
        <v>-0.06921241050119301</v>
      </c>
      <c r="D2273">
        <v>-0.311306927545957</v>
      </c>
      <c r="E2273">
        <v>-0.255904114659452</v>
      </c>
      <c r="F2273">
        <v>-0.331158741755245</v>
      </c>
      <c r="G2273">
        <v>-0.426453719227036</v>
      </c>
      <c r="H2273">
        <v>-0.03996218928007</v>
      </c>
      <c r="I2273">
        <v>-0.311358002020016</v>
      </c>
    </row>
    <row r="2274" spans="1:9">
      <c r="A2274" s="1" t="s">
        <v>2286</v>
      </c>
      <c r="B2274">
        <f>HYPERLINK("https://www.suredividend.com/sure-analysis-research-database/","Pacific Premier Bancorp, Inc.")</f>
        <v>0</v>
      </c>
      <c r="C2274">
        <v>-0.089702760084925</v>
      </c>
      <c r="D2274">
        <v>-0.218447376216191</v>
      </c>
      <c r="E2274">
        <v>-0.179527905619396</v>
      </c>
      <c r="F2274">
        <v>-0.135663095082099</v>
      </c>
      <c r="G2274">
        <v>-0.175823515701403</v>
      </c>
      <c r="H2274">
        <v>1.162059945160578</v>
      </c>
      <c r="I2274">
        <v>0.106758649173641</v>
      </c>
    </row>
    <row r="2275" spans="1:9">
      <c r="A2275" s="1" t="s">
        <v>2287</v>
      </c>
      <c r="B2275">
        <f>HYPERLINK("https://www.suredividend.com/sure-analysis-research-database/","Pilgrim`s Pride Corp.")</f>
        <v>0</v>
      </c>
      <c r="C2275">
        <v>0.175107296137339</v>
      </c>
      <c r="D2275">
        <v>-0.026315789473684</v>
      </c>
      <c r="E2275">
        <v>-0.057487091222031</v>
      </c>
      <c r="F2275">
        <v>-0.029078014184397</v>
      </c>
      <c r="G2275">
        <v>0.120753172329103</v>
      </c>
      <c r="H2275">
        <v>0.406627279732853</v>
      </c>
      <c r="I2275">
        <v>0.199824715162138</v>
      </c>
    </row>
    <row r="2276" spans="1:9">
      <c r="A2276" s="1" t="s">
        <v>2288</v>
      </c>
      <c r="B2276">
        <f>HYPERLINK("https://www.suredividend.com/sure-analysis-PPG/","PPG Industries, Inc.")</f>
        <v>0</v>
      </c>
      <c r="C2276">
        <v>0.003128177054821</v>
      </c>
      <c r="D2276">
        <v>-0.219574224715409</v>
      </c>
      <c r="E2276">
        <v>-0.19376432298705</v>
      </c>
      <c r="F2276">
        <v>-0.253246053882486</v>
      </c>
      <c r="G2276">
        <v>-0.222891942176423</v>
      </c>
      <c r="H2276">
        <v>0.490535846881634</v>
      </c>
      <c r="I2276">
        <v>0.333914305859156</v>
      </c>
    </row>
    <row r="2277" spans="1:9">
      <c r="A2277" s="1" t="s">
        <v>2289</v>
      </c>
      <c r="B2277">
        <f>HYPERLINK("https://www.suredividend.com/sure-analysis-research-database/","Perma-Pipe International Holdings Inc")</f>
        <v>0</v>
      </c>
      <c r="C2277">
        <v>0.033549783549783</v>
      </c>
      <c r="D2277">
        <v>0.06465997770345601</v>
      </c>
      <c r="E2277">
        <v>0.140979689366786</v>
      </c>
      <c r="F2277">
        <v>0.100230414746543</v>
      </c>
      <c r="G2277">
        <v>0.540322580645161</v>
      </c>
      <c r="H2277">
        <v>0.547811993517018</v>
      </c>
      <c r="I2277">
        <v>0.19375</v>
      </c>
    </row>
    <row r="2278" spans="1:9">
      <c r="A2278" s="1" t="s">
        <v>2290</v>
      </c>
      <c r="B2278">
        <f>HYPERLINK("https://www.suredividend.com/sure-analysis-PPL/","PPL Corp")</f>
        <v>0</v>
      </c>
      <c r="C2278">
        <v>0.096919609316303</v>
      </c>
      <c r="D2278">
        <v>-0.018223387801761</v>
      </c>
      <c r="E2278">
        <v>0.034609824541512</v>
      </c>
      <c r="F2278">
        <v>-0.02116233620392</v>
      </c>
      <c r="G2278">
        <v>0.053592497844104</v>
      </c>
      <c r="H2278">
        <v>0.285958391318899</v>
      </c>
      <c r="I2278">
        <v>0.009957768546733001</v>
      </c>
    </row>
    <row r="2279" spans="1:9">
      <c r="A2279" s="1" t="s">
        <v>2291</v>
      </c>
      <c r="B2279">
        <f>HYPERLINK("https://www.suredividend.com/sure-analysis-research-database/","Pioneer Power Solutions Inc")</f>
        <v>0</v>
      </c>
      <c r="C2279">
        <v>-0.163606010016694</v>
      </c>
      <c r="D2279">
        <v>-0.380716934487021</v>
      </c>
      <c r="E2279">
        <v>0.5321100917431191</v>
      </c>
      <c r="F2279">
        <v>-0.332</v>
      </c>
      <c r="G2279">
        <v>0.297389683032939</v>
      </c>
      <c r="H2279">
        <v>3.281319432575628</v>
      </c>
      <c r="I2279">
        <v>-0.266052357861736</v>
      </c>
    </row>
    <row r="2280" spans="1:9">
      <c r="A2280" s="1" t="s">
        <v>2292</v>
      </c>
      <c r="B2280">
        <f>HYPERLINK("https://www.suredividend.com/sure-analysis-research-database/","Proassurance Corporation")</f>
        <v>0</v>
      </c>
      <c r="C2280">
        <v>0.015340470146782</v>
      </c>
      <c r="D2280">
        <v>0.011755372004697</v>
      </c>
      <c r="E2280">
        <v>0.142968701470418</v>
      </c>
      <c r="F2280">
        <v>0.020153577467912</v>
      </c>
      <c r="G2280">
        <v>-0.069955519611807</v>
      </c>
      <c r="H2280">
        <v>0.307421750097701</v>
      </c>
      <c r="I2280">
        <v>-0.512812317375541</v>
      </c>
    </row>
    <row r="2281" spans="1:9">
      <c r="A2281" s="1" t="s">
        <v>2293</v>
      </c>
      <c r="B2281">
        <f>HYPERLINK("https://www.suredividend.com/sure-analysis-research-database/","PRA Group Inc")</f>
        <v>0</v>
      </c>
      <c r="C2281">
        <v>0.002465814839722</v>
      </c>
      <c r="D2281">
        <v>-0.112522325858305</v>
      </c>
      <c r="E2281">
        <v>0.04072608796834901</v>
      </c>
      <c r="F2281">
        <v>-0.109340768771161</v>
      </c>
      <c r="G2281">
        <v>0.205390835579514</v>
      </c>
      <c r="H2281">
        <v>0.8426040379068801</v>
      </c>
      <c r="I2281">
        <v>0.417432646592709</v>
      </c>
    </row>
    <row r="2282" spans="1:9">
      <c r="A2282" s="1" t="s">
        <v>2294</v>
      </c>
      <c r="B2282">
        <f>HYPERLINK("https://www.suredividend.com/sure-analysis-research-database/","PRA Health Sciences Inc")</f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2295</v>
      </c>
      <c r="B2283">
        <f>HYPERLINK("https://www.suredividend.com/sure-analysis-research-database/","Perceptron, Inc.")</f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2296</v>
      </c>
      <c r="B2284">
        <f>HYPERLINK("https://www.suredividend.com/sure-analysis-research-database/","Perficient Inc.")</f>
        <v>0</v>
      </c>
      <c r="C2284">
        <v>0.029137307179584</v>
      </c>
      <c r="D2284">
        <v>0.05218068535825501</v>
      </c>
      <c r="E2284">
        <v>-0.160869565217391</v>
      </c>
      <c r="F2284">
        <v>-0.164049810503519</v>
      </c>
      <c r="G2284">
        <v>0.6697049281631391</v>
      </c>
      <c r="H2284">
        <v>2.525114155251141</v>
      </c>
      <c r="I2284">
        <v>5.372641509433961</v>
      </c>
    </row>
    <row r="2285" spans="1:9">
      <c r="A2285" s="1" t="s">
        <v>2297</v>
      </c>
      <c r="B2285">
        <f>HYPERLINK("https://www.suredividend.com/sure-analysis-PRGO/","Perrigo Company plc")</f>
        <v>0</v>
      </c>
      <c r="C2285">
        <v>-0.05762179151388101</v>
      </c>
      <c r="D2285">
        <v>-0.08759864483800901</v>
      </c>
      <c r="E2285">
        <v>-0.183945638713365</v>
      </c>
      <c r="F2285">
        <v>-0.068131549367272</v>
      </c>
      <c r="G2285">
        <v>-0.113469934853099</v>
      </c>
      <c r="H2285">
        <v>-0.260471177285489</v>
      </c>
      <c r="I2285">
        <v>-0.4229877942192931</v>
      </c>
    </row>
    <row r="2286" spans="1:9">
      <c r="A2286" s="1" t="s">
        <v>2298</v>
      </c>
      <c r="B2286">
        <f>HYPERLINK("https://www.suredividend.com/sure-analysis-research-database/","Progress Software Corp.")</f>
        <v>0</v>
      </c>
      <c r="C2286">
        <v>0.06600808262236101</v>
      </c>
      <c r="D2286">
        <v>0.038081953378138</v>
      </c>
      <c r="E2286">
        <v>-0.04667631769692401</v>
      </c>
      <c r="F2286">
        <v>-0.012456607784287</v>
      </c>
      <c r="G2286">
        <v>0.05987584184009401</v>
      </c>
      <c r="H2286">
        <v>0.350275287800882</v>
      </c>
      <c r="I2286">
        <v>0.750388934356728</v>
      </c>
    </row>
    <row r="2287" spans="1:9">
      <c r="A2287" s="1" t="s">
        <v>2299</v>
      </c>
      <c r="B2287">
        <f>HYPERLINK("https://www.suredividend.com/sure-analysis-research-database/","PRGX Global Inc")</f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2300</v>
      </c>
      <c r="B2288">
        <f>HYPERLINK("https://www.suredividend.com/sure-analysis-research-database/","Primerica Inc")</f>
        <v>0</v>
      </c>
      <c r="C2288">
        <v>0.020097442143727</v>
      </c>
      <c r="D2288">
        <v>-0.14298578635531</v>
      </c>
      <c r="E2288">
        <v>-0.190492271315577</v>
      </c>
      <c r="F2288">
        <v>-0.122185260835443</v>
      </c>
      <c r="G2288">
        <v>-0.157794174952547</v>
      </c>
      <c r="H2288">
        <v>0.495737705649981</v>
      </c>
      <c r="I2288">
        <v>0.74341373419706</v>
      </c>
    </row>
    <row r="2289" spans="1:9">
      <c r="A2289" s="1" t="s">
        <v>2301</v>
      </c>
      <c r="B2289">
        <f>HYPERLINK("https://www.suredividend.com/sure-analysis-research-database/","Primoris Services Corp")</f>
        <v>0</v>
      </c>
      <c r="C2289">
        <v>-0.013109175700522</v>
      </c>
      <c r="D2289">
        <v>-0.000139072896156</v>
      </c>
      <c r="E2289">
        <v>0.021740024758122</v>
      </c>
      <c r="F2289">
        <v>0.142044979516762</v>
      </c>
      <c r="G2289">
        <v>-0.209842836236167</v>
      </c>
      <c r="H2289">
        <v>0.9551153603938851</v>
      </c>
      <c r="I2289">
        <v>0.258528001326705</v>
      </c>
    </row>
    <row r="2290" spans="1:9">
      <c r="A2290" s="1" t="s">
        <v>2302</v>
      </c>
      <c r="B2290">
        <f>HYPERLINK("https://www.suredividend.com/sure-analysis-research-database/","Park National Corp.")</f>
        <v>0</v>
      </c>
      <c r="C2290">
        <v>-0.128629797169122</v>
      </c>
      <c r="D2290">
        <v>-0.15334500677012</v>
      </c>
      <c r="E2290">
        <v>-0.04523368311319501</v>
      </c>
      <c r="F2290">
        <v>-0.123378768194129</v>
      </c>
      <c r="G2290">
        <v>-0.056728951147042</v>
      </c>
      <c r="H2290">
        <v>0.8336101993127991</v>
      </c>
      <c r="I2290">
        <v>0.442204932454381</v>
      </c>
    </row>
    <row r="2291" spans="1:9">
      <c r="A2291" s="1" t="s">
        <v>2303</v>
      </c>
      <c r="B2291">
        <f>HYPERLINK("https://www.suredividend.com/sure-analysis-research-database/","Proto Labs Inc")</f>
        <v>0</v>
      </c>
      <c r="C2291">
        <v>-0.088756257219869</v>
      </c>
      <c r="D2291">
        <v>-0.059419713831478</v>
      </c>
      <c r="E2291">
        <v>-0.331685964416831</v>
      </c>
      <c r="F2291">
        <v>-0.07828627069133401</v>
      </c>
      <c r="G2291">
        <v>-0.560334417092429</v>
      </c>
      <c r="H2291">
        <v>-0.3816305199895481</v>
      </c>
      <c r="I2291">
        <v>-0.04672708962739101</v>
      </c>
    </row>
    <row r="2292" spans="1:9">
      <c r="A2292" s="1" t="s">
        <v>2304</v>
      </c>
      <c r="B2292">
        <f>HYPERLINK("https://www.suredividend.com/sure-analysis-research-database/","Primo Water Corporation")</f>
        <v>0</v>
      </c>
      <c r="C2292">
        <v>0.025423728813559</v>
      </c>
      <c r="D2292">
        <v>-0.15412219788414</v>
      </c>
      <c r="E2292">
        <v>-0.083454845001609</v>
      </c>
      <c r="F2292">
        <v>-0.172357186014432</v>
      </c>
      <c r="G2292">
        <v>-0.115895612357977</v>
      </c>
      <c r="H2292">
        <v>0.5962709702952881</v>
      </c>
      <c r="I2292">
        <v>0.201091901728844</v>
      </c>
    </row>
    <row r="2293" spans="1:9">
      <c r="A2293" s="1" t="s">
        <v>2305</v>
      </c>
      <c r="B2293">
        <f>HYPERLINK("https://www.suredividend.com/sure-analysis-research-database/","Pros Holdings Inc")</f>
        <v>0</v>
      </c>
      <c r="C2293">
        <v>-0.05196850393700701</v>
      </c>
      <c r="D2293">
        <v>0.030821917808219</v>
      </c>
      <c r="E2293">
        <v>-0.121680770353078</v>
      </c>
      <c r="F2293">
        <v>-0.127283270513192</v>
      </c>
      <c r="G2293">
        <v>-0.343081623745089</v>
      </c>
      <c r="H2293">
        <v>0.05024424284717301</v>
      </c>
      <c r="I2293">
        <v>0.33718347401155</v>
      </c>
    </row>
    <row r="2294" spans="1:9">
      <c r="A2294" s="1" t="s">
        <v>2306</v>
      </c>
      <c r="B2294">
        <f>HYPERLINK("https://www.suredividend.com/sure-analysis-research-database/","Provident Financial Holdings, Inc.")</f>
        <v>0</v>
      </c>
      <c r="C2294">
        <v>-0.047849788007268</v>
      </c>
      <c r="D2294">
        <v>-0.06042113693823901</v>
      </c>
      <c r="E2294">
        <v>-0.048034299832861</v>
      </c>
      <c r="F2294">
        <v>-0.04108335620825301</v>
      </c>
      <c r="G2294">
        <v>-0.032960543313771</v>
      </c>
      <c r="H2294">
        <v>0.358944656719514</v>
      </c>
      <c r="I2294">
        <v>0.0013886942452</v>
      </c>
    </row>
    <row r="2295" spans="1:9">
      <c r="A2295" s="1" t="s">
        <v>2307</v>
      </c>
      <c r="B2295">
        <f>HYPERLINK("https://www.suredividend.com/sure-analysis-research-database/","ProPhase Labs Inc")</f>
        <v>0</v>
      </c>
      <c r="C2295">
        <v>0.23293768545994</v>
      </c>
      <c r="D2295">
        <v>0.192560489078958</v>
      </c>
      <c r="E2295">
        <v>0.52732084765388</v>
      </c>
      <c r="F2295">
        <v>0.21418448006312</v>
      </c>
      <c r="G2295">
        <v>0.7013000307093861</v>
      </c>
      <c r="H2295">
        <v>4.047376093294461</v>
      </c>
      <c r="I2295">
        <v>6.571753986332575</v>
      </c>
    </row>
    <row r="2296" spans="1:9">
      <c r="A2296" s="1" t="s">
        <v>2308</v>
      </c>
      <c r="B2296">
        <f>HYPERLINK("https://www.suredividend.com/sure-analysis-research-database/","Providence Service Corp")</f>
        <v>0</v>
      </c>
      <c r="C2296">
        <v>0.125841233084883</v>
      </c>
      <c r="D2296">
        <v>0.654754307594129</v>
      </c>
      <c r="E2296">
        <v>0.9826685357461451</v>
      </c>
      <c r="F2296">
        <v>0.122267907379355</v>
      </c>
      <c r="G2296">
        <v>1.591704147926037</v>
      </c>
      <c r="H2296">
        <v>1.550909985243482</v>
      </c>
      <c r="I2296">
        <v>2.266428721394079</v>
      </c>
    </row>
    <row r="2297" spans="1:9">
      <c r="A2297" s="1" t="s">
        <v>2309</v>
      </c>
      <c r="B2297">
        <f>HYPERLINK("https://www.suredividend.com/sure-analysis-research-database/","Perspecta Inc")</f>
        <v>0</v>
      </c>
      <c r="C2297">
        <v>0.006518010291595</v>
      </c>
      <c r="D2297">
        <v>0.010671645389973</v>
      </c>
      <c r="E2297">
        <v>0.505256083358557</v>
      </c>
      <c r="F2297">
        <v>0.221365148216448</v>
      </c>
      <c r="G2297">
        <v>0.397868417416659</v>
      </c>
      <c r="H2297">
        <v>0.279914846837729</v>
      </c>
      <c r="I2297">
        <v>0.173599999999999</v>
      </c>
    </row>
    <row r="2298" spans="1:9">
      <c r="A2298" s="1" t="s">
        <v>2310</v>
      </c>
      <c r="B2298">
        <f>HYPERLINK("https://www.suredividend.com/sure-analysis-research-database/","Prothena Corporation plc")</f>
        <v>0</v>
      </c>
      <c r="C2298">
        <v>0.012321478577429</v>
      </c>
      <c r="D2298">
        <v>-0.08550467998988101</v>
      </c>
      <c r="E2298">
        <v>-0.430349826662464</v>
      </c>
      <c r="F2298">
        <v>-0.268218623481781</v>
      </c>
      <c r="G2298">
        <v>0.4547283702213271</v>
      </c>
      <c r="H2298">
        <v>2.154450261780104</v>
      </c>
      <c r="I2298">
        <v>-0.31195279786829</v>
      </c>
    </row>
    <row r="2299" spans="1:9">
      <c r="A2299" s="1" t="s">
        <v>2311</v>
      </c>
      <c r="B2299">
        <f>HYPERLINK("https://www.suredividend.com/sure-analysis-research-database/","Paratek Pharmaceuticals Inc.")</f>
        <v>0</v>
      </c>
      <c r="C2299">
        <v>-0.182692307692307</v>
      </c>
      <c r="D2299">
        <v>-0.429530201342281</v>
      </c>
      <c r="E2299">
        <v>-0.49</v>
      </c>
      <c r="F2299">
        <v>-0.43207126948775</v>
      </c>
      <c r="G2299">
        <v>-0.681647940074906</v>
      </c>
      <c r="H2299">
        <v>-0.4358407079646011</v>
      </c>
      <c r="I2299">
        <v>-0.8835616438356161</v>
      </c>
    </row>
    <row r="2300" spans="1:9">
      <c r="A2300" s="1" t="s">
        <v>2312</v>
      </c>
      <c r="B2300">
        <f>HYPERLINK("https://www.suredividend.com/sure-analysis-research-database/","CarParts.com Inc")</f>
        <v>0</v>
      </c>
      <c r="C2300">
        <v>0.05365126676602001</v>
      </c>
      <c r="D2300">
        <v>-0.29441117764471</v>
      </c>
      <c r="E2300">
        <v>-0.518392370572207</v>
      </c>
      <c r="F2300">
        <v>-0.368749999999999</v>
      </c>
      <c r="G2300">
        <v>-0.5605966438781851</v>
      </c>
      <c r="H2300">
        <v>2.228310502283105</v>
      </c>
      <c r="I2300">
        <v>0.9530386740331491</v>
      </c>
    </row>
    <row r="2301" spans="1:9">
      <c r="A2301" s="1" t="s">
        <v>2313</v>
      </c>
      <c r="B2301">
        <f>HYPERLINK("https://www.suredividend.com/sure-analysis-research-database/","Party City Holdco Inc")</f>
        <v>0</v>
      </c>
      <c r="C2301">
        <v>0.046575342465753</v>
      </c>
      <c r="D2301">
        <v>-0.3238938053097341</v>
      </c>
      <c r="E2301">
        <v>-0.492021276595744</v>
      </c>
      <c r="F2301">
        <v>-0.314183123877917</v>
      </c>
      <c r="G2301">
        <v>-0.359060402684563</v>
      </c>
      <c r="H2301">
        <v>8.552388097024256</v>
      </c>
      <c r="I2301">
        <v>-0.7309859154929571</v>
      </c>
    </row>
    <row r="2302" spans="1:9">
      <c r="A2302" s="1" t="s">
        <v>2314</v>
      </c>
      <c r="B2302">
        <f>HYPERLINK("https://www.suredividend.com/sure-analysis-PRU/","Prudential Financial Inc.")</f>
        <v>0</v>
      </c>
      <c r="C2302">
        <v>0.028782028782028</v>
      </c>
      <c r="D2302">
        <v>0.008736532541303001</v>
      </c>
      <c r="E2302">
        <v>0.082539480281327</v>
      </c>
      <c r="F2302">
        <v>0.09410272657790501</v>
      </c>
      <c r="G2302">
        <v>0.237546946349743</v>
      </c>
      <c r="H2302">
        <v>1.491589504041075</v>
      </c>
      <c r="I2302">
        <v>0.370330543737435</v>
      </c>
    </row>
    <row r="2303" spans="1:9">
      <c r="A2303" s="1" t="s">
        <v>2315</v>
      </c>
      <c r="B2303">
        <f>HYPERLINK("https://www.suredividend.com/sure-analysis-research-database/","Provention Bio Inc")</f>
        <v>0</v>
      </c>
      <c r="C2303">
        <v>-0.129205921938088</v>
      </c>
      <c r="D2303">
        <v>0.362105263157894</v>
      </c>
      <c r="E2303">
        <v>0.04354838709677401</v>
      </c>
      <c r="F2303">
        <v>0.151245551601423</v>
      </c>
      <c r="G2303">
        <v>-0.202219482120838</v>
      </c>
      <c r="H2303">
        <v>-0.361932938856015</v>
      </c>
      <c r="I2303">
        <v>0.345114345114345</v>
      </c>
    </row>
    <row r="2304" spans="1:9">
      <c r="A2304" s="1" t="s">
        <v>2316</v>
      </c>
      <c r="B2304">
        <f>HYPERLINK("https://www.suredividend.com/sure-analysis-research-database/","Pluralsight Inc")</f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2317</v>
      </c>
      <c r="B2305">
        <f>HYPERLINK("https://www.suredividend.com/sure-analysis-PSA/","Public Storage")</f>
        <v>0</v>
      </c>
      <c r="C2305">
        <v>0.141954601364195</v>
      </c>
      <c r="D2305">
        <v>0.135414825265634</v>
      </c>
      <c r="E2305">
        <v>0.293305552855672</v>
      </c>
      <c r="F2305">
        <v>0.09670465085998001</v>
      </c>
      <c r="G2305">
        <v>0.568687386908583</v>
      </c>
      <c r="H2305">
        <v>1.238592903249494</v>
      </c>
      <c r="I2305">
        <v>1.148841887319676</v>
      </c>
    </row>
    <row r="2306" spans="1:9">
      <c r="A2306" s="1" t="s">
        <v>2318</v>
      </c>
      <c r="B2306">
        <f>HYPERLINK("https://www.suredividend.com/sure-analysis-PSB/","PS Business Parks, Inc.")</f>
        <v>0</v>
      </c>
      <c r="C2306">
        <v>0.039919658548832</v>
      </c>
      <c r="D2306">
        <v>-0.04497736951444101</v>
      </c>
      <c r="E2306">
        <v>-0.008840748083547</v>
      </c>
      <c r="F2306">
        <v>-0.09434391316896501</v>
      </c>
      <c r="G2306">
        <v>0.08201727518165301</v>
      </c>
      <c r="H2306">
        <v>0.380349186353805</v>
      </c>
      <c r="I2306">
        <v>0.6356897876012181</v>
      </c>
    </row>
    <row r="2307" spans="1:9">
      <c r="A2307" s="1" t="s">
        <v>2319</v>
      </c>
      <c r="B2307">
        <f>HYPERLINK("https://www.suredividend.com/sure-analysis-research-database/","Pricesmart Inc.")</f>
        <v>0</v>
      </c>
      <c r="C2307">
        <v>0.04746673490276301</v>
      </c>
      <c r="D2307">
        <v>0.120875780895961</v>
      </c>
      <c r="E2307">
        <v>0.05647297780335701</v>
      </c>
      <c r="F2307">
        <v>0.12577863949507</v>
      </c>
      <c r="G2307">
        <v>-0.06999833015456801</v>
      </c>
      <c r="H2307">
        <v>0.414578434201455</v>
      </c>
      <c r="I2307">
        <v>0.001793855860133</v>
      </c>
    </row>
    <row r="2308" spans="1:9">
      <c r="A2308" s="1" t="s">
        <v>2320</v>
      </c>
      <c r="B2308">
        <f>HYPERLINK("https://www.suredividend.com/sure-analysis-research-database/","Parsons Corp")</f>
        <v>0</v>
      </c>
      <c r="C2308">
        <v>0.07243243243243201</v>
      </c>
      <c r="D2308">
        <v>0.199879044451164</v>
      </c>
      <c r="E2308">
        <v>0.09704174730439501</v>
      </c>
      <c r="F2308">
        <v>0.179197622585438</v>
      </c>
      <c r="G2308">
        <v>-0.06503298774740801</v>
      </c>
      <c r="H2308">
        <v>0.09734513274336201</v>
      </c>
      <c r="I2308">
        <v>0.319587628865979</v>
      </c>
    </row>
    <row r="2309" spans="1:9">
      <c r="A2309" s="1" t="s">
        <v>2321</v>
      </c>
      <c r="B2309">
        <f>HYPERLINK("https://www.suredividend.com/sure-analysis-research-database/","Pure Storage Inc")</f>
        <v>0</v>
      </c>
      <c r="C2309">
        <v>-0.029987373737373</v>
      </c>
      <c r="D2309">
        <v>0.113809351214208</v>
      </c>
      <c r="E2309">
        <v>0.172006102212052</v>
      </c>
      <c r="F2309">
        <v>-0.05591397849462301</v>
      </c>
      <c r="G2309">
        <v>0.42598607888631</v>
      </c>
      <c r="H2309">
        <v>1.494318181818181</v>
      </c>
      <c r="I2309">
        <v>1.989299610894941</v>
      </c>
    </row>
    <row r="2310" spans="1:9">
      <c r="A2310" s="1" t="s">
        <v>2322</v>
      </c>
      <c r="B2310">
        <f>HYPERLINK("https://www.suredividend.com/sure-analysis-research-database/","Plus Therapeutics Inc")</f>
        <v>0</v>
      </c>
      <c r="C2310">
        <v>-0.076680885638838</v>
      </c>
      <c r="D2310">
        <v>-0.117378640776699</v>
      </c>
      <c r="E2310">
        <v>-0.4805142857142851</v>
      </c>
      <c r="F2310">
        <v>-0.134190476190476</v>
      </c>
      <c r="G2310">
        <v>-0.5629326923076921</v>
      </c>
      <c r="H2310">
        <v>-0.413483870967742</v>
      </c>
      <c r="I2310">
        <v>-0.91503738317757</v>
      </c>
    </row>
    <row r="2311" spans="1:9">
      <c r="A2311" s="1" t="s">
        <v>2323</v>
      </c>
      <c r="B2311">
        <f>HYPERLINK("https://www.suredividend.com/sure-analysis-PSX/","Phillips 66")</f>
        <v>0</v>
      </c>
      <c r="C2311">
        <v>0.08300653594771201</v>
      </c>
      <c r="D2311">
        <v>-0.05469531751854301</v>
      </c>
      <c r="E2311">
        <v>0.043127695953143</v>
      </c>
      <c r="F2311">
        <v>0.155604157106372</v>
      </c>
      <c r="G2311">
        <v>0.101977840735272</v>
      </c>
      <c r="H2311">
        <v>0.7091284167096431</v>
      </c>
      <c r="I2311">
        <v>0.318259928716904</v>
      </c>
    </row>
    <row r="2312" spans="1:9">
      <c r="A2312" s="1" t="s">
        <v>2324</v>
      </c>
      <c r="B2312">
        <f>HYPERLINK("https://www.suredividend.com/sure-analysis-research-database/","PTC Inc")</f>
        <v>0</v>
      </c>
      <c r="C2312">
        <v>-0.100510297065791</v>
      </c>
      <c r="D2312">
        <v>-0.148170521228857</v>
      </c>
      <c r="E2312">
        <v>-0.200728744939271</v>
      </c>
      <c r="F2312">
        <v>-0.185224927775485</v>
      </c>
      <c r="G2312">
        <v>-0.324644225506294</v>
      </c>
      <c r="H2312">
        <v>0.502435312024353</v>
      </c>
      <c r="I2312">
        <v>0.915211486224291</v>
      </c>
    </row>
    <row r="2313" spans="1:9">
      <c r="A2313" s="1" t="s">
        <v>2325</v>
      </c>
      <c r="B2313">
        <f>HYPERLINK("https://www.suredividend.com/sure-analysis-research-database/","PTC Therapeutics Inc")</f>
        <v>0</v>
      </c>
      <c r="C2313">
        <v>0.248597081930415</v>
      </c>
      <c r="D2313">
        <v>0.017142857142857</v>
      </c>
      <c r="E2313">
        <v>0.1682856392754</v>
      </c>
      <c r="F2313">
        <v>0.117248305297514</v>
      </c>
      <c r="G2313">
        <v>-0.08417369829182901</v>
      </c>
      <c r="H2313">
        <v>-0.062960623289113</v>
      </c>
      <c r="I2313">
        <v>3.287090558766858</v>
      </c>
    </row>
    <row r="2314" spans="1:9">
      <c r="A2314" s="1" t="s">
        <v>2326</v>
      </c>
      <c r="B2314">
        <f>HYPERLINK("https://www.suredividend.com/sure-analysis-research-database/","PolarityTE Inc")</f>
        <v>0</v>
      </c>
      <c r="C2314">
        <v>-0.210757088570593</v>
      </c>
      <c r="D2314">
        <v>-0.6249479094318651</v>
      </c>
      <c r="E2314">
        <v>-0.538698103536647</v>
      </c>
      <c r="F2314">
        <v>-0.5400340715502551</v>
      </c>
      <c r="G2314">
        <v>-0.693181818181818</v>
      </c>
      <c r="H2314">
        <v>-0.753424657534246</v>
      </c>
      <c r="I2314">
        <v>-0.9793893129770991</v>
      </c>
    </row>
    <row r="2315" spans="1:9">
      <c r="A2315" s="1" t="s">
        <v>2327</v>
      </c>
      <c r="B2315">
        <f>HYPERLINK("https://www.suredividend.com/sure-analysis-research-database/","Patterson-UTI Energy Inc")</f>
        <v>0</v>
      </c>
      <c r="C2315">
        <v>0.208618331053351</v>
      </c>
      <c r="D2315">
        <v>0.7187211236370351</v>
      </c>
      <c r="E2315">
        <v>0.9570923831780871</v>
      </c>
      <c r="F2315">
        <v>1.097055577313348</v>
      </c>
      <c r="G2315">
        <v>1.637589001836012</v>
      </c>
      <c r="H2315">
        <v>8.87095692978046</v>
      </c>
      <c r="I2315">
        <v>-0.212191196336934</v>
      </c>
    </row>
    <row r="2316" spans="1:9">
      <c r="A2316" s="1" t="s">
        <v>2328</v>
      </c>
      <c r="B2316">
        <f>HYPERLINK("https://www.suredividend.com/sure-analysis-research-database/","Protagonist Therapeutics Inc")</f>
        <v>0</v>
      </c>
      <c r="C2316">
        <v>-0.246885617214043</v>
      </c>
      <c r="D2316">
        <v>-0.445216907675194</v>
      </c>
      <c r="E2316">
        <v>-0.355828220858895</v>
      </c>
      <c r="F2316">
        <v>-0.416666666666666</v>
      </c>
      <c r="G2316">
        <v>-0.248587570621468</v>
      </c>
      <c r="H2316">
        <v>1.80590717299578</v>
      </c>
      <c r="I2316">
        <v>0.8892045454545451</v>
      </c>
    </row>
    <row r="2317" spans="1:9">
      <c r="A2317" s="1" t="s">
        <v>2329</v>
      </c>
      <c r="B2317">
        <f>HYPERLINK("https://www.suredividend.com/sure-analysis-research-database/","Proteostasis Therapeutics Inc")</f>
        <v>0</v>
      </c>
      <c r="C2317">
        <v>0.067307692307692</v>
      </c>
      <c r="D2317">
        <v>-0.034782608695651</v>
      </c>
      <c r="E2317">
        <v>-0.255033557046979</v>
      </c>
      <c r="F2317">
        <v>-0.513157894736842</v>
      </c>
      <c r="G2317">
        <v>-0.108433734939759</v>
      </c>
      <c r="H2317">
        <v>-0.7272727272727271</v>
      </c>
      <c r="I2317">
        <v>-0.8328313253012041</v>
      </c>
    </row>
    <row r="2318" spans="1:9">
      <c r="A2318" s="1" t="s">
        <v>2330</v>
      </c>
      <c r="B2318">
        <f>HYPERLINK("https://www.suredividend.com/sure-analysis-research-database/","Palatin Technologies Inc.")</f>
        <v>0</v>
      </c>
      <c r="C2318">
        <v>0.144736842105263</v>
      </c>
      <c r="D2318">
        <v>0.051486584481508</v>
      </c>
      <c r="E2318">
        <v>0.018973998594518</v>
      </c>
      <c r="F2318">
        <v>-0.149726348709929</v>
      </c>
      <c r="G2318">
        <v>-0.193249258160237</v>
      </c>
      <c r="H2318">
        <v>-0.002064693737095</v>
      </c>
      <c r="I2318">
        <v>0.403225806451613</v>
      </c>
    </row>
    <row r="2319" spans="1:9">
      <c r="A2319" s="1" t="s">
        <v>2331</v>
      </c>
      <c r="B2319">
        <f>HYPERLINK("https://www.suredividend.com/sure-analysis-research-database/","P.A.M. Transportation Services, Inc.")</f>
        <v>0</v>
      </c>
      <c r="C2319">
        <v>-0.336227308602999</v>
      </c>
      <c r="D2319">
        <v>-0.307153645475765</v>
      </c>
      <c r="E2319">
        <v>-0.07412844036697201</v>
      </c>
      <c r="F2319">
        <v>-0.289395859738065</v>
      </c>
      <c r="G2319">
        <v>0.6593225912528771</v>
      </c>
      <c r="H2319">
        <v>2.058181818181818</v>
      </c>
      <c r="I2319">
        <v>5.823529411764707</v>
      </c>
    </row>
    <row r="2320" spans="1:9">
      <c r="A2320" s="1" t="s">
        <v>2332</v>
      </c>
      <c r="B2320">
        <f>HYPERLINK("https://www.suredividend.com/sure-analysis-research-database/","Protective Insurance Corp.")</f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2333</v>
      </c>
      <c r="B2321">
        <f>HYPERLINK("https://www.suredividend.com/sure-analysis-research-database/","Protective Insurance Corp.")</f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2334</v>
      </c>
      <c r="B2322">
        <f>HYPERLINK("https://www.suredividend.com/sure-analysis-research-database/","Pulmatrix Inc")</f>
        <v>0</v>
      </c>
      <c r="C2322">
        <v>-0.07198748043818401</v>
      </c>
      <c r="D2322">
        <v>-0.256519558676028</v>
      </c>
      <c r="E2322">
        <v>-0.591822687224669</v>
      </c>
      <c r="F2322">
        <v>-0.32244058500914</v>
      </c>
      <c r="G2322">
        <v>-0.6942353305145921</v>
      </c>
      <c r="H2322">
        <v>-0.832485875706214</v>
      </c>
      <c r="I2322">
        <v>-0.9902145214521451</v>
      </c>
    </row>
    <row r="2323" spans="1:9">
      <c r="A2323" s="1" t="s">
        <v>2335</v>
      </c>
      <c r="B2323">
        <f>HYPERLINK("https://www.suredividend.com/sure-analysis-research-database/","ProPetro Holding Corp")</f>
        <v>0</v>
      </c>
      <c r="C2323">
        <v>0.228235294117647</v>
      </c>
      <c r="D2323">
        <v>0.47318908748824</v>
      </c>
      <c r="E2323">
        <v>0.529296875</v>
      </c>
      <c r="F2323">
        <v>0.9333333333333331</v>
      </c>
      <c r="G2323">
        <v>0.5551142005958291</v>
      </c>
      <c r="H2323">
        <v>4.612903225806452</v>
      </c>
      <c r="I2323">
        <v>0.08</v>
      </c>
    </row>
    <row r="2324" spans="1:9">
      <c r="A2324" s="1" t="s">
        <v>2336</v>
      </c>
      <c r="B2324">
        <f>HYPERLINK("https://www.suredividend.com/sure-analysis-research-database/","Penn Virginia Corp.")</f>
        <v>0</v>
      </c>
      <c r="C2324">
        <v>0.437412095639943</v>
      </c>
      <c r="D2324">
        <v>0.653721682847896</v>
      </c>
      <c r="E2324">
        <v>1.54862842892768</v>
      </c>
      <c r="F2324">
        <v>2.020689655172413</v>
      </c>
      <c r="G2324">
        <v>2.170630816959669</v>
      </c>
      <c r="H2324">
        <v>0.128865979381443</v>
      </c>
      <c r="I2324">
        <v>-0.3742857142857141</v>
      </c>
    </row>
    <row r="2325" spans="1:9">
      <c r="A2325" s="1" t="s">
        <v>2337</v>
      </c>
      <c r="B2325">
        <f>HYPERLINK("https://www.suredividend.com/sure-analysis-research-database/","Provident Bancorp Inc")</f>
        <v>0</v>
      </c>
      <c r="C2325">
        <v>-0.025916561314791</v>
      </c>
      <c r="D2325">
        <v>-0.181499009406653</v>
      </c>
      <c r="E2325">
        <v>-0.05226969415556</v>
      </c>
      <c r="F2325">
        <v>-0.169616924511119</v>
      </c>
      <c r="G2325">
        <v>0.004622174703861</v>
      </c>
      <c r="H2325">
        <v>0.9739960289502331</v>
      </c>
      <c r="I2325">
        <v>0.455861234978459</v>
      </c>
    </row>
    <row r="2326" spans="1:9">
      <c r="A2326" s="1" t="s">
        <v>2338</v>
      </c>
      <c r="B2326">
        <f>HYPERLINK("https://www.suredividend.com/sure-analysis-research-database/","PVH Corp")</f>
        <v>0</v>
      </c>
      <c r="C2326">
        <v>-0.01673069773206</v>
      </c>
      <c r="D2326">
        <v>-0.227074035863998</v>
      </c>
      <c r="E2326">
        <v>-0.278206925538137</v>
      </c>
      <c r="F2326">
        <v>-0.255700681727142</v>
      </c>
      <c r="G2326">
        <v>-0.252100697750269</v>
      </c>
      <c r="H2326">
        <v>0.9831281634693491</v>
      </c>
      <c r="I2326">
        <v>-0.200669769016332</v>
      </c>
    </row>
    <row r="2327" spans="1:9">
      <c r="A2327" s="1" t="s">
        <v>2339</v>
      </c>
      <c r="B2327">
        <f>HYPERLINK("https://www.suredividend.com/sure-analysis-research-database/","Power REIT")</f>
        <v>0</v>
      </c>
      <c r="C2327">
        <v>-0.284749708963911</v>
      </c>
      <c r="D2327">
        <v>-0.6077630234933601</v>
      </c>
      <c r="E2327">
        <v>-0.414634146341463</v>
      </c>
      <c r="F2327">
        <v>-0.5540717085208301</v>
      </c>
      <c r="G2327">
        <v>-0.317181595910202</v>
      </c>
      <c r="H2327">
        <v>1.428842504743833</v>
      </c>
      <c r="I2327">
        <v>3.608046080460804</v>
      </c>
    </row>
    <row r="2328" spans="1:9">
      <c r="A2328" s="1" t="s">
        <v>2340</v>
      </c>
      <c r="B2328">
        <f>HYPERLINK("https://www.suredividend.com/sure-analysis-research-database/","Penns Woods Bancorp, Inc.")</f>
        <v>0</v>
      </c>
      <c r="C2328">
        <v>-0.026576019777503</v>
      </c>
      <c r="D2328">
        <v>-0.010425611232349</v>
      </c>
      <c r="E2328">
        <v>0.027133720854401</v>
      </c>
      <c r="F2328">
        <v>0.01216743070134</v>
      </c>
      <c r="G2328">
        <v>0.062705231433583</v>
      </c>
      <c r="H2328">
        <v>0.278118609406952</v>
      </c>
      <c r="I2328">
        <v>0.08385480703943601</v>
      </c>
    </row>
    <row r="2329" spans="1:9">
      <c r="A2329" s="1" t="s">
        <v>2341</v>
      </c>
      <c r="B2329">
        <f>HYPERLINK("https://www.suredividend.com/sure-analysis-research-database/","Quanta Services, Inc.")</f>
        <v>0</v>
      </c>
      <c r="C2329">
        <v>0.100712685807371</v>
      </c>
      <c r="D2329">
        <v>0.267924896513159</v>
      </c>
      <c r="E2329">
        <v>0.204327522903076</v>
      </c>
      <c r="F2329">
        <v>0.179959032353264</v>
      </c>
      <c r="G2329">
        <v>0.415400148515421</v>
      </c>
      <c r="H2329">
        <v>3.164227211379057</v>
      </c>
      <c r="I2329">
        <v>3.009422766543244</v>
      </c>
    </row>
    <row r="2330" spans="1:9">
      <c r="A2330" s="1" t="s">
        <v>2342</v>
      </c>
      <c r="B2330">
        <f>HYPERLINK("https://www.suredividend.com/sure-analysis-research-database/","Pioneer Natural Resources Co.")</f>
        <v>0</v>
      </c>
      <c r="C2330">
        <v>0.106117841170596</v>
      </c>
      <c r="D2330">
        <v>0.201137060700917</v>
      </c>
      <c r="E2330">
        <v>0.390691131184617</v>
      </c>
      <c r="F2330">
        <v>0.424484697204039</v>
      </c>
      <c r="G2330">
        <v>0.8119253493868611</v>
      </c>
      <c r="H2330">
        <v>2.860088278211222</v>
      </c>
      <c r="I2330">
        <v>0.536126561150801</v>
      </c>
    </row>
    <row r="2331" spans="1:9">
      <c r="A2331" s="1" t="s">
        <v>2343</v>
      </c>
      <c r="B2331">
        <f>HYPERLINK("https://www.suredividend.com/sure-analysis-research-database/","Pixelworks Inc")</f>
        <v>0</v>
      </c>
      <c r="C2331">
        <v>-0.213559322033898</v>
      </c>
      <c r="D2331">
        <v>-0.387862796833773</v>
      </c>
      <c r="E2331">
        <v>-0.482142857142857</v>
      </c>
      <c r="F2331">
        <v>-0.4727272727272721</v>
      </c>
      <c r="G2331">
        <v>-0.270440251572327</v>
      </c>
      <c r="H2331">
        <v>-0.4355231143552311</v>
      </c>
      <c r="I2331">
        <v>-0.455399061032863</v>
      </c>
    </row>
    <row r="2332" spans="1:9">
      <c r="A2332" s="1" t="s">
        <v>2344</v>
      </c>
      <c r="B2332">
        <f>HYPERLINK("https://www.suredividend.com/sure-analysis-research-database/","PayPal Holdings Inc")</f>
        <v>0</v>
      </c>
      <c r="C2332">
        <v>-0.05198295033358</v>
      </c>
      <c r="D2332">
        <v>-0.426577737921757</v>
      </c>
      <c r="E2332">
        <v>-0.6187441773802871</v>
      </c>
      <c r="F2332">
        <v>-0.45747163007742</v>
      </c>
      <c r="G2332">
        <v>-0.620891540371289</v>
      </c>
      <c r="H2332">
        <v>-0.055396546948573</v>
      </c>
      <c r="I2332">
        <v>1.404465334900118</v>
      </c>
    </row>
    <row r="2333" spans="1:9">
      <c r="A2333" s="1" t="s">
        <v>2345</v>
      </c>
      <c r="B2333">
        <f>HYPERLINK("https://www.suredividend.com/sure-analysis-research-database/","Paramount Gold Nevada Corp")</f>
        <v>0</v>
      </c>
      <c r="C2333">
        <v>-0.258823529411764</v>
      </c>
      <c r="D2333">
        <v>-0.09999999999999901</v>
      </c>
      <c r="E2333">
        <v>-0.25</v>
      </c>
      <c r="F2333">
        <v>-0.098196392785571</v>
      </c>
      <c r="G2333">
        <v>-0.40566037735849</v>
      </c>
      <c r="H2333">
        <v>-0.315217391304347</v>
      </c>
      <c r="I2333">
        <v>-0.65</v>
      </c>
    </row>
    <row r="2334" spans="1:9">
      <c r="A2334" s="1" t="s">
        <v>2346</v>
      </c>
      <c r="B2334">
        <f>HYPERLINK("https://www.suredividend.com/sure-analysis-research-database/","Pzena Investment Management Inc")</f>
        <v>0</v>
      </c>
      <c r="C2334">
        <v>-0.120918984280532</v>
      </c>
      <c r="D2334">
        <v>-0.241293662140866</v>
      </c>
      <c r="E2334">
        <v>-0.267528437427584</v>
      </c>
      <c r="F2334">
        <v>-0.191629417128116</v>
      </c>
      <c r="G2334">
        <v>-0.294380277589051</v>
      </c>
      <c r="H2334">
        <v>0.9286889160078521</v>
      </c>
      <c r="I2334">
        <v>-0.069285129045473</v>
      </c>
    </row>
    <row r="2335" spans="1:9">
      <c r="A2335" s="1" t="s">
        <v>2347</v>
      </c>
      <c r="B2335">
        <f>HYPERLINK("https://www.suredividend.com/sure-analysis-research-database/","Papa John`s International, Inc.")</f>
        <v>0</v>
      </c>
      <c r="C2335">
        <v>-0.004234784321449</v>
      </c>
      <c r="D2335">
        <v>-0.141771883289124</v>
      </c>
      <c r="E2335">
        <v>-0.169305974900897</v>
      </c>
      <c r="F2335">
        <v>-0.240281676594874</v>
      </c>
      <c r="G2335">
        <v>0.09170965770567101</v>
      </c>
      <c r="H2335">
        <v>0.5511475208640151</v>
      </c>
      <c r="I2335">
        <v>0.377400335665554</v>
      </c>
    </row>
    <row r="2336" spans="1:9">
      <c r="A2336" s="1" t="s">
        <v>2348</v>
      </c>
      <c r="B2336">
        <f>HYPERLINK("https://www.suredividend.com/sure-analysis-research-database/","QAD, Inc.")</f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 t="s">
        <v>2349</v>
      </c>
      <c r="B2337">
        <f>HYPERLINK("https://www.suredividend.com/sure-analysis-research-database/","QAD, Inc.")</f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2350</v>
      </c>
      <c r="B2338">
        <f>HYPERLINK("https://www.suredividend.com/sure-analysis-QCOM/","Qualcomm, Inc.")</f>
        <v>0</v>
      </c>
      <c r="C2338">
        <v>-0.08999667663675601</v>
      </c>
      <c r="D2338">
        <v>-0.271391402407904</v>
      </c>
      <c r="E2338">
        <v>0.05991446983373901</v>
      </c>
      <c r="F2338">
        <v>-0.24820287485112</v>
      </c>
      <c r="G2338">
        <v>0.008255455154688</v>
      </c>
      <c r="H2338">
        <v>0.853830269794522</v>
      </c>
      <c r="I2338">
        <v>1.929301790188304</v>
      </c>
    </row>
    <row r="2339" spans="1:9">
      <c r="A2339" s="1" t="s">
        <v>2351</v>
      </c>
      <c r="B2339">
        <f>HYPERLINK("https://www.suredividend.com/sure-analysis-research-database/","QCR Holding, Inc.")</f>
        <v>0</v>
      </c>
      <c r="C2339">
        <v>-0.006529027704252</v>
      </c>
      <c r="D2339">
        <v>-0.08744187101971401</v>
      </c>
      <c r="E2339">
        <v>0.07326614140805601</v>
      </c>
      <c r="F2339">
        <v>0.006421073706489</v>
      </c>
      <c r="G2339">
        <v>0.158009704244732</v>
      </c>
      <c r="H2339">
        <v>1.304336081073337</v>
      </c>
      <c r="I2339">
        <v>0.419197737350108</v>
      </c>
    </row>
    <row r="2340" spans="1:9">
      <c r="A2340" s="1" t="s">
        <v>2352</v>
      </c>
      <c r="B2340">
        <f>HYPERLINK("https://www.suredividend.com/sure-analysis-research-database/","Quidel Corp.")</f>
        <v>0</v>
      </c>
      <c r="C2340">
        <v>0.032288080394528</v>
      </c>
      <c r="D2340">
        <v>-0.034296657381615</v>
      </c>
      <c r="E2340">
        <v>-0.134903306300686</v>
      </c>
      <c r="F2340">
        <v>-0.178161345284835</v>
      </c>
      <c r="G2340">
        <v>-0.138865171155786</v>
      </c>
      <c r="H2340">
        <v>0.010106528270964</v>
      </c>
      <c r="I2340">
        <v>3.948260481712756</v>
      </c>
    </row>
    <row r="2341" spans="1:9">
      <c r="A2341" s="1" t="s">
        <v>2353</v>
      </c>
      <c r="B2341">
        <f>HYPERLINK("https://www.suredividend.com/sure-analysis-research-database/","QEP Resources Inc")</f>
        <v>0</v>
      </c>
      <c r="C2341">
        <v>0.182608695652173</v>
      </c>
      <c r="D2341">
        <v>0.7361702127659571</v>
      </c>
      <c r="E2341">
        <v>2.578947368421053</v>
      </c>
      <c r="F2341">
        <v>0.7071129707112971</v>
      </c>
      <c r="G2341">
        <v>6.266251113089938</v>
      </c>
      <c r="H2341">
        <v>-0.4499939337566221</v>
      </c>
      <c r="I2341">
        <v>-0.6848179591962851</v>
      </c>
    </row>
    <row r="2342" spans="1:9">
      <c r="A2342" s="1" t="s">
        <v>2354</v>
      </c>
      <c r="B2342">
        <f>HYPERLINK("https://www.suredividend.com/sure-analysis-research-database/","Qualys Inc")</f>
        <v>0</v>
      </c>
      <c r="C2342">
        <v>0.153086032468041</v>
      </c>
      <c r="D2342">
        <v>0.164225195977512</v>
      </c>
      <c r="E2342">
        <v>0.285789243550502</v>
      </c>
      <c r="F2342">
        <v>0.071491036292085</v>
      </c>
      <c r="G2342">
        <v>0.403091898081878</v>
      </c>
      <c r="H2342">
        <v>0.389566203572441</v>
      </c>
      <c r="I2342">
        <v>3.118487394957982</v>
      </c>
    </row>
    <row r="2343" spans="1:9">
      <c r="A2343" s="1" t="s">
        <v>2355</v>
      </c>
      <c r="B2343">
        <f>HYPERLINK("https://www.suredividend.com/sure-analysis-research-database/","QuinStreet Inc")</f>
        <v>0</v>
      </c>
      <c r="C2343">
        <v>-0.08723747980613801</v>
      </c>
      <c r="D2343">
        <v>-0.305043050430504</v>
      </c>
      <c r="E2343">
        <v>-0.336465061655901</v>
      </c>
      <c r="F2343">
        <v>-0.3787795492028581</v>
      </c>
      <c r="G2343">
        <v>-0.44059405940594</v>
      </c>
      <c r="H2343">
        <v>0.494708994708994</v>
      </c>
      <c r="I2343">
        <v>1.839195979899497</v>
      </c>
    </row>
    <row r="2344" spans="1:9">
      <c r="A2344" s="1" t="s">
        <v>2356</v>
      </c>
      <c r="B2344">
        <f>HYPERLINK("https://www.suredividend.com/sure-analysis-research-database/","Quest Resource Holding Corp")</f>
        <v>0</v>
      </c>
      <c r="C2344">
        <v>-0.04838709677419301</v>
      </c>
      <c r="D2344">
        <v>-0.067930489731437</v>
      </c>
      <c r="E2344">
        <v>-0.080996884735202</v>
      </c>
      <c r="F2344">
        <v>-0.149855907780979</v>
      </c>
      <c r="G2344">
        <v>0.478696741854636</v>
      </c>
      <c r="H2344">
        <v>3.306569343065693</v>
      </c>
      <c r="I2344">
        <v>1.36</v>
      </c>
    </row>
    <row r="2345" spans="1:9">
      <c r="A2345" s="1" t="s">
        <v>2357</v>
      </c>
      <c r="B2345">
        <f>HYPERLINK("https://www.suredividend.com/sure-analysis-research-database/","Qurate Retail Inc")</f>
        <v>0</v>
      </c>
      <c r="C2345">
        <v>-0.146435452793834</v>
      </c>
      <c r="D2345">
        <v>-0.443467336683417</v>
      </c>
      <c r="E2345">
        <v>-0.49486311132396</v>
      </c>
      <c r="F2345">
        <v>-0.417105263157894</v>
      </c>
      <c r="G2345">
        <v>-0.5907507829316281</v>
      </c>
      <c r="H2345">
        <v>-0.182234364616407</v>
      </c>
      <c r="I2345">
        <v>-0.7892483349191241</v>
      </c>
    </row>
    <row r="2346" spans="1:9">
      <c r="A2346" s="1" t="s">
        <v>2358</v>
      </c>
      <c r="B2346">
        <f>HYPERLINK("https://www.suredividend.com/sure-analysis-research-database/","Qorvo Inc")</f>
        <v>0</v>
      </c>
      <c r="C2346">
        <v>-0.108437524573405</v>
      </c>
      <c r="D2346">
        <v>-0.237679015665971</v>
      </c>
      <c r="E2346">
        <v>-0.316452643636582</v>
      </c>
      <c r="F2346">
        <v>-0.275017584244516</v>
      </c>
      <c r="G2346">
        <v>-0.4103084204504081</v>
      </c>
      <c r="H2346">
        <v>0.305920294862934</v>
      </c>
      <c r="I2346">
        <v>0.6556658878504671</v>
      </c>
    </row>
    <row r="2347" spans="1:9">
      <c r="A2347" s="1" t="s">
        <v>2359</v>
      </c>
      <c r="B2347">
        <f>HYPERLINK("https://www.suredividend.com/sure-analysis-research-database/","Quanterix Corp")</f>
        <v>0</v>
      </c>
      <c r="C2347">
        <v>0.007009345794392</v>
      </c>
      <c r="D2347">
        <v>-0.207963246554364</v>
      </c>
      <c r="E2347">
        <v>-0.499903306903887</v>
      </c>
      <c r="F2347">
        <v>-0.390094339622641</v>
      </c>
      <c r="G2347">
        <v>-0.5766901293174</v>
      </c>
      <c r="H2347">
        <v>0.111779879621668</v>
      </c>
      <c r="I2347">
        <v>0.480251860331997</v>
      </c>
    </row>
    <row r="2348" spans="1:9">
      <c r="A2348" s="1" t="s">
        <v>2360</v>
      </c>
      <c r="B2348">
        <f>HYPERLINK("https://www.suredividend.com/sure-analysis-research-database/","Qts Realty Trust Inc")</f>
        <v>0</v>
      </c>
      <c r="C2348">
        <v>0.003088405610603</v>
      </c>
      <c r="D2348">
        <v>0.237832086767344</v>
      </c>
      <c r="E2348">
        <v>0.273106183098637</v>
      </c>
      <c r="F2348">
        <v>0.278042750079109</v>
      </c>
      <c r="G2348">
        <v>0.195862117634785</v>
      </c>
      <c r="H2348">
        <v>0.6937183582121981</v>
      </c>
      <c r="I2348">
        <v>0.709017561553134</v>
      </c>
    </row>
    <row r="2349" spans="1:9">
      <c r="A2349" s="1" t="s">
        <v>2361</v>
      </c>
      <c r="B2349">
        <f>HYPERLINK("https://www.suredividend.com/sure-analysis-research-database/","Q2 Holdings Inc")</f>
        <v>0</v>
      </c>
      <c r="C2349">
        <v>-0.040847718338745</v>
      </c>
      <c r="D2349">
        <v>-0.148018824958251</v>
      </c>
      <c r="E2349">
        <v>-0.312170609143277</v>
      </c>
      <c r="F2349">
        <v>-0.293554884189325</v>
      </c>
      <c r="G2349">
        <v>-0.467754172989377</v>
      </c>
      <c r="H2349">
        <v>-0.155709342560553</v>
      </c>
      <c r="I2349">
        <v>0.583074753173483</v>
      </c>
    </row>
    <row r="2350" spans="1:9">
      <c r="A2350" s="1" t="s">
        <v>2362</v>
      </c>
      <c r="B2350">
        <f>HYPERLINK("https://www.suredividend.com/sure-analysis-research-database/","Quad/Graphics Inc")</f>
        <v>0</v>
      </c>
      <c r="C2350">
        <v>0.156928213689482</v>
      </c>
      <c r="D2350">
        <v>0.490322580645161</v>
      </c>
      <c r="E2350">
        <v>0.600461893764434</v>
      </c>
      <c r="F2350">
        <v>0.732499999999999</v>
      </c>
      <c r="G2350">
        <v>0.833333333333333</v>
      </c>
      <c r="H2350">
        <v>1.739130434782608</v>
      </c>
      <c r="I2350">
        <v>-0.625636094514731</v>
      </c>
    </row>
    <row r="2351" spans="1:9">
      <c r="A2351" s="1" t="s">
        <v>2363</v>
      </c>
      <c r="B2351">
        <f>HYPERLINK("https://www.suredividend.com/sure-analysis-research-database/","Quicklogic Corp")</f>
        <v>0</v>
      </c>
      <c r="C2351">
        <v>0.017964071856287</v>
      </c>
      <c r="D2351">
        <v>-0.011627906976744</v>
      </c>
      <c r="E2351">
        <v>-0.109947643979057</v>
      </c>
      <c r="F2351">
        <v>-0.001956947162426</v>
      </c>
      <c r="G2351">
        <v>-0.223744292237442</v>
      </c>
      <c r="H2351">
        <v>0.717171717171716</v>
      </c>
      <c r="I2351">
        <v>-0.767970882620564</v>
      </c>
    </row>
    <row r="2352" spans="1:9">
      <c r="A2352" s="1" t="s">
        <v>2364</v>
      </c>
      <c r="B2352">
        <f>HYPERLINK("https://www.suredividend.com/sure-analysis-research-database/","Qumu Corp")</f>
        <v>0</v>
      </c>
      <c r="C2352">
        <v>0.054545454545454</v>
      </c>
      <c r="D2352">
        <v>-0.112244897959183</v>
      </c>
      <c r="E2352">
        <v>-0.175355450236966</v>
      </c>
      <c r="F2352">
        <v>-0.179245283018868</v>
      </c>
      <c r="G2352">
        <v>-0.7050847457627111</v>
      </c>
      <c r="H2352">
        <v>-0.209090909090909</v>
      </c>
      <c r="I2352">
        <v>-0.354359925788497</v>
      </c>
    </row>
    <row r="2353" spans="1:9">
      <c r="A2353" s="1" t="s">
        <v>2365</v>
      </c>
      <c r="B2353">
        <f>HYPERLINK("https://www.suredividend.com/sure-analysis-research-database/","Quotient Technology Inc")</f>
        <v>0</v>
      </c>
      <c r="C2353">
        <v>-0.07098765432098701</v>
      </c>
      <c r="D2353">
        <v>-0.146099290780141</v>
      </c>
      <c r="E2353">
        <v>-0.03680000000000001</v>
      </c>
      <c r="F2353">
        <v>-0.188679245283018</v>
      </c>
      <c r="G2353">
        <v>-0.6270136307311021</v>
      </c>
      <c r="H2353">
        <v>-0.011494252873563</v>
      </c>
      <c r="I2353">
        <v>-0.406896551724138</v>
      </c>
    </row>
    <row r="2354" spans="1:9">
      <c r="A2354" s="1" t="s">
        <v>2366</v>
      </c>
      <c r="B2354">
        <f>HYPERLINK("https://www.suredividend.com/sure-analysis-R/","Ryder System, Inc.")</f>
        <v>0</v>
      </c>
      <c r="C2354">
        <v>-0.220978340228766</v>
      </c>
      <c r="D2354">
        <v>-0.183391285935503</v>
      </c>
      <c r="E2354">
        <v>-0.224570528108409</v>
      </c>
      <c r="F2354">
        <v>-0.217569846740485</v>
      </c>
      <c r="G2354">
        <v>-0.152733038117749</v>
      </c>
      <c r="H2354">
        <v>1.520522057520817</v>
      </c>
      <c r="I2354">
        <v>0.043325212062938</v>
      </c>
    </row>
    <row r="2355" spans="1:9">
      <c r="A2355" s="1" t="s">
        <v>2367</v>
      </c>
      <c r="B2355">
        <f>HYPERLINK("https://www.suredividend.com/sure-analysis-research-database/","Rite Aid Corp.")</f>
        <v>0</v>
      </c>
      <c r="C2355">
        <v>-0.203969128996692</v>
      </c>
      <c r="D2355">
        <v>-0.4168012924071081</v>
      </c>
      <c r="E2355">
        <v>-0.47870036101083</v>
      </c>
      <c r="F2355">
        <v>-0.5085091899251191</v>
      </c>
      <c r="G2355">
        <v>-0.590702947845805</v>
      </c>
      <c r="H2355">
        <v>-0.36832895888014</v>
      </c>
      <c r="I2355">
        <v>-0.9204845814977971</v>
      </c>
    </row>
    <row r="2356" spans="1:9">
      <c r="A2356" s="1" t="s">
        <v>2368</v>
      </c>
      <c r="B2356">
        <f>HYPERLINK("https://www.suredividend.com/sure-analysis-research-database/","FreightCar America Inc")</f>
        <v>0</v>
      </c>
      <c r="C2356">
        <v>0.351807228915662</v>
      </c>
      <c r="D2356">
        <v>0.413098236775818</v>
      </c>
      <c r="E2356">
        <v>0.301624129930394</v>
      </c>
      <c r="F2356">
        <v>0.520325203252032</v>
      </c>
      <c r="G2356">
        <v>0.198717948717948</v>
      </c>
      <c r="H2356">
        <v>3.348837209302325</v>
      </c>
      <c r="I2356">
        <v>-0.5477812260690821</v>
      </c>
    </row>
    <row r="2357" spans="1:9">
      <c r="A2357" s="1" t="s">
        <v>2369</v>
      </c>
      <c r="B2357">
        <f>HYPERLINK("https://www.suredividend.com/sure-analysis-research-database/","LiveRamp Holdings Inc")</f>
        <v>0</v>
      </c>
      <c r="C2357">
        <v>-0.053157894736842</v>
      </c>
      <c r="D2357">
        <v>-0.197233377956269</v>
      </c>
      <c r="E2357">
        <v>-0.329606856716974</v>
      </c>
      <c r="F2357">
        <v>-0.24963503649635</v>
      </c>
      <c r="G2357">
        <v>-0.270921985815602</v>
      </c>
      <c r="H2357">
        <v>0.136449778900821</v>
      </c>
      <c r="I2357">
        <v>-0.253372068893961</v>
      </c>
    </row>
    <row r="2358" spans="1:9">
      <c r="A2358" s="1" t="s">
        <v>2370</v>
      </c>
      <c r="B2358">
        <f>HYPERLINK("https://www.suredividend.com/sure-analysis-research-database/","Ultragenyx Pharmaceutical Inc.")</f>
        <v>0</v>
      </c>
      <c r="C2358">
        <v>0.260330578512396</v>
      </c>
      <c r="D2358">
        <v>0.185287994448299</v>
      </c>
      <c r="E2358">
        <v>0.0675</v>
      </c>
      <c r="F2358">
        <v>0.0155785467951</v>
      </c>
      <c r="G2358">
        <v>-0.214495952906548</v>
      </c>
      <c r="H2358">
        <v>0.5072361454288741</v>
      </c>
      <c r="I2358">
        <v>0.416721964167219</v>
      </c>
    </row>
    <row r="2359" spans="1:9">
      <c r="A2359" s="1" t="s">
        <v>2371</v>
      </c>
      <c r="B2359">
        <f>HYPERLINK("https://www.suredividend.com/sure-analysis-research-database/","Rave Restaurant Group Inc")</f>
        <v>0</v>
      </c>
      <c r="C2359">
        <v>0.008867924528301001</v>
      </c>
      <c r="D2359">
        <v>0.048431372549019</v>
      </c>
      <c r="E2359">
        <v>-0.130569105691056</v>
      </c>
      <c r="F2359">
        <v>0.058811881188118</v>
      </c>
      <c r="G2359">
        <v>-0.177384615384615</v>
      </c>
      <c r="H2359">
        <v>0.495664335664335</v>
      </c>
      <c r="I2359">
        <v>-0.462613065326633</v>
      </c>
    </row>
    <row r="2360" spans="1:9">
      <c r="A2360" s="1" t="s">
        <v>2372</v>
      </c>
      <c r="B2360">
        <f>HYPERLINK("https://www.suredividend.com/sure-analysis-research-database/","Raven Industries, Inc.")</f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 t="s">
        <v>2373</v>
      </c>
      <c r="B2361">
        <f>HYPERLINK("https://www.suredividend.com/sure-analysis-research-database/","RBB Bancorp")</f>
        <v>0</v>
      </c>
      <c r="C2361">
        <v>-0.08356545961002701</v>
      </c>
      <c r="D2361">
        <v>-0.158155618753792</v>
      </c>
      <c r="E2361">
        <v>-0.094572546244422</v>
      </c>
      <c r="F2361">
        <v>-0.116385429376059</v>
      </c>
      <c r="G2361">
        <v>0.167293480795158</v>
      </c>
      <c r="H2361">
        <v>0.9290207476525921</v>
      </c>
      <c r="I2361">
        <v>0.076444880693636</v>
      </c>
    </row>
    <row r="2362" spans="1:9">
      <c r="A2362" s="1" t="s">
        <v>2374</v>
      </c>
      <c r="B2362">
        <f>HYPERLINK("https://www.suredividend.com/sure-analysis-research-database/","Ribbon Communications Inc")</f>
        <v>0</v>
      </c>
      <c r="C2362">
        <v>-0.09329446064139901</v>
      </c>
      <c r="D2362">
        <v>-0.469283276450512</v>
      </c>
      <c r="E2362">
        <v>-0.498387096774193</v>
      </c>
      <c r="F2362">
        <v>-0.48595041322314</v>
      </c>
      <c r="G2362">
        <v>-0.6319526627218931</v>
      </c>
      <c r="H2362">
        <v>0.098939929328621</v>
      </c>
      <c r="I2362">
        <v>-0.602301790281329</v>
      </c>
    </row>
    <row r="2363" spans="1:9">
      <c r="A2363" s="1" t="s">
        <v>2375</v>
      </c>
      <c r="B2363">
        <f>HYPERLINK("https://www.suredividend.com/sure-analysis-research-database/","Regal Beloit Corp")</f>
        <v>0</v>
      </c>
      <c r="C2363">
        <v>0.045954097161516</v>
      </c>
      <c r="D2363">
        <v>0.188499106657956</v>
      </c>
      <c r="E2363">
        <v>0.08943700637140201</v>
      </c>
      <c r="F2363">
        <v>0.294734802299997</v>
      </c>
      <c r="G2363">
        <v>0.704081218090797</v>
      </c>
      <c r="H2363">
        <v>1.280460381154033</v>
      </c>
      <c r="I2363">
        <v>1.811556801826208</v>
      </c>
    </row>
    <row r="2364" spans="1:9">
      <c r="A2364" s="1" t="s">
        <v>2376</v>
      </c>
      <c r="B2364">
        <f>HYPERLINK("https://www.suredividend.com/sure-analysis-research-database/","Republic Bancorp, Inc. (KY)")</f>
        <v>0</v>
      </c>
      <c r="C2364">
        <v>-0.034589346742419</v>
      </c>
      <c r="D2364">
        <v>-0.144076857459365</v>
      </c>
      <c r="E2364">
        <v>-0.13677830481555</v>
      </c>
      <c r="F2364">
        <v>-0.121180056038394</v>
      </c>
      <c r="G2364">
        <v>-0.002229516458151</v>
      </c>
      <c r="H2364">
        <v>0.6692574344999941</v>
      </c>
      <c r="I2364">
        <v>0.5259637484688751</v>
      </c>
    </row>
    <row r="2365" spans="1:9">
      <c r="A2365" s="1" t="s">
        <v>2377</v>
      </c>
      <c r="B2365">
        <f>HYPERLINK("https://www.suredividend.com/sure-analysis-research-database/","Rubicon Technology Inc")</f>
        <v>0</v>
      </c>
      <c r="C2365">
        <v>0.034285714285714</v>
      </c>
      <c r="D2365">
        <v>0.021444695259593</v>
      </c>
      <c r="E2365">
        <v>-0.103072348860257</v>
      </c>
      <c r="F2365">
        <v>0.008907370040467001</v>
      </c>
      <c r="G2365">
        <v>-0.166666666666666</v>
      </c>
      <c r="H2365">
        <v>0.14702154626109</v>
      </c>
      <c r="I2365">
        <v>0.191102921821532</v>
      </c>
    </row>
    <row r="2366" spans="1:9">
      <c r="A2366" s="1" t="s">
        <v>2378</v>
      </c>
      <c r="B2366">
        <f>HYPERLINK("https://www.suredividend.com/sure-analysis-research-database/","Reliant Bancorp Inc")</f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2379</v>
      </c>
      <c r="B2367">
        <f>HYPERLINK("https://www.suredividend.com/sure-analysis-research-database/","Ready Capital Corp")</f>
        <v>0</v>
      </c>
      <c r="C2367">
        <v>0.019396480021292</v>
      </c>
      <c r="D2367">
        <v>0.015450490160337</v>
      </c>
      <c r="E2367">
        <v>0.07255873869332601</v>
      </c>
      <c r="F2367">
        <v>0.007000361521017</v>
      </c>
      <c r="G2367">
        <v>0.219881196948704</v>
      </c>
      <c r="H2367">
        <v>2.342569764143739</v>
      </c>
      <c r="I2367">
        <v>0.207325914951297</v>
      </c>
    </row>
    <row r="2368" spans="1:9">
      <c r="A2368" s="1" t="s">
        <v>2380</v>
      </c>
      <c r="B2368">
        <f>HYPERLINK("https://www.suredividend.com/sure-analysis-research-database/","Rent-a-Center Inc.")</f>
        <v>0</v>
      </c>
      <c r="C2368">
        <v>-0.068003311776947</v>
      </c>
      <c r="D2368">
        <v>-0.439978665853937</v>
      </c>
      <c r="E2368">
        <v>-0.517985375610715</v>
      </c>
      <c r="F2368">
        <v>-0.472503255957293</v>
      </c>
      <c r="G2368">
        <v>-0.546613206092328</v>
      </c>
      <c r="H2368">
        <v>0.579995574242088</v>
      </c>
      <c r="I2368">
        <v>1.628091872791519</v>
      </c>
    </row>
    <row r="2369" spans="1:9">
      <c r="A2369" s="1" t="s">
        <v>2381</v>
      </c>
      <c r="B2369">
        <f>HYPERLINK("https://www.suredividend.com/sure-analysis-research-database/","Rocket Pharmaceuticals Inc")</f>
        <v>0</v>
      </c>
      <c r="C2369">
        <v>-0.08316430020283901</v>
      </c>
      <c r="D2369">
        <v>-0.277570591369206</v>
      </c>
      <c r="E2369">
        <v>-0.514326647564469</v>
      </c>
      <c r="F2369">
        <v>-0.378836463582226</v>
      </c>
      <c r="G2369">
        <v>-0.6874855957593911</v>
      </c>
      <c r="H2369">
        <v>-0.117187499999999</v>
      </c>
      <c r="I2369">
        <v>0.576744186046511</v>
      </c>
    </row>
    <row r="2370" spans="1:9">
      <c r="A2370" s="1" t="s">
        <v>2382</v>
      </c>
      <c r="B2370">
        <f>HYPERLINK("https://www.suredividend.com/sure-analysis-research-database/","Rocky Brands, Inc")</f>
        <v>0</v>
      </c>
      <c r="C2370">
        <v>-0.08564455291768301</v>
      </c>
      <c r="D2370">
        <v>-0.041634593247023</v>
      </c>
      <c r="E2370">
        <v>-0.183617677123861</v>
      </c>
      <c r="F2370">
        <v>0.039512052386766</v>
      </c>
      <c r="G2370">
        <v>-0.30526755881034</v>
      </c>
      <c r="H2370">
        <v>1.244418907363937</v>
      </c>
      <c r="I2370">
        <v>3.088374769340661</v>
      </c>
    </row>
    <row r="2371" spans="1:9">
      <c r="A2371" s="1" t="s">
        <v>2383</v>
      </c>
      <c r="B2371">
        <f>HYPERLINK("https://www.suredividend.com/sure-analysis-research-database/","Royal Caribbean Group")</f>
        <v>0</v>
      </c>
      <c r="C2371">
        <v>0.107712944332662</v>
      </c>
      <c r="D2371">
        <v>-0.01865715983363</v>
      </c>
      <c r="E2371">
        <v>-0.04332715477293701</v>
      </c>
      <c r="F2371">
        <v>0.073862158647594</v>
      </c>
      <c r="G2371">
        <v>-0.032907834641058</v>
      </c>
      <c r="H2371">
        <v>1.428109379594237</v>
      </c>
      <c r="I2371">
        <v>-0.05989016493474501</v>
      </c>
    </row>
    <row r="2372" spans="1:9">
      <c r="A2372" s="1" t="s">
        <v>2384</v>
      </c>
      <c r="B2372">
        <f>HYPERLINK("https://www.suredividend.com/sure-analysis-research-database/","R1 RCM Inc")</f>
        <v>0</v>
      </c>
      <c r="C2372">
        <v>0.065304487179487</v>
      </c>
      <c r="D2372">
        <v>0.321570576540755</v>
      </c>
      <c r="E2372">
        <v>0.181252776543758</v>
      </c>
      <c r="F2372">
        <v>0.043154178109062</v>
      </c>
      <c r="G2372">
        <v>0.029423151374371</v>
      </c>
      <c r="H2372">
        <v>1.810782241014799</v>
      </c>
      <c r="I2372">
        <v>6.597142857142857</v>
      </c>
    </row>
    <row r="2373" spans="1:9">
      <c r="A2373" s="1" t="s">
        <v>2385</v>
      </c>
      <c r="B2373">
        <f>HYPERLINK("https://www.suredividend.com/sure-analysis-research-database/","RCM Technologies, Inc.")</f>
        <v>0</v>
      </c>
      <c r="C2373">
        <v>0.7081712062256801</v>
      </c>
      <c r="D2373">
        <v>0.8922413793103441</v>
      </c>
      <c r="E2373">
        <v>1.198664440734557</v>
      </c>
      <c r="F2373">
        <v>0.8497191011235951</v>
      </c>
      <c r="G2373">
        <v>2.884955752212389</v>
      </c>
      <c r="H2373">
        <v>8.828358208955223</v>
      </c>
      <c r="I2373">
        <v>2.206642156265978</v>
      </c>
    </row>
    <row r="2374" spans="1:9">
      <c r="A2374" s="1" t="s">
        <v>2386</v>
      </c>
      <c r="B2374">
        <f>HYPERLINK("https://www.suredividend.com/sure-analysis-research-database/","Arcus Biosciences Inc")</f>
        <v>0</v>
      </c>
      <c r="C2374">
        <v>-0.041654180401558</v>
      </c>
      <c r="D2374">
        <v>-0.106953364981848</v>
      </c>
      <c r="E2374">
        <v>-0.070078511195114</v>
      </c>
      <c r="F2374">
        <v>-0.209785025945144</v>
      </c>
      <c r="G2374">
        <v>-0.034711741623905</v>
      </c>
      <c r="H2374">
        <v>0.08406779661016901</v>
      </c>
      <c r="I2374">
        <v>0.8811764705882351</v>
      </c>
    </row>
    <row r="2375" spans="1:9">
      <c r="A2375" s="1" t="s">
        <v>2387</v>
      </c>
      <c r="B2375">
        <f>HYPERLINK("https://www.suredividend.com/sure-analysis-research-database/","Redfin Corp")</f>
        <v>0</v>
      </c>
      <c r="C2375">
        <v>-0.21624529316837</v>
      </c>
      <c r="D2375">
        <v>-0.5504473927800061</v>
      </c>
      <c r="E2375">
        <v>-0.716702313824616</v>
      </c>
      <c r="F2375">
        <v>-0.620474081792133</v>
      </c>
      <c r="G2375">
        <v>-0.7793427230046941</v>
      </c>
      <c r="H2375">
        <v>-0.139905548996458</v>
      </c>
      <c r="I2375">
        <v>-0.328571428571428</v>
      </c>
    </row>
    <row r="2376" spans="1:9">
      <c r="A2376" s="1" t="s">
        <v>2388</v>
      </c>
      <c r="B2376">
        <f>HYPERLINK("https://www.suredividend.com/sure-analysis-research-database/","Reading International Inc")</f>
        <v>0</v>
      </c>
      <c r="C2376">
        <v>-0.034246575342465</v>
      </c>
      <c r="D2376">
        <v>-0.044067796610169</v>
      </c>
      <c r="E2376">
        <v>-0.152304609218436</v>
      </c>
      <c r="F2376">
        <v>0.047029702970297</v>
      </c>
      <c r="G2376">
        <v>-0.342146189735614</v>
      </c>
      <c r="H2376">
        <v>0.251479289940828</v>
      </c>
      <c r="I2376">
        <v>-0.7164879356568361</v>
      </c>
    </row>
    <row r="2377" spans="1:9">
      <c r="A2377" s="1" t="s">
        <v>2389</v>
      </c>
      <c r="B2377">
        <f>HYPERLINK("https://www.suredividend.com/sure-analysis-research-database/","Radian Group, Inc.")</f>
        <v>0</v>
      </c>
      <c r="C2377">
        <v>-0.04631217838765</v>
      </c>
      <c r="D2377">
        <v>-0.049284184517524</v>
      </c>
      <c r="E2377">
        <v>-0.069868593845407</v>
      </c>
      <c r="F2377">
        <v>0.061397857159901</v>
      </c>
      <c r="G2377">
        <v>-0.041470205411555</v>
      </c>
      <c r="H2377">
        <v>0.8426459866109891</v>
      </c>
      <c r="I2377">
        <v>0.293301466013037</v>
      </c>
    </row>
    <row r="2378" spans="1:9">
      <c r="A2378" s="1" t="s">
        <v>2390</v>
      </c>
      <c r="B2378">
        <f>HYPERLINK("https://www.suredividend.com/sure-analysis-research-database/","Radnet Inc")</f>
        <v>0</v>
      </c>
      <c r="C2378">
        <v>-0.045016077170418</v>
      </c>
      <c r="D2378">
        <v>-0.26171875</v>
      </c>
      <c r="E2378">
        <v>-0.277623349548297</v>
      </c>
      <c r="F2378">
        <v>-0.309531717037529</v>
      </c>
      <c r="G2378">
        <v>-0.06414584740040501</v>
      </c>
      <c r="H2378">
        <v>0.889999999999999</v>
      </c>
      <c r="I2378">
        <v>2.523728813559322</v>
      </c>
    </row>
    <row r="2379" spans="1:9">
      <c r="A2379" s="1" t="s">
        <v>2391</v>
      </c>
      <c r="B2379">
        <f>HYPERLINK("https://www.suredividend.com/sure-analysis-research-database/","Radius Health Inc.")</f>
        <v>0</v>
      </c>
      <c r="C2379">
        <v>-0.020987654320987</v>
      </c>
      <c r="D2379">
        <v>0.2390625</v>
      </c>
      <c r="E2379">
        <v>-0.474834437086092</v>
      </c>
      <c r="F2379">
        <v>0.145953757225433</v>
      </c>
      <c r="G2379">
        <v>-0.597666159309995</v>
      </c>
      <c r="H2379">
        <v>-0.427023121387283</v>
      </c>
      <c r="I2379">
        <v>-0.782441700960219</v>
      </c>
    </row>
    <row r="2380" spans="1:9">
      <c r="A2380" s="1" t="s">
        <v>2392</v>
      </c>
      <c r="B2380">
        <f>HYPERLINK("https://www.suredividend.com/sure-analysis-research-database/","Red Violet Inc")</f>
        <v>0</v>
      </c>
      <c r="C2380">
        <v>-0.008908685968819</v>
      </c>
      <c r="D2380">
        <v>-0.127165740438051</v>
      </c>
      <c r="E2380">
        <v>-0.159055118110236</v>
      </c>
      <c r="F2380">
        <v>-0.327286470143613</v>
      </c>
      <c r="G2380">
        <v>0.270823417420275</v>
      </c>
      <c r="H2380">
        <v>0.289855072463768</v>
      </c>
      <c r="I2380">
        <v>3.306451612903226</v>
      </c>
    </row>
    <row r="2381" spans="1:9">
      <c r="A2381" s="1" t="s">
        <v>2393</v>
      </c>
      <c r="B2381">
        <f>HYPERLINK("https://www.suredividend.com/sure-analysis-RE/","Everest Re Group Ltd")</f>
        <v>0</v>
      </c>
      <c r="C2381">
        <v>0.025299929428369</v>
      </c>
      <c r="D2381">
        <v>0.006666301744213001</v>
      </c>
      <c r="E2381">
        <v>0.055658875807039</v>
      </c>
      <c r="F2381">
        <v>0.06686356358205001</v>
      </c>
      <c r="G2381">
        <v>0.134632633544937</v>
      </c>
      <c r="H2381">
        <v>0.6211044286495351</v>
      </c>
      <c r="I2381">
        <v>0.377522261417761</v>
      </c>
    </row>
    <row r="2382" spans="1:9">
      <c r="A2382" s="1" t="s">
        <v>2394</v>
      </c>
      <c r="B2382">
        <f>HYPERLINK("https://www.suredividend.com/sure-analysis-research-database/","Reeds Inc")</f>
        <v>0</v>
      </c>
      <c r="C2382">
        <v>0.07413010590015101</v>
      </c>
      <c r="D2382">
        <v>-0.198193111236589</v>
      </c>
      <c r="E2382">
        <v>-0.5632113195939711</v>
      </c>
      <c r="F2382">
        <v>-0.208252021187622</v>
      </c>
      <c r="G2382">
        <v>-0.7075782537067541</v>
      </c>
      <c r="H2382">
        <v>-0.252631578947368</v>
      </c>
      <c r="I2382">
        <v>-0.933953488372093</v>
      </c>
    </row>
    <row r="2383" spans="1:9">
      <c r="A2383" s="1" t="s">
        <v>2395</v>
      </c>
      <c r="B2383">
        <f>HYPERLINK("https://www.suredividend.com/sure-analysis-research-database/","Research Frontiers Inc.")</f>
        <v>0</v>
      </c>
      <c r="C2383">
        <v>-0.1701244813278</v>
      </c>
      <c r="D2383">
        <v>0.219512195121951</v>
      </c>
      <c r="E2383">
        <v>-0.134199134199134</v>
      </c>
      <c r="F2383">
        <v>0.162790697674418</v>
      </c>
      <c r="G2383">
        <v>-0.250936329588014</v>
      </c>
      <c r="H2383">
        <v>-0.11504424778761</v>
      </c>
      <c r="I2383">
        <v>0.44927536231884</v>
      </c>
    </row>
    <row r="2384" spans="1:9">
      <c r="A2384" s="1" t="s">
        <v>2396</v>
      </c>
      <c r="B2384">
        <f>HYPERLINK("https://www.suredividend.com/sure-analysis-REG/","Regency Centers Corporation")</f>
        <v>0</v>
      </c>
      <c r="C2384">
        <v>0.059282605432988</v>
      </c>
      <c r="D2384">
        <v>-0.060076280576152</v>
      </c>
      <c r="E2384">
        <v>0.017142115995705</v>
      </c>
      <c r="F2384">
        <v>-0.054462833610644</v>
      </c>
      <c r="G2384">
        <v>0.230126777304875</v>
      </c>
      <c r="H2384">
        <v>1.080637220943155</v>
      </c>
      <c r="I2384">
        <v>0.285973271142125</v>
      </c>
    </row>
    <row r="2385" spans="1:9">
      <c r="A2385" s="1" t="s">
        <v>2397</v>
      </c>
      <c r="B2385">
        <f>HYPERLINK("https://www.suredividend.com/sure-analysis-research-database/","Renewable Energy Group Inc")</f>
        <v>0</v>
      </c>
      <c r="C2385">
        <v>-0.00392670157068</v>
      </c>
      <c r="D2385">
        <v>0.344819969074442</v>
      </c>
      <c r="E2385">
        <v>0.148679245283019</v>
      </c>
      <c r="F2385">
        <v>0.43449575871819</v>
      </c>
      <c r="G2385">
        <v>-0.06107341147439801</v>
      </c>
      <c r="H2385">
        <v>1.908743430482561</v>
      </c>
      <c r="I2385">
        <v>5.149494949494949</v>
      </c>
    </row>
    <row r="2386" spans="1:9">
      <c r="A2386" s="1" t="s">
        <v>2398</v>
      </c>
      <c r="B2386">
        <f>HYPERLINK("https://www.suredividend.com/sure-analysis-research-database/","Regeneron Pharmaceuticals, Inc.")</f>
        <v>0</v>
      </c>
      <c r="C2386">
        <v>0.081182335762116</v>
      </c>
      <c r="D2386">
        <v>0.191437487809635</v>
      </c>
      <c r="E2386">
        <v>0.324958426722579</v>
      </c>
      <c r="F2386">
        <v>0.160723334177856</v>
      </c>
      <c r="G2386">
        <v>0.458456028651014</v>
      </c>
      <c r="H2386">
        <v>0.357620432278258</v>
      </c>
      <c r="I2386">
        <v>0.9791559791559791</v>
      </c>
    </row>
    <row r="2387" spans="1:9">
      <c r="A2387" s="1" t="s">
        <v>2399</v>
      </c>
      <c r="B2387">
        <f>HYPERLINK("https://www.suredividend.com/sure-analysis-research-database/","Ring Energy Inc")</f>
        <v>0</v>
      </c>
      <c r="C2387">
        <v>0.302180685358255</v>
      </c>
      <c r="D2387">
        <v>0.492857142857142</v>
      </c>
      <c r="E2387">
        <v>0.091383812010443</v>
      </c>
      <c r="F2387">
        <v>0.833333333333333</v>
      </c>
      <c r="G2387">
        <v>0.9441860465116281</v>
      </c>
      <c r="H2387">
        <v>6.500448591422932</v>
      </c>
      <c r="I2387">
        <v>-0.644859813084112</v>
      </c>
    </row>
    <row r="2388" spans="1:9">
      <c r="A2388" s="1" t="s">
        <v>2400</v>
      </c>
      <c r="B2388">
        <f>HYPERLINK("https://www.suredividend.com/sure-analysis-research-database/","Richardson Electronics, Ltd.")</f>
        <v>0</v>
      </c>
      <c r="C2388">
        <v>0.006705783738474001</v>
      </c>
      <c r="D2388">
        <v>-0.173917529318705</v>
      </c>
      <c r="E2388">
        <v>-0.002897491884532</v>
      </c>
      <c r="F2388">
        <v>-0.107315405312997</v>
      </c>
      <c r="G2388">
        <v>0.683369542364566</v>
      </c>
      <c r="H2388">
        <v>2.166860035861196</v>
      </c>
      <c r="I2388">
        <v>1.439866731675605</v>
      </c>
    </row>
    <row r="2389" spans="1:9">
      <c r="A2389" s="1" t="s">
        <v>2401</v>
      </c>
      <c r="B2389">
        <f>HYPERLINK("https://www.suredividend.com/sure-analysis-research-database/","Reliv` International, Inc.")</f>
        <v>0</v>
      </c>
      <c r="C2389">
        <v>0.695652173913043</v>
      </c>
      <c r="D2389">
        <v>-0.178947368421052</v>
      </c>
      <c r="E2389">
        <v>0.199963078059136</v>
      </c>
      <c r="F2389">
        <v>-0.08235294117647</v>
      </c>
      <c r="G2389">
        <v>-0.05569007263922501</v>
      </c>
      <c r="H2389">
        <v>0.5175097276264591</v>
      </c>
      <c r="I2389">
        <v>0.5175097276264591</v>
      </c>
    </row>
    <row r="2390" spans="1:9">
      <c r="A2390" s="1" t="s">
        <v>2402</v>
      </c>
      <c r="B2390">
        <f>HYPERLINK("https://www.suredividend.com/sure-analysis-research-database/","Replimune Group Inc")</f>
        <v>0</v>
      </c>
      <c r="C2390">
        <v>0.115577889447236</v>
      </c>
      <c r="D2390">
        <v>-0.255969836614997</v>
      </c>
      <c r="E2390">
        <v>-0.41094527363184</v>
      </c>
      <c r="F2390">
        <v>-0.3446494464944641</v>
      </c>
      <c r="G2390">
        <v>-0.407209612817089</v>
      </c>
      <c r="H2390">
        <v>0.547038327526132</v>
      </c>
      <c r="I2390">
        <v>0.171503957783641</v>
      </c>
    </row>
    <row r="2391" spans="1:9">
      <c r="A2391" s="1" t="s">
        <v>2403</v>
      </c>
      <c r="B2391">
        <f>HYPERLINK("https://www.suredividend.com/sure-analysis-research-database/","RPC, Inc.")</f>
        <v>0</v>
      </c>
      <c r="C2391">
        <v>0.273846153846153</v>
      </c>
      <c r="D2391">
        <v>1.069999999999999</v>
      </c>
      <c r="E2391">
        <v>1.202127659574468</v>
      </c>
      <c r="F2391">
        <v>1.73568281938326</v>
      </c>
      <c r="G2391">
        <v>1.444881889763779</v>
      </c>
      <c r="H2391">
        <v>4.4</v>
      </c>
      <c r="I2391">
        <v>-0.312178102674862</v>
      </c>
    </row>
    <row r="2392" spans="1:9">
      <c r="A2392" s="1" t="s">
        <v>2404</v>
      </c>
      <c r="B2392">
        <f>HYPERLINK("https://www.suredividend.com/sure-analysis-research-database/","Kelly Strategic ETF Trust")</f>
        <v>0</v>
      </c>
      <c r="C2392">
        <v>0.018968830361432</v>
      </c>
      <c r="D2392">
        <v>-0.012562642057124</v>
      </c>
      <c r="E2392">
        <v>-0.021266633642538</v>
      </c>
      <c r="F2392">
        <v>-0.021266633642538</v>
      </c>
      <c r="G2392">
        <v>-0.021266633642538</v>
      </c>
      <c r="H2392">
        <v>-0.021266633642538</v>
      </c>
      <c r="I2392">
        <v>-0.021266633642538</v>
      </c>
    </row>
    <row r="2393" spans="1:9">
      <c r="A2393" s="1" t="s">
        <v>2405</v>
      </c>
      <c r="B2393">
        <f>HYPERLINK("https://www.suredividend.com/sure-analysis-research-database/","Resonant Inc")</f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2406</v>
      </c>
      <c r="B2394">
        <f>HYPERLINK("https://www.suredividend.com/sure-analysis-research-database/","Reata Pharmaceuticals Inc")</f>
        <v>0</v>
      </c>
      <c r="C2394">
        <v>-0.00117130307467</v>
      </c>
      <c r="D2394">
        <v>0.186847599164927</v>
      </c>
      <c r="E2394">
        <v>-0.65349451442503</v>
      </c>
      <c r="F2394">
        <v>0.293515358361774</v>
      </c>
      <c r="G2394">
        <v>-0.624628590293826</v>
      </c>
      <c r="H2394">
        <v>-0.757586525477933</v>
      </c>
      <c r="I2394">
        <v>0.6021606387975571</v>
      </c>
    </row>
    <row r="2395" spans="1:9">
      <c r="A2395" s="1" t="s">
        <v>2407</v>
      </c>
      <c r="B2395">
        <f>HYPERLINK("https://www.suredividend.com/sure-analysis-research-database/","Revlon, Inc.")</f>
        <v>0</v>
      </c>
      <c r="C2395">
        <v>-0.117848970251716</v>
      </c>
      <c r="D2395">
        <v>-0.254352030947775</v>
      </c>
      <c r="E2395">
        <v>-0.280112044817927</v>
      </c>
      <c r="F2395">
        <v>-0.32010582010582</v>
      </c>
      <c r="G2395">
        <v>-0.296532846715328</v>
      </c>
      <c r="H2395">
        <v>-0.326048951048951</v>
      </c>
      <c r="I2395">
        <v>-0.7028901734104041</v>
      </c>
    </row>
    <row r="2396" spans="1:9">
      <c r="A2396" s="1" t="s">
        <v>2408</v>
      </c>
      <c r="B2396">
        <f>HYPERLINK("https://www.suredividend.com/sure-analysis-research-database/","REV Group Inc")</f>
        <v>0</v>
      </c>
      <c r="C2396">
        <v>-0.07108269229334301</v>
      </c>
      <c r="D2396">
        <v>-0.115163748010006</v>
      </c>
      <c r="E2396">
        <v>-0.166387679946434</v>
      </c>
      <c r="F2396">
        <v>-0.117033800938993</v>
      </c>
      <c r="G2396">
        <v>-0.3554833098649881</v>
      </c>
      <c r="H2396">
        <v>2.354890864995958</v>
      </c>
      <c r="I2396">
        <v>-0.515043392904442</v>
      </c>
    </row>
    <row r="2397" spans="1:9">
      <c r="A2397" s="1" t="s">
        <v>2409</v>
      </c>
      <c r="B2397">
        <f>HYPERLINK("https://www.suredividend.com/sure-analysis-research-database/","REX American Resources Corp")</f>
        <v>0</v>
      </c>
      <c r="C2397">
        <v>-0.065364157119476</v>
      </c>
      <c r="D2397">
        <v>-0.137530677742118</v>
      </c>
      <c r="E2397">
        <v>0.053499365848034</v>
      </c>
      <c r="F2397">
        <v>-0.048229166666666</v>
      </c>
      <c r="G2397">
        <v>0.091376015289058</v>
      </c>
      <c r="H2397">
        <v>0.7656038647342991</v>
      </c>
      <c r="I2397">
        <v>0.04387067291214401</v>
      </c>
    </row>
    <row r="2398" spans="1:9">
      <c r="A2398" s="1" t="s">
        <v>2410</v>
      </c>
      <c r="B2398">
        <f>HYPERLINK("https://www.suredividend.com/sure-analysis-research-database/","Rexford Industrial Realty Inc")</f>
        <v>0</v>
      </c>
      <c r="C2398">
        <v>0.07440592460541801</v>
      </c>
      <c r="D2398">
        <v>0.033194317295629</v>
      </c>
      <c r="E2398">
        <v>0.258214814827049</v>
      </c>
      <c r="F2398">
        <v>-0.05686539594816</v>
      </c>
      <c r="G2398">
        <v>0.412048192771084</v>
      </c>
      <c r="H2398">
        <v>0.9299512318702891</v>
      </c>
      <c r="I2398">
        <v>2.441110840086367</v>
      </c>
    </row>
    <row r="2399" spans="1:9">
      <c r="A2399" s="1" t="s">
        <v>2411</v>
      </c>
      <c r="B2399">
        <f>HYPERLINK("https://www.suredividend.com/sure-analysis-research-database/","Resideo Technologies Inc")</f>
        <v>0</v>
      </c>
      <c r="C2399">
        <v>-0.143018018018018</v>
      </c>
      <c r="D2399">
        <v>-0.127627053878486</v>
      </c>
      <c r="E2399">
        <v>-0.09296781883194201</v>
      </c>
      <c r="F2399">
        <v>-0.122935074913561</v>
      </c>
      <c r="G2399">
        <v>-0.200910045502275</v>
      </c>
      <c r="H2399">
        <v>3.736514522821576</v>
      </c>
      <c r="I2399">
        <v>-0.212758620689655</v>
      </c>
    </row>
    <row r="2400" spans="1:9">
      <c r="A2400" s="1" t="s">
        <v>2412</v>
      </c>
      <c r="B2400">
        <f>HYPERLINK("https://www.suredividend.com/sure-analysis-RF/","Regions Financial Corp.")</f>
        <v>0</v>
      </c>
      <c r="C2400">
        <v>-0.119371282922684</v>
      </c>
      <c r="D2400">
        <v>-0.177955078992449</v>
      </c>
      <c r="E2400">
        <v>-0.06153658105960801</v>
      </c>
      <c r="F2400">
        <v>-0.041825938645429</v>
      </c>
      <c r="G2400">
        <v>0.008087066043562</v>
      </c>
      <c r="H2400">
        <v>1.520824466468049</v>
      </c>
      <c r="I2400">
        <v>0.7722341435056551</v>
      </c>
    </row>
    <row r="2401" spans="1:9">
      <c r="A2401" s="1" t="s">
        <v>2413</v>
      </c>
      <c r="B2401">
        <f>HYPERLINK("https://www.suredividend.com/sure-analysis-research-database/","RF Industries Ltd.")</f>
        <v>0</v>
      </c>
      <c r="C2401">
        <v>-0.040616246498599</v>
      </c>
      <c r="D2401">
        <v>-0.07432432432432401</v>
      </c>
      <c r="E2401">
        <v>-0.109232769830949</v>
      </c>
      <c r="F2401">
        <v>-0.14375</v>
      </c>
      <c r="G2401">
        <v>0.014814814814814</v>
      </c>
      <c r="H2401">
        <v>0.412371134020618</v>
      </c>
      <c r="I2401">
        <v>3.835521671608075</v>
      </c>
    </row>
    <row r="2402" spans="1:9">
      <c r="A2402" s="1" t="s">
        <v>2414</v>
      </c>
      <c r="B2402">
        <f>HYPERLINK("https://www.suredividend.com/sure-analysis-research-database/","Rafael Holdings Inc")</f>
        <v>0</v>
      </c>
      <c r="C2402">
        <v>-0.027522935779816</v>
      </c>
      <c r="D2402">
        <v>-0.5734406438631791</v>
      </c>
      <c r="E2402">
        <v>-0.9305828421741971</v>
      </c>
      <c r="F2402">
        <v>-0.584313725490196</v>
      </c>
      <c r="G2402">
        <v>-0.9462338321075321</v>
      </c>
      <c r="H2402">
        <v>-0.8236272878535771</v>
      </c>
      <c r="I2402">
        <v>-0.56734693877551</v>
      </c>
    </row>
    <row r="2403" spans="1:9">
      <c r="A2403" s="1" t="s">
        <v>2415</v>
      </c>
      <c r="B2403">
        <f>HYPERLINK("https://www.suredividend.com/sure-analysis-research-database/","Resolute Forest Products Inc")</f>
        <v>0</v>
      </c>
      <c r="C2403">
        <v>-0.078928312816799</v>
      </c>
      <c r="D2403">
        <v>-0.207476635514018</v>
      </c>
      <c r="E2403">
        <v>-0.057777777777777</v>
      </c>
      <c r="F2403">
        <v>-0.166994106090373</v>
      </c>
      <c r="G2403">
        <v>-0.07208147007973301</v>
      </c>
      <c r="H2403">
        <v>8.945269741985928</v>
      </c>
      <c r="I2403">
        <v>1.639223172047472</v>
      </c>
    </row>
    <row r="2404" spans="1:9">
      <c r="A2404" s="1" t="s">
        <v>2416</v>
      </c>
      <c r="B2404">
        <f>HYPERLINK("https://www.suredividend.com/sure-analysis-RGA/","Reinsurance Group Of America, Inc.")</f>
        <v>0</v>
      </c>
      <c r="C2404">
        <v>0.08306094981734201</v>
      </c>
      <c r="D2404">
        <v>-0.04618622650918201</v>
      </c>
      <c r="E2404">
        <v>-0.056061532789838</v>
      </c>
      <c r="F2404">
        <v>0.035614055891537</v>
      </c>
      <c r="G2404">
        <v>-0.125709691538335</v>
      </c>
      <c r="H2404">
        <v>0.236827284414285</v>
      </c>
      <c r="I2404">
        <v>0.004275256640197</v>
      </c>
    </row>
    <row r="2405" spans="1:9">
      <c r="A2405" s="1" t="s">
        <v>2417</v>
      </c>
      <c r="B2405">
        <f>HYPERLINK("https://www.suredividend.com/sure-analysis-research-database/","RGC Resources, Inc.")</f>
        <v>0</v>
      </c>
      <c r="C2405">
        <v>-0.02653204332024</v>
      </c>
      <c r="D2405">
        <v>-0.049409237379162</v>
      </c>
      <c r="E2405">
        <v>-0.02075140271368</v>
      </c>
      <c r="F2405">
        <v>-0.060330830793188</v>
      </c>
      <c r="G2405">
        <v>-0.030805243872946</v>
      </c>
      <c r="H2405">
        <v>-0.131131982851719</v>
      </c>
      <c r="I2405">
        <v>0.06351550960118101</v>
      </c>
    </row>
    <row r="2406" spans="1:9">
      <c r="A2406" s="1" t="s">
        <v>2418</v>
      </c>
      <c r="B2406">
        <f>HYPERLINK("https://www.suredividend.com/sure-analysis-research-database/","Repligen Corp.")</f>
        <v>0</v>
      </c>
      <c r="C2406">
        <v>-0.117436328015673</v>
      </c>
      <c r="D2406">
        <v>-0.184156059194867</v>
      </c>
      <c r="E2406">
        <v>-0.409298666267046</v>
      </c>
      <c r="F2406">
        <v>-0.404659417006494</v>
      </c>
      <c r="G2406">
        <v>-0.260806375996249</v>
      </c>
      <c r="H2406">
        <v>0.499548242902658</v>
      </c>
      <c r="I2406">
        <v>3.46025459688826</v>
      </c>
    </row>
    <row r="2407" spans="1:9">
      <c r="A2407" s="1" t="s">
        <v>2419</v>
      </c>
      <c r="B2407">
        <f>HYPERLINK("https://www.suredividend.com/sure-analysis-RGLD/","Royal Gold, Inc.")</f>
        <v>0</v>
      </c>
      <c r="C2407">
        <v>0.07659954107279601</v>
      </c>
      <c r="D2407">
        <v>0.459731239437017</v>
      </c>
      <c r="E2407">
        <v>0.47321319660733</v>
      </c>
      <c r="F2407">
        <v>0.385697854190509</v>
      </c>
      <c r="G2407">
        <v>0.246515596281353</v>
      </c>
      <c r="H2407">
        <v>0.325710626815157</v>
      </c>
      <c r="I2407">
        <v>1.043835353711987</v>
      </c>
    </row>
    <row r="2408" spans="1:9">
      <c r="A2408" s="1" t="s">
        <v>2420</v>
      </c>
      <c r="B2408">
        <f>HYPERLINK("https://www.suredividend.com/sure-analysis-research-database/","Regulus Therapeutics Inc")</f>
        <v>0</v>
      </c>
      <c r="C2408">
        <v>-0.08288288288288201</v>
      </c>
      <c r="D2408">
        <v>0.02994738972076</v>
      </c>
      <c r="E2408">
        <v>-0.475257731958762</v>
      </c>
      <c r="F2408">
        <v>-0.192063492063492</v>
      </c>
      <c r="G2408">
        <v>-0.8027131782945731</v>
      </c>
      <c r="H2408">
        <v>-0.482723577235772</v>
      </c>
      <c r="I2408">
        <v>-0.9853735632183901</v>
      </c>
    </row>
    <row r="2409" spans="1:9">
      <c r="A2409" s="1" t="s">
        <v>2421</v>
      </c>
      <c r="B2409">
        <f>HYPERLINK("https://www.suredividend.com/sure-analysis-research-database/","Regenxbio Inc")</f>
        <v>0</v>
      </c>
      <c r="C2409">
        <v>0.081119376549769</v>
      </c>
      <c r="D2409">
        <v>0.09155937052932701</v>
      </c>
      <c r="E2409">
        <v>-0.151043115438108</v>
      </c>
      <c r="F2409">
        <v>-0.066666666666666</v>
      </c>
      <c r="G2409">
        <v>-0.115618661257606</v>
      </c>
      <c r="H2409">
        <v>-0.08238123872519501</v>
      </c>
      <c r="I2409">
        <v>0.545316455696202</v>
      </c>
    </row>
    <row r="2410" spans="1:9">
      <c r="A2410" s="1" t="s">
        <v>2422</v>
      </c>
      <c r="B2410">
        <f>HYPERLINK("https://www.suredividend.com/sure-analysis-research-database/","Sturm, Ruger &amp; Co., Inc.")</f>
        <v>0</v>
      </c>
      <c r="C2410">
        <v>-0.010620689655172</v>
      </c>
      <c r="D2410">
        <v>0.08283629743352801</v>
      </c>
      <c r="E2410">
        <v>-0.055710823452283</v>
      </c>
      <c r="F2410">
        <v>0.06771259731174001</v>
      </c>
      <c r="G2410">
        <v>0.064413882343164</v>
      </c>
      <c r="H2410">
        <v>0.461658216911465</v>
      </c>
      <c r="I2410">
        <v>0.441556953859325</v>
      </c>
    </row>
    <row r="2411" spans="1:9">
      <c r="A2411" s="1" t="s">
        <v>2423</v>
      </c>
      <c r="B2411">
        <f>HYPERLINK("https://www.suredividend.com/sure-analysis-research-database/","Regis Corp.")</f>
        <v>0</v>
      </c>
      <c r="C2411">
        <v>-0.09693877551020401</v>
      </c>
      <c r="D2411">
        <v>0.195945945945946</v>
      </c>
      <c r="E2411">
        <v>-0.393835616438356</v>
      </c>
      <c r="F2411">
        <v>0.017241379310344</v>
      </c>
      <c r="G2411">
        <v>-0.860189573459715</v>
      </c>
      <c r="H2411">
        <v>-0.762096774193548</v>
      </c>
      <c r="I2411">
        <v>-0.8412556053811661</v>
      </c>
    </row>
    <row r="2412" spans="1:9">
      <c r="A2412" s="1" t="s">
        <v>2424</v>
      </c>
      <c r="B2412">
        <f>HYPERLINK("https://www.suredividend.com/sure-analysis-research-database/","RH")</f>
        <v>0</v>
      </c>
      <c r="C2412">
        <v>-0.051220964860035</v>
      </c>
      <c r="D2412">
        <v>-0.252380101014615</v>
      </c>
      <c r="E2412">
        <v>-0.492421138877509</v>
      </c>
      <c r="F2412">
        <v>-0.3758069933201471</v>
      </c>
      <c r="G2412">
        <v>-0.472765957446808</v>
      </c>
      <c r="H2412">
        <v>1.744298605414273</v>
      </c>
      <c r="I2412">
        <v>6.113119285562406</v>
      </c>
    </row>
    <row r="2413" spans="1:9">
      <c r="A2413" s="1" t="s">
        <v>2425</v>
      </c>
      <c r="B2413">
        <f>HYPERLINK("https://www.suredividend.com/sure-analysis-research-database/","Regional Health Properties Inc")</f>
        <v>0</v>
      </c>
      <c r="C2413">
        <v>-0.112676056338028</v>
      </c>
      <c r="D2413">
        <v>-0.16</v>
      </c>
      <c r="E2413">
        <v>-0.5816733067729081</v>
      </c>
      <c r="F2413">
        <v>-0.301552106430155</v>
      </c>
      <c r="G2413">
        <v>-0.258823529411764</v>
      </c>
      <c r="H2413">
        <v>1.128378378378378</v>
      </c>
      <c r="I2413">
        <v>-0.7375</v>
      </c>
    </row>
    <row r="2414" spans="1:9">
      <c r="A2414" s="1" t="s">
        <v>2426</v>
      </c>
      <c r="B2414">
        <f>HYPERLINK("https://www.suredividend.com/sure-analysis-research-database/","Robert Half International Inc.")</f>
        <v>0</v>
      </c>
      <c r="C2414">
        <v>-0.06446053085143001</v>
      </c>
      <c r="D2414">
        <v>-0.04733238148476</v>
      </c>
      <c r="E2414">
        <v>0.003380030186433</v>
      </c>
      <c r="F2414">
        <v>-0.022900103776361</v>
      </c>
      <c r="G2414">
        <v>0.322953784359508</v>
      </c>
      <c r="H2414">
        <v>1.79126213592233</v>
      </c>
      <c r="I2414">
        <v>1.690071811239029</v>
      </c>
    </row>
    <row r="2415" spans="1:9">
      <c r="A2415" s="1" t="s">
        <v>2427</v>
      </c>
      <c r="B2415">
        <f>HYPERLINK("https://www.suredividend.com/sure-analysis-research-database/","Ryman Hospitality Properties Inc")</f>
        <v>0</v>
      </c>
      <c r="C2415">
        <v>0.036435038725864</v>
      </c>
      <c r="D2415">
        <v>0.055901311402533</v>
      </c>
      <c r="E2415">
        <v>0.128384798099762</v>
      </c>
      <c r="F2415">
        <v>0.033166594171379</v>
      </c>
      <c r="G2415">
        <v>0.216673069535151</v>
      </c>
      <c r="H2415">
        <v>2.417625899280575</v>
      </c>
      <c r="I2415">
        <v>0.7885581973230921</v>
      </c>
    </row>
    <row r="2416" spans="1:9">
      <c r="A2416" s="1" t="s">
        <v>2428</v>
      </c>
      <c r="B2416">
        <f>HYPERLINK("https://www.suredividend.com/sure-analysis-research-database/","RiceBran Technologies")</f>
        <v>0</v>
      </c>
      <c r="C2416">
        <v>0.319321148825065</v>
      </c>
      <c r="D2416">
        <v>0.684333333333333</v>
      </c>
      <c r="E2416">
        <v>-0.136239316239316</v>
      </c>
      <c r="F2416">
        <v>0.447851002865329</v>
      </c>
      <c r="G2416">
        <v>-0.452071134244198</v>
      </c>
      <c r="H2416">
        <v>-0.556754385964912</v>
      </c>
      <c r="I2416">
        <v>-0.405529411764705</v>
      </c>
    </row>
    <row r="2417" spans="1:9">
      <c r="A2417" s="1" t="s">
        <v>2429</v>
      </c>
      <c r="B2417">
        <f>HYPERLINK("https://www.suredividend.com/sure-analysis-research-database/","RCI Hospitality Holdings Inc")</f>
        <v>0</v>
      </c>
      <c r="C2417">
        <v>0.031178954205911</v>
      </c>
      <c r="D2417">
        <v>-0.251865623284298</v>
      </c>
      <c r="E2417">
        <v>-0.09870909594135201</v>
      </c>
      <c r="F2417">
        <v>-0.183949376588728</v>
      </c>
      <c r="G2417">
        <v>-0.044612819941864</v>
      </c>
      <c r="H2417">
        <v>6.244475374488038</v>
      </c>
      <c r="I2417">
        <v>2.82742242688719</v>
      </c>
    </row>
    <row r="2418" spans="1:9">
      <c r="A2418" s="1" t="s">
        <v>2430</v>
      </c>
      <c r="B2418">
        <f>HYPERLINK("https://www.suredividend.com/sure-analysis-research-database/","Transocean Ltd")</f>
        <v>0</v>
      </c>
      <c r="C2418">
        <v>0.18041237113402</v>
      </c>
      <c r="D2418">
        <v>0.301136363636363</v>
      </c>
      <c r="E2418">
        <v>0.14214463840399</v>
      </c>
      <c r="F2418">
        <v>0.6594202898550721</v>
      </c>
      <c r="G2418">
        <v>0.339181286549707</v>
      </c>
      <c r="H2418">
        <v>3.017543859649123</v>
      </c>
      <c r="I2418">
        <v>-0.609215017064846</v>
      </c>
    </row>
    <row r="2419" spans="1:9">
      <c r="A2419" s="1" t="s">
        <v>2431</v>
      </c>
      <c r="B2419">
        <f>HYPERLINK("https://www.suredividend.com/sure-analysis-research-database/","Rigel Pharmaceuticals")</f>
        <v>0</v>
      </c>
      <c r="C2419">
        <v>-0.009999999999999001</v>
      </c>
      <c r="D2419">
        <v>0.227272727272727</v>
      </c>
      <c r="E2419">
        <v>-0.121301775147928</v>
      </c>
      <c r="F2419">
        <v>0.120754716981132</v>
      </c>
      <c r="G2419">
        <v>-0.170391061452513</v>
      </c>
      <c r="H2419">
        <v>0.8220858895705521</v>
      </c>
      <c r="I2419">
        <v>-0.06012658227848101</v>
      </c>
    </row>
    <row r="2420" spans="1:9">
      <c r="A2420" s="1" t="s">
        <v>2432</v>
      </c>
      <c r="B2420">
        <f>HYPERLINK("https://www.suredividend.com/sure-analysis-research-database/","B. Riley Financial Inc")</f>
        <v>0</v>
      </c>
      <c r="C2420">
        <v>-0.161337851775453</v>
      </c>
      <c r="D2420">
        <v>-0.284278135652681</v>
      </c>
      <c r="E2420">
        <v>-0.051837439761193</v>
      </c>
      <c r="F2420">
        <v>-0.349116756469953</v>
      </c>
      <c r="G2420">
        <v>-0.176934500354993</v>
      </c>
      <c r="H2420">
        <v>2.582014411126144</v>
      </c>
      <c r="I2420">
        <v>3.392449801676107</v>
      </c>
    </row>
    <row r="2421" spans="1:9">
      <c r="A2421" s="1" t="s">
        <v>2433</v>
      </c>
      <c r="B2421">
        <f>HYPERLINK("https://www.suredividend.com/sure-analysis-research-database/","Riot Blockchain Inc")</f>
        <v>0</v>
      </c>
      <c r="C2421">
        <v>-0.08663819402074401</v>
      </c>
      <c r="D2421">
        <v>-0.276112185686653</v>
      </c>
      <c r="E2421">
        <v>-0.462477558348294</v>
      </c>
      <c r="F2421">
        <v>-0.329601433049708</v>
      </c>
      <c r="G2421">
        <v>-0.6646505376344081</v>
      </c>
      <c r="H2421">
        <v>11.7948717948718</v>
      </c>
      <c r="I2421">
        <v>3.175848698708472</v>
      </c>
    </row>
    <row r="2422" spans="1:9">
      <c r="A2422" s="1" t="s">
        <v>2434</v>
      </c>
      <c r="B2422">
        <f>HYPERLINK("https://www.suredividend.com/sure-analysis-research-database/","Raymond James Financial, Inc.")</f>
        <v>0</v>
      </c>
      <c r="C2422">
        <v>0.08051791407852901</v>
      </c>
      <c r="D2422">
        <v>0.034184515908218</v>
      </c>
      <c r="E2422">
        <v>0.122921766100819</v>
      </c>
      <c r="F2422">
        <v>0.120796386985528</v>
      </c>
      <c r="G2422">
        <v>0.308341437326583</v>
      </c>
      <c r="H2422">
        <v>1.849511148266335</v>
      </c>
      <c r="I2422">
        <v>1.488021666707466</v>
      </c>
    </row>
    <row r="2423" spans="1:9">
      <c r="A2423" s="1" t="s">
        <v>2435</v>
      </c>
      <c r="B2423">
        <f>HYPERLINK("https://www.suredividend.com/sure-analysis-research-database/","Arcadia Biosciences Inc")</f>
        <v>0</v>
      </c>
      <c r="C2423">
        <v>-0.246478873239436</v>
      </c>
      <c r="D2423">
        <v>0.03883495145631</v>
      </c>
      <c r="E2423">
        <v>-0.472906403940886</v>
      </c>
      <c r="F2423">
        <v>0.028846153846153</v>
      </c>
      <c r="G2423">
        <v>-0.5650406504065041</v>
      </c>
      <c r="H2423">
        <v>-0.6805970149253731</v>
      </c>
      <c r="I2423">
        <v>-0.9314102564102561</v>
      </c>
    </row>
    <row r="2424" spans="1:9">
      <c r="A2424" s="1" t="s">
        <v>2436</v>
      </c>
      <c r="B2424">
        <f>HYPERLINK("https://www.suredividend.com/sure-analysis-research-database/","Ralph Lauren Corp")</f>
        <v>0</v>
      </c>
      <c r="C2424">
        <v>-0.04257168140187501</v>
      </c>
      <c r="D2424">
        <v>-0.049575014998182</v>
      </c>
      <c r="E2424">
        <v>-0.07550260813561101</v>
      </c>
      <c r="F2424">
        <v>-0.081719516591158</v>
      </c>
      <c r="G2424">
        <v>-0.107817449518762</v>
      </c>
      <c r="H2424">
        <v>0.6218655937923131</v>
      </c>
      <c r="I2424">
        <v>0.508125002605726</v>
      </c>
    </row>
    <row r="2425" spans="1:9">
      <c r="A2425" s="1" t="s">
        <v>2437</v>
      </c>
      <c r="B2425">
        <f>HYPERLINK("https://www.suredividend.com/sure-analysis-research-database/","Radiant Logistics, Inc.")</f>
        <v>0</v>
      </c>
      <c r="C2425">
        <v>-0.131147540983606</v>
      </c>
      <c r="D2425">
        <v>-0.138847858197932</v>
      </c>
      <c r="E2425">
        <v>-0.050488599348534</v>
      </c>
      <c r="F2425">
        <v>-0.200274348422496</v>
      </c>
      <c r="G2425">
        <v>-0.178873239436619</v>
      </c>
      <c r="H2425">
        <v>0.660968660968661</v>
      </c>
      <c r="I2425">
        <v>0.07169117647058801</v>
      </c>
    </row>
    <row r="2426" spans="1:9">
      <c r="A2426" s="1" t="s">
        <v>2438</v>
      </c>
      <c r="B2426">
        <f>HYPERLINK("https://www.suredividend.com/sure-analysis-research-database/","Realogy Holdings Corp")</f>
        <v>0</v>
      </c>
      <c r="C2426">
        <v>-0.1922377198302</v>
      </c>
      <c r="D2426">
        <v>-0.215085444902769</v>
      </c>
      <c r="E2426">
        <v>-0.3336668334167081</v>
      </c>
      <c r="F2426">
        <v>-0.207614515169541</v>
      </c>
      <c r="G2426">
        <v>-0.15267175572519</v>
      </c>
      <c r="H2426">
        <v>3</v>
      </c>
      <c r="I2426">
        <v>-0.4956379498364231</v>
      </c>
    </row>
    <row r="2427" spans="1:9">
      <c r="A2427" s="1" t="s">
        <v>2439</v>
      </c>
      <c r="B2427">
        <f>HYPERLINK("https://www.suredividend.com/sure-analysis-research-database/","Red Lion Hotels Corporation")</f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2440</v>
      </c>
      <c r="B2428">
        <f>HYPERLINK("https://www.suredividend.com/sure-analysis-RLI/","RLI Corp.")</f>
        <v>0</v>
      </c>
      <c r="C2428">
        <v>-0.003835616438356</v>
      </c>
      <c r="D2428">
        <v>-0.006765431649108001</v>
      </c>
      <c r="E2428">
        <v>0.07804031483362901</v>
      </c>
      <c r="F2428">
        <v>-0.024486218676778</v>
      </c>
      <c r="G2428">
        <v>-0.027415679043607</v>
      </c>
      <c r="H2428">
        <v>0.346939380318978</v>
      </c>
      <c r="I2428">
        <v>1.070670063365389</v>
      </c>
    </row>
    <row r="2429" spans="1:9">
      <c r="A2429" s="1" t="s">
        <v>2441</v>
      </c>
      <c r="B2429">
        <f>HYPERLINK("https://www.suredividend.com/sure-analysis-RLJ/","RLJ Lodging Trust")</f>
        <v>0</v>
      </c>
      <c r="C2429">
        <v>0.009992632490003001</v>
      </c>
      <c r="D2429">
        <v>-0.040741319456238</v>
      </c>
      <c r="E2429">
        <v>-0.050366873137891</v>
      </c>
      <c r="F2429">
        <v>0.014345955187747</v>
      </c>
      <c r="G2429">
        <v>-0.101020583572615</v>
      </c>
      <c r="H2429">
        <v>0.8971864670948321</v>
      </c>
      <c r="I2429">
        <v>-0.26464461294892</v>
      </c>
    </row>
    <row r="2430" spans="1:9">
      <c r="A2430" s="1" t="s">
        <v>2442</v>
      </c>
      <c r="B2430">
        <f>HYPERLINK("https://www.suredividend.com/sure-analysis-research-database/","Regional Management Corp")</f>
        <v>0</v>
      </c>
      <c r="C2430">
        <v>0.044178454842219</v>
      </c>
      <c r="D2430">
        <v>-0.118500826749954</v>
      </c>
      <c r="E2430">
        <v>-0.167295793958642</v>
      </c>
      <c r="F2430">
        <v>-0.164984336930038</v>
      </c>
      <c r="G2430">
        <v>0.266414158077415</v>
      </c>
      <c r="H2430">
        <v>2.838031548971298</v>
      </c>
      <c r="I2430">
        <v>1.485263495944223</v>
      </c>
    </row>
    <row r="2431" spans="1:9">
      <c r="A2431" s="1" t="s">
        <v>2443</v>
      </c>
      <c r="B2431">
        <f>HYPERLINK("https://www.suredividend.com/sure-analysis-research-database/","RE/MAX Holdings Inc")</f>
        <v>0</v>
      </c>
      <c r="C2431">
        <v>-0.10386965376782</v>
      </c>
      <c r="D2431">
        <v>-0.140943790390284</v>
      </c>
      <c r="E2431">
        <v>-0.164482928867114</v>
      </c>
      <c r="F2431">
        <v>-0.127419839960866</v>
      </c>
      <c r="G2431">
        <v>-0.297210671749466</v>
      </c>
      <c r="H2431">
        <v>0.279906915860664</v>
      </c>
      <c r="I2431">
        <v>-0.470460097964881</v>
      </c>
    </row>
    <row r="2432" spans="1:9">
      <c r="A2432" s="1" t="s">
        <v>2444</v>
      </c>
      <c r="B2432">
        <f>HYPERLINK("https://www.suredividend.com/sure-analysis-research-database/","Rambus Inc.")</f>
        <v>0</v>
      </c>
      <c r="C2432">
        <v>-0.107549120992761</v>
      </c>
      <c r="D2432">
        <v>-0.07403433476394801</v>
      </c>
      <c r="E2432">
        <v>0.166216216216216</v>
      </c>
      <c r="F2432">
        <v>-0.119088125212657</v>
      </c>
      <c r="G2432">
        <v>0.269740068661108</v>
      </c>
      <c r="H2432">
        <v>1.092966855295069</v>
      </c>
      <c r="I2432">
        <v>1.096356275303644</v>
      </c>
    </row>
    <row r="2433" spans="1:9">
      <c r="A2433" s="1" t="s">
        <v>2445</v>
      </c>
      <c r="B2433">
        <f>HYPERLINK("https://www.suredividend.com/sure-analysis-research-database/","Rocky Mountain Chocolate Factory Inc")</f>
        <v>0</v>
      </c>
      <c r="C2433">
        <v>-0.113256113256113</v>
      </c>
      <c r="D2433">
        <v>-0.170878459687124</v>
      </c>
      <c r="E2433">
        <v>-0.170878459687124</v>
      </c>
      <c r="F2433">
        <v>-0.122292993630573</v>
      </c>
      <c r="G2433">
        <v>0.179794520547945</v>
      </c>
      <c r="H2433">
        <v>0.7443037974683541</v>
      </c>
      <c r="I2433">
        <v>-0.295904185742315</v>
      </c>
    </row>
    <row r="2434" spans="1:9">
      <c r="A2434" s="1" t="s">
        <v>2446</v>
      </c>
      <c r="B2434">
        <f>HYPERLINK("https://www.suredividend.com/sure-analysis-RMD/","Resmed Inc.")</f>
        <v>0</v>
      </c>
      <c r="C2434">
        <v>-0.08282424812030001</v>
      </c>
      <c r="D2434">
        <v>-0.069563635236845</v>
      </c>
      <c r="E2434">
        <v>-0.080225496144534</v>
      </c>
      <c r="F2434">
        <v>-0.099282725849443</v>
      </c>
      <c r="G2434">
        <v>0.136416017250271</v>
      </c>
      <c r="H2434">
        <v>0.473824373195161</v>
      </c>
      <c r="I2434">
        <v>2.64399870551773</v>
      </c>
    </row>
    <row r="2435" spans="1:9">
      <c r="A2435" s="1" t="s">
        <v>2447</v>
      </c>
      <c r="B2435">
        <f>HYPERLINK("https://www.suredividend.com/sure-analysis-research-database/","RMR Group Inc (The)")</f>
        <v>0</v>
      </c>
      <c r="C2435">
        <v>0.013126893301918</v>
      </c>
      <c r="D2435">
        <v>-0.115343355523225</v>
      </c>
      <c r="E2435">
        <v>-0.09368196969103801</v>
      </c>
      <c r="F2435">
        <v>-0.121975409477414</v>
      </c>
      <c r="G2435">
        <v>-0.08830148446326401</v>
      </c>
      <c r="H2435">
        <v>0.301762352686777</v>
      </c>
      <c r="I2435">
        <v>-0.170412671464125</v>
      </c>
    </row>
    <row r="2436" spans="1:9">
      <c r="A2436" s="1" t="s">
        <v>2448</v>
      </c>
      <c r="B2436">
        <f>HYPERLINK("https://www.suredividend.com/sure-analysis-research-database/","Rockwell Medical Inc")</f>
        <v>0</v>
      </c>
      <c r="C2436">
        <v>0.07086391869000501</v>
      </c>
      <c r="D2436">
        <v>-0.189529914529914</v>
      </c>
      <c r="E2436">
        <v>-0.36804398533822</v>
      </c>
      <c r="F2436">
        <v>-0.07487804878048701</v>
      </c>
      <c r="G2436">
        <v>-0.6009888491479061</v>
      </c>
      <c r="H2436">
        <v>-0.8432644628099171</v>
      </c>
      <c r="I2436">
        <v>-0.9375123558484351</v>
      </c>
    </row>
    <row r="2437" spans="1:9">
      <c r="A2437" s="1" t="s">
        <v>2449</v>
      </c>
      <c r="B2437">
        <f>HYPERLINK("https://www.suredividend.com/sure-analysis-research-database/","Randolph Bancorp Inc")</f>
        <v>0</v>
      </c>
      <c r="C2437">
        <v>0.304540967423494</v>
      </c>
      <c r="D2437">
        <v>0.206937493150184</v>
      </c>
      <c r="E2437">
        <v>0.246521718624722</v>
      </c>
      <c r="F2437">
        <v>0.191850502353938</v>
      </c>
      <c r="G2437">
        <v>0.427075009179067</v>
      </c>
      <c r="H2437">
        <v>2.28420895670759</v>
      </c>
      <c r="I2437">
        <v>0.8742554036421391</v>
      </c>
    </row>
    <row r="2438" spans="1:9">
      <c r="A2438" s="1" t="s">
        <v>2450</v>
      </c>
      <c r="B2438">
        <f>HYPERLINK("https://www.suredividend.com/sure-analysis-research-database/","RigNet Inc")</f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2451</v>
      </c>
      <c r="B2439">
        <f>HYPERLINK("https://www.suredividend.com/sure-analysis-research-database/","RingCentral Inc.")</f>
        <v>0</v>
      </c>
      <c r="C2439">
        <v>-0.010854439187308</v>
      </c>
      <c r="D2439">
        <v>-0.396296925428911</v>
      </c>
      <c r="E2439">
        <v>-0.5469918422841601</v>
      </c>
      <c r="F2439">
        <v>-0.4309047237790231</v>
      </c>
      <c r="G2439">
        <v>-0.672321593214088</v>
      </c>
      <c r="H2439">
        <v>-0.5423445078765501</v>
      </c>
      <c r="I2439">
        <v>2.734500875656743</v>
      </c>
    </row>
    <row r="2440" spans="1:9">
      <c r="A2440" s="1" t="s">
        <v>2452</v>
      </c>
      <c r="B2440">
        <f>HYPERLINK("https://www.suredividend.com/sure-analysis-RNR/","RenaissanceRe Holdings Ltd")</f>
        <v>0</v>
      </c>
      <c r="C2440">
        <v>0.04296055747243</v>
      </c>
      <c r="D2440">
        <v>-0.097796284320581</v>
      </c>
      <c r="E2440">
        <v>0.047215734864757</v>
      </c>
      <c r="F2440">
        <v>-0.087193291083851</v>
      </c>
      <c r="G2440">
        <v>-0.08356086776370601</v>
      </c>
      <c r="H2440">
        <v>0.002437165605012</v>
      </c>
      <c r="I2440">
        <v>0.159940227262808</v>
      </c>
    </row>
    <row r="2441" spans="1:9">
      <c r="A2441" s="1" t="s">
        <v>2453</v>
      </c>
      <c r="B2441">
        <f>HYPERLINK("https://www.suredividend.com/sure-analysis-research-database/","Renasant Corp.")</f>
        <v>0</v>
      </c>
      <c r="C2441">
        <v>-0.114364640883977</v>
      </c>
      <c r="D2441">
        <v>-0.204829556728441</v>
      </c>
      <c r="E2441">
        <v>-0.156069272866547</v>
      </c>
      <c r="F2441">
        <v>-0.149931326329856</v>
      </c>
      <c r="G2441">
        <v>-0.210263130668689</v>
      </c>
      <c r="H2441">
        <v>0.5535053204892131</v>
      </c>
      <c r="I2441">
        <v>-0.08795307197091401</v>
      </c>
    </row>
    <row r="2442" spans="1:9">
      <c r="A2442" s="1" t="s">
        <v>2454</v>
      </c>
      <c r="B2442">
        <f>HYPERLINK("https://www.suredividend.com/sure-analysis-research-database/","Realnetworks, Inc.")</f>
        <v>0</v>
      </c>
      <c r="C2442">
        <v>-0.019622641509434</v>
      </c>
      <c r="D2442">
        <v>-0.415457306783665</v>
      </c>
      <c r="E2442">
        <v>-0.6625974025974021</v>
      </c>
      <c r="F2442">
        <v>-0.469795918367347</v>
      </c>
      <c r="G2442">
        <v>-0.8568595041322311</v>
      </c>
      <c r="H2442">
        <v>-0.366341463414634</v>
      </c>
      <c r="I2442">
        <v>-0.8788811188811181</v>
      </c>
    </row>
    <row r="2443" spans="1:9">
      <c r="A2443" s="1" t="s">
        <v>2455</v>
      </c>
      <c r="B2443">
        <f>HYPERLINK("https://www.suredividend.com/sure-analysis-research-database/","Construction Partners Inc")</f>
        <v>0</v>
      </c>
      <c r="C2443">
        <v>0.045830202854996</v>
      </c>
      <c r="D2443">
        <v>0.042306252339947</v>
      </c>
      <c r="E2443">
        <v>-0.198618307426597</v>
      </c>
      <c r="F2443">
        <v>-0.053383202992179</v>
      </c>
      <c r="G2443">
        <v>-0.09079033311561001</v>
      </c>
      <c r="H2443">
        <v>0.837623762376237</v>
      </c>
      <c r="I2443">
        <v>1.300826446280992</v>
      </c>
    </row>
    <row r="2444" spans="1:9">
      <c r="A2444" s="1" t="s">
        <v>2456</v>
      </c>
      <c r="B2444">
        <f>HYPERLINK("https://www.suredividend.com/sure-analysis-research-database/","Gibraltar Industries Inc.")</f>
        <v>0</v>
      </c>
      <c r="C2444">
        <v>-0.194032921810699</v>
      </c>
      <c r="D2444">
        <v>-0.370257234726688</v>
      </c>
      <c r="E2444">
        <v>-0.471603939026035</v>
      </c>
      <c r="F2444">
        <v>-0.412567486502699</v>
      </c>
      <c r="G2444">
        <v>-0.570974808324205</v>
      </c>
      <c r="H2444">
        <v>-0.070037986704653</v>
      </c>
      <c r="I2444">
        <v>0.05013404825737201</v>
      </c>
    </row>
    <row r="2445" spans="1:9">
      <c r="A2445" s="1" t="s">
        <v>2457</v>
      </c>
      <c r="B2445">
        <f>HYPERLINK("https://www.suredividend.com/sure-analysis-research-database/","Rogers Corp.")</f>
        <v>0</v>
      </c>
      <c r="C2445">
        <v>-0.001574514829732</v>
      </c>
      <c r="D2445">
        <v>-0.002524143985952</v>
      </c>
      <c r="E2445">
        <v>0.454162444669617</v>
      </c>
      <c r="F2445">
        <v>-0.001208791208791</v>
      </c>
      <c r="G2445">
        <v>0.354612747776839</v>
      </c>
      <c r="H2445">
        <v>1.727791116446579</v>
      </c>
      <c r="I2445">
        <v>2.339906908378246</v>
      </c>
    </row>
    <row r="2446" spans="1:9">
      <c r="A2446" s="1" t="s">
        <v>2458</v>
      </c>
      <c r="B2446">
        <f>HYPERLINK("https://www.suredividend.com/sure-analysis-research-database/","Retail Opportunity Investments Corp")</f>
        <v>0</v>
      </c>
      <c r="C2446">
        <v>0.036760788492274</v>
      </c>
      <c r="D2446">
        <v>0.006407703725156</v>
      </c>
      <c r="E2446">
        <v>0.06813915449046501</v>
      </c>
      <c r="F2446">
        <v>-0.000267143414914</v>
      </c>
      <c r="G2446">
        <v>0.155575085658636</v>
      </c>
      <c r="H2446">
        <v>1.588660973208822</v>
      </c>
      <c r="I2446">
        <v>0.070766318731807</v>
      </c>
    </row>
    <row r="2447" spans="1:9">
      <c r="A2447" s="1" t="s">
        <v>2459</v>
      </c>
      <c r="B2447">
        <f>HYPERLINK("https://www.suredividend.com/sure-analysis-ROK/","Rockwell Automation Inc")</f>
        <v>0</v>
      </c>
      <c r="C2447">
        <v>-0.025402264600715</v>
      </c>
      <c r="D2447">
        <v>-0.191752077996573</v>
      </c>
      <c r="E2447">
        <v>-0.160990919552797</v>
      </c>
      <c r="F2447">
        <v>-0.246894150722481</v>
      </c>
      <c r="G2447">
        <v>-0.00102165636611</v>
      </c>
      <c r="H2447">
        <v>0.7023109297001401</v>
      </c>
      <c r="I2447">
        <v>0.9404990744696</v>
      </c>
    </row>
    <row r="2448" spans="1:9">
      <c r="A2448" s="1" t="s">
        <v>2460</v>
      </c>
      <c r="B2448">
        <f>HYPERLINK("https://www.suredividend.com/sure-analysis-research-database/","Roku Inc")</f>
        <v>0</v>
      </c>
      <c r="C2448">
        <v>-0.030893742929248</v>
      </c>
      <c r="D2448">
        <v>-0.335084786243133</v>
      </c>
      <c r="E2448">
        <v>-0.656698933349775</v>
      </c>
      <c r="F2448">
        <v>-0.512007011393514</v>
      </c>
      <c r="G2448">
        <v>-0.704238818655051</v>
      </c>
      <c r="H2448">
        <v>-0.13</v>
      </c>
      <c r="I2448">
        <v>3.738723404255319</v>
      </c>
    </row>
    <row r="2449" spans="1:9">
      <c r="A2449" s="1" t="s">
        <v>2461</v>
      </c>
      <c r="B2449">
        <f>HYPERLINK("https://www.suredividend.com/sure-analysis-research-database/","Rollins, Inc.")</f>
        <v>0</v>
      </c>
      <c r="C2449">
        <v>0.033767772511848</v>
      </c>
      <c r="D2449">
        <v>0.073753645839742</v>
      </c>
      <c r="E2449">
        <v>-0.058624242718498</v>
      </c>
      <c r="F2449">
        <v>0.023535449813036</v>
      </c>
      <c r="G2449">
        <v>-0.000186211737069</v>
      </c>
      <c r="H2449">
        <v>0.39019454756935</v>
      </c>
      <c r="I2449">
        <v>1.283792273060412</v>
      </c>
    </row>
    <row r="2450" spans="1:9">
      <c r="A2450" s="1" t="s">
        <v>2462</v>
      </c>
      <c r="B2450">
        <f>HYPERLINK("https://www.suredividend.com/sure-analysis-research-database/","RBC Bearings Inc.")</f>
        <v>0</v>
      </c>
      <c r="C2450">
        <v>-0.07091797377217701</v>
      </c>
      <c r="D2450">
        <v>-0.11713824952353</v>
      </c>
      <c r="E2450">
        <v>-0.184931197834423</v>
      </c>
      <c r="F2450">
        <v>-0.105510719413774</v>
      </c>
      <c r="G2450">
        <v>-0.107719662172173</v>
      </c>
      <c r="H2450">
        <v>0.507761642463695</v>
      </c>
      <c r="I2450">
        <v>0.9705497382198951</v>
      </c>
    </row>
    <row r="2451" spans="1:9">
      <c r="A2451" s="1" t="s">
        <v>2463</v>
      </c>
      <c r="B2451">
        <f>HYPERLINK("https://www.suredividend.com/sure-analysis-ROP/","Roper Technologies Inc")</f>
        <v>0</v>
      </c>
      <c r="C2451">
        <v>0.018304349698202</v>
      </c>
      <c r="D2451">
        <v>0.031175183283137</v>
      </c>
      <c r="E2451">
        <v>-0.010108841662491</v>
      </c>
      <c r="F2451">
        <v>-0.05995967586587701</v>
      </c>
      <c r="G2451">
        <v>0.09500022082362</v>
      </c>
      <c r="H2451">
        <v>0.5026686738743671</v>
      </c>
      <c r="I2451">
        <v>1.306880773642452</v>
      </c>
    </row>
    <row r="2452" spans="1:9">
      <c r="A2452" s="1" t="s">
        <v>2464</v>
      </c>
      <c r="B2452">
        <f>HYPERLINK("https://www.suredividend.com/sure-analysis-ROST/","Ross Stores, Inc.")</f>
        <v>0</v>
      </c>
      <c r="C2452">
        <v>0.128530764177797</v>
      </c>
      <c r="D2452">
        <v>0.011493621251178</v>
      </c>
      <c r="E2452">
        <v>-0.045960139126185</v>
      </c>
      <c r="F2452">
        <v>-0.09480726015861</v>
      </c>
      <c r="G2452">
        <v>-0.197786051376558</v>
      </c>
      <c r="H2452">
        <v>0.198054381998965</v>
      </c>
      <c r="I2452">
        <v>0.7002550052617511</v>
      </c>
    </row>
    <row r="2453" spans="1:9">
      <c r="A2453" s="1" t="s">
        <v>2465</v>
      </c>
      <c r="B2453">
        <f>HYPERLINK("https://www.suredividend.com/sure-analysis-research-database/","RealPage Inc.")</f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 t="s">
        <v>2466</v>
      </c>
      <c r="B2454">
        <f>HYPERLINK("https://www.suredividend.com/sure-analysis-research-database/","Retail Properties of America Inc")</f>
        <v>0</v>
      </c>
      <c r="C2454">
        <v>0.03646954040654801</v>
      </c>
      <c r="D2454">
        <v>0.08582564034812401</v>
      </c>
      <c r="E2454">
        <v>0.151448285524149</v>
      </c>
      <c r="F2454">
        <v>0.565532102336988</v>
      </c>
      <c r="G2454">
        <v>1.431313093961469</v>
      </c>
      <c r="H2454">
        <v>0.074346405228758</v>
      </c>
      <c r="I2454">
        <v>0.06087742226955101</v>
      </c>
    </row>
    <row r="2455" spans="1:9">
      <c r="A2455" s="1" t="s">
        <v>2467</v>
      </c>
      <c r="B2455">
        <f>HYPERLINK("https://www.suredividend.com/sure-analysis-research-database/","Rapid7 Inc")</f>
        <v>0</v>
      </c>
      <c r="C2455">
        <v>0.148996842855687</v>
      </c>
      <c r="D2455">
        <v>0.169725246241575</v>
      </c>
      <c r="E2455">
        <v>-0.06311243979405401</v>
      </c>
      <c r="F2455">
        <v>-0.041379896337836</v>
      </c>
      <c r="G2455">
        <v>0.340701128936422</v>
      </c>
      <c r="H2455">
        <v>1.604339796860572</v>
      </c>
      <c r="I2455">
        <v>5.921472392638036</v>
      </c>
    </row>
    <row r="2456" spans="1:9">
      <c r="A2456" s="1" t="s">
        <v>2468</v>
      </c>
      <c r="B2456">
        <f>HYPERLINK("https://www.suredividend.com/sure-analysis-RPM/","RPM International, Inc.")</f>
        <v>0</v>
      </c>
      <c r="C2456">
        <v>0.05846811242303401</v>
      </c>
      <c r="D2456">
        <v>-0.05389719892249401</v>
      </c>
      <c r="E2456">
        <v>0.044243787414203</v>
      </c>
      <c r="F2456">
        <v>-0.136793286969275</v>
      </c>
      <c r="G2456">
        <v>-0.058696381646322</v>
      </c>
      <c r="H2456">
        <v>0.385830206928188</v>
      </c>
      <c r="I2456">
        <v>0.909261464960411</v>
      </c>
    </row>
    <row r="2457" spans="1:9">
      <c r="A2457" s="1" t="s">
        <v>2469</v>
      </c>
      <c r="B2457">
        <f>HYPERLINK("https://www.suredividend.com/sure-analysis-RPT/","RPT Realty")</f>
        <v>0</v>
      </c>
      <c r="C2457">
        <v>0.041856925418569</v>
      </c>
      <c r="D2457">
        <v>0.015081636587427</v>
      </c>
      <c r="E2457">
        <v>0.019526653658827</v>
      </c>
      <c r="F2457">
        <v>0.033293330012302</v>
      </c>
      <c r="G2457">
        <v>0.164016665249553</v>
      </c>
      <c r="H2457">
        <v>1.624515931137609</v>
      </c>
      <c r="I2457">
        <v>0.271182506151631</v>
      </c>
    </row>
    <row r="2458" spans="1:9">
      <c r="A2458" s="1" t="s">
        <v>2470</v>
      </c>
      <c r="B2458">
        <f>HYPERLINK("https://www.suredividend.com/sure-analysis-research-database/","Range Resources Corp")</f>
        <v>0</v>
      </c>
      <c r="C2458">
        <v>0.270196078431372</v>
      </c>
      <c r="D2458">
        <v>0.486461679669573</v>
      </c>
      <c r="E2458">
        <v>0.381236673773987</v>
      </c>
      <c r="F2458">
        <v>0.8166012338754901</v>
      </c>
      <c r="G2458">
        <v>2.464171122994653</v>
      </c>
      <c r="H2458">
        <v>6.311512415349887</v>
      </c>
      <c r="I2458">
        <v>0.193041389953994</v>
      </c>
    </row>
    <row r="2459" spans="1:9">
      <c r="A2459" s="1" t="s">
        <v>2471</v>
      </c>
      <c r="B2459">
        <f>HYPERLINK("https://www.suredividend.com/sure-analysis-research-database/","R.R. Donnelley &amp; Sons Co.")</f>
        <v>0</v>
      </c>
      <c r="C2459">
        <v>-0.020776874435411</v>
      </c>
      <c r="D2459">
        <v>0.170626349892008</v>
      </c>
      <c r="E2459">
        <v>1.163672654690618</v>
      </c>
      <c r="F2459">
        <v>-0.037300177619893</v>
      </c>
      <c r="G2459">
        <v>2.419558359621451</v>
      </c>
      <c r="H2459">
        <v>3.106060606060605</v>
      </c>
      <c r="I2459">
        <v>-0.308532353541539</v>
      </c>
    </row>
    <row r="2460" spans="1:9">
      <c r="A2460" s="1" t="s">
        <v>2472</v>
      </c>
      <c r="B2460">
        <f>HYPERLINK("https://www.suredividend.com/sure-analysis-research-database/","Red Robin Gourmet Burgers Inc")</f>
        <v>0</v>
      </c>
      <c r="C2460">
        <v>-0.197068403908794</v>
      </c>
      <c r="D2460">
        <v>-0.08928571428571401</v>
      </c>
      <c r="E2460">
        <v>-0.284816247582205</v>
      </c>
      <c r="F2460">
        <v>-0.105263157894736</v>
      </c>
      <c r="G2460">
        <v>-0.582792665726375</v>
      </c>
      <c r="H2460">
        <v>0.4221153846153841</v>
      </c>
      <c r="I2460">
        <v>-0.7486830926083261</v>
      </c>
    </row>
    <row r="2461" spans="1:9">
      <c r="A2461" s="1" t="s">
        <v>2473</v>
      </c>
      <c r="B2461">
        <f>HYPERLINK("https://www.suredividend.com/sure-analysis-research-database/","Red Rock Resorts Inc")</f>
        <v>0</v>
      </c>
      <c r="C2461">
        <v>-0.003421727972626</v>
      </c>
      <c r="D2461">
        <v>-0.032590891822486</v>
      </c>
      <c r="E2461">
        <v>-0.129357649041452</v>
      </c>
      <c r="F2461">
        <v>-0.147955825349228</v>
      </c>
      <c r="G2461">
        <v>0.444423780298803</v>
      </c>
      <c r="H2461">
        <v>4.083506965277247</v>
      </c>
      <c r="I2461">
        <v>1.34822220430541</v>
      </c>
    </row>
    <row r="2462" spans="1:9">
      <c r="A2462" s="1" t="s">
        <v>2474</v>
      </c>
      <c r="B2462">
        <f>HYPERLINK("https://www.suredividend.com/sure-analysis-research-database/","Roadrunner Transportation Systems Inc")</f>
        <v>0</v>
      </c>
      <c r="C2462">
        <v>-0.149659863945578</v>
      </c>
      <c r="D2462">
        <v>-0.137931034482758</v>
      </c>
      <c r="E2462">
        <v>9</v>
      </c>
      <c r="F2462">
        <v>0.162790697674418</v>
      </c>
      <c r="G2462">
        <v>-0.4758909853249471</v>
      </c>
      <c r="H2462">
        <v>0.19047619047619</v>
      </c>
      <c r="I2462">
        <v>0.19047619047619</v>
      </c>
    </row>
    <row r="2463" spans="1:9">
      <c r="A2463" s="1" t="s">
        <v>2475</v>
      </c>
      <c r="B2463">
        <f>HYPERLINK("https://www.suredividend.com/sure-analysis-research-database/","Reliance Steel &amp; Aluminum Co.")</f>
        <v>0</v>
      </c>
      <c r="C2463">
        <v>0.025281047131471</v>
      </c>
      <c r="D2463">
        <v>0.173351050978497</v>
      </c>
      <c r="E2463">
        <v>0.328158170196502</v>
      </c>
      <c r="F2463">
        <v>0.203079228830301</v>
      </c>
      <c r="G2463">
        <v>0.267047185212869</v>
      </c>
      <c r="H2463">
        <v>1.443635741537656</v>
      </c>
      <c r="I2463">
        <v>1.859961133031034</v>
      </c>
    </row>
    <row r="2464" spans="1:9">
      <c r="A2464" s="1" t="s">
        <v>2476</v>
      </c>
      <c r="B2464">
        <f>HYPERLINK("https://www.suredividend.com/sure-analysis-RSG/","Republic Services, Inc.")</f>
        <v>0</v>
      </c>
      <c r="C2464">
        <v>0.024108332773858</v>
      </c>
      <c r="D2464">
        <v>0.025448841531025</v>
      </c>
      <c r="E2464">
        <v>0.04602147689940601</v>
      </c>
      <c r="F2464">
        <v>-0.04507111777264301</v>
      </c>
      <c r="G2464">
        <v>0.290582955280342</v>
      </c>
      <c r="H2464">
        <v>0.7723757260249821</v>
      </c>
      <c r="I2464">
        <v>1.339961844040159</v>
      </c>
    </row>
    <row r="2465" spans="1:9">
      <c r="A2465" s="1" t="s">
        <v>2477</v>
      </c>
      <c r="B2465">
        <f>HYPERLINK("https://www.suredividend.com/sure-analysis-research-database/","Rubius Therapeutics Inc")</f>
        <v>0</v>
      </c>
      <c r="C2465">
        <v>-0.6375227686703091</v>
      </c>
      <c r="D2465">
        <v>-0.7743764172335601</v>
      </c>
      <c r="E2465">
        <v>-0.877764127764127</v>
      </c>
      <c r="F2465">
        <v>-0.7944214876033051</v>
      </c>
      <c r="G2465">
        <v>-0.9181069958847731</v>
      </c>
      <c r="H2465">
        <v>-0.581052631578947</v>
      </c>
      <c r="I2465">
        <v>-0.9179381443298971</v>
      </c>
    </row>
    <row r="2466" spans="1:9">
      <c r="A2466" s="1" t="s">
        <v>2478</v>
      </c>
      <c r="B2466">
        <f>HYPERLINK("https://www.suredividend.com/sure-analysis-research-database/","Sunrun Inc")</f>
        <v>0</v>
      </c>
      <c r="C2466">
        <v>-0.151246159098668</v>
      </c>
      <c r="D2466">
        <v>-0.218484753222257</v>
      </c>
      <c r="E2466">
        <v>-0.488898026315789</v>
      </c>
      <c r="F2466">
        <v>-0.275218658892128</v>
      </c>
      <c r="G2466">
        <v>-0.5233895705521471</v>
      </c>
      <c r="H2466">
        <v>1.237623762376237</v>
      </c>
      <c r="I2466">
        <v>3.753346080305927</v>
      </c>
    </row>
    <row r="2467" spans="1:9">
      <c r="A2467" s="1" t="s">
        <v>2479</v>
      </c>
      <c r="B2467">
        <f>HYPERLINK("https://www.suredividend.com/sure-analysis-research-database/","Rush Enterprises Inc")</f>
        <v>0</v>
      </c>
      <c r="C2467">
        <v>-0.101508660830694</v>
      </c>
      <c r="D2467">
        <v>-0.145645786585009</v>
      </c>
      <c r="E2467">
        <v>0.017324461971593</v>
      </c>
      <c r="F2467">
        <v>-0.129675468539139</v>
      </c>
      <c r="G2467">
        <v>-0.034725084741692</v>
      </c>
      <c r="H2467">
        <v>1.309592661393799</v>
      </c>
      <c r="I2467">
        <v>1.294913512587772</v>
      </c>
    </row>
    <row r="2468" spans="1:9">
      <c r="A2468" s="1" t="s">
        <v>2480</v>
      </c>
      <c r="B2468">
        <f>HYPERLINK("https://www.suredividend.com/sure-analysis-research-database/","Rush Enterprises Inc")</f>
        <v>0</v>
      </c>
      <c r="C2468">
        <v>-0.081241352045859</v>
      </c>
      <c r="D2468">
        <v>-0.143672517378031</v>
      </c>
      <c r="E2468">
        <v>-0.018945662085036</v>
      </c>
      <c r="F2468">
        <v>-0.135263858010623</v>
      </c>
      <c r="G2468">
        <v>0.044079096628981</v>
      </c>
      <c r="H2468">
        <v>2.56693372624858</v>
      </c>
      <c r="I2468">
        <v>2.601509410570523</v>
      </c>
    </row>
    <row r="2469" spans="1:9">
      <c r="A2469" s="1" t="s">
        <v>2481</v>
      </c>
      <c r="B2469">
        <f>HYPERLINK("https://www.suredividend.com/sure-analysis-research-database/","Ruths Hospitality Group Inc")</f>
        <v>0</v>
      </c>
      <c r="C2469">
        <v>-0.079233783195472</v>
      </c>
      <c r="D2469">
        <v>0.051694645556527</v>
      </c>
      <c r="E2469">
        <v>0.087716771924049</v>
      </c>
      <c r="F2469">
        <v>0.069132157877709</v>
      </c>
      <c r="G2469">
        <v>-0.147263380707589</v>
      </c>
      <c r="H2469">
        <v>1.871222611387146</v>
      </c>
      <c r="I2469">
        <v>0.129680965276331</v>
      </c>
    </row>
    <row r="2470" spans="1:9">
      <c r="A2470" s="1" t="s">
        <v>2482</v>
      </c>
      <c r="B2470">
        <f>HYPERLINK("https://www.suredividend.com/sure-analysis-research-database/","Retail Value Inc")</f>
        <v>0</v>
      </c>
      <c r="C2470">
        <v>-0.11504424778761</v>
      </c>
      <c r="D2470">
        <v>-0.016812506144921</v>
      </c>
      <c r="E2470">
        <v>0.20491605751466</v>
      </c>
      <c r="F2470">
        <v>-0.039784911820247</v>
      </c>
      <c r="G2470">
        <v>0.6727069974909391</v>
      </c>
      <c r="H2470">
        <v>2.332963004110654</v>
      </c>
      <c r="I2470">
        <v>-0.9047619047619041</v>
      </c>
    </row>
    <row r="2471" spans="1:9">
      <c r="A2471" s="1" t="s">
        <v>2483</v>
      </c>
      <c r="B2471">
        <f>HYPERLINK("https://www.suredividend.com/sure-analysis-research-database/","Revance Therapeutics Inc")</f>
        <v>0</v>
      </c>
      <c r="C2471">
        <v>0.121833534378769</v>
      </c>
      <c r="D2471">
        <v>0.2109375</v>
      </c>
      <c r="E2471">
        <v>-0.180977542932628</v>
      </c>
      <c r="F2471">
        <v>0.139705882352941</v>
      </c>
      <c r="G2471">
        <v>-0.31667891256429</v>
      </c>
      <c r="H2471">
        <v>0.2109375</v>
      </c>
      <c r="I2471">
        <v>-0.11217183770883</v>
      </c>
    </row>
    <row r="2472" spans="1:9">
      <c r="A2472" s="1" t="s">
        <v>2484</v>
      </c>
      <c r="B2472">
        <f>HYPERLINK("https://www.suredividend.com/sure-analysis-research-database/","Retractable Technologies Inc")</f>
        <v>0</v>
      </c>
      <c r="C2472">
        <v>-0.050847457627118</v>
      </c>
      <c r="D2472">
        <v>-0.2955974842767291</v>
      </c>
      <c r="E2472">
        <v>-0.5098468271334791</v>
      </c>
      <c r="F2472">
        <v>-0.353535353535353</v>
      </c>
      <c r="G2472">
        <v>-0.592727272727272</v>
      </c>
      <c r="H2472">
        <v>0.498327759197324</v>
      </c>
      <c r="I2472">
        <v>3.618080610246367</v>
      </c>
    </row>
    <row r="2473" spans="1:9">
      <c r="A2473" s="1" t="s">
        <v>2485</v>
      </c>
      <c r="B2473">
        <f>HYPERLINK("https://www.suredividend.com/sure-analysis-research-database/","Riverview Bancorp, Inc.")</f>
        <v>0</v>
      </c>
      <c r="C2473">
        <v>-0.051870580334215</v>
      </c>
      <c r="D2473">
        <v>-0.07954283961033901</v>
      </c>
      <c r="E2473">
        <v>-0.020847782628207</v>
      </c>
      <c r="F2473">
        <v>-0.050131926121372</v>
      </c>
      <c r="G2473">
        <v>0.05736188210415</v>
      </c>
      <c r="H2473">
        <v>0.5973377703826951</v>
      </c>
      <c r="I2473">
        <v>0.09689213893967001</v>
      </c>
    </row>
    <row r="2474" spans="1:9">
      <c r="A2474" s="1" t="s">
        <v>2486</v>
      </c>
      <c r="B2474">
        <f>HYPERLINK("https://www.suredividend.com/sure-analysis-research-database/","Redwood Trust Inc.")</f>
        <v>0</v>
      </c>
      <c r="C2474">
        <v>-0.08998799159411501</v>
      </c>
      <c r="D2474">
        <v>-0.222737726067133</v>
      </c>
      <c r="E2474">
        <v>-0.262447154718817</v>
      </c>
      <c r="F2474">
        <v>-0.24866774073615</v>
      </c>
      <c r="G2474">
        <v>0.011227755595633</v>
      </c>
      <c r="H2474">
        <v>2.508137432188064</v>
      </c>
      <c r="I2474">
        <v>-0.169961150759014</v>
      </c>
    </row>
    <row r="2475" spans="1:9">
      <c r="A2475" s="1" t="s">
        <v>2487</v>
      </c>
      <c r="B2475">
        <f>HYPERLINK("https://www.suredividend.com/sure-analysis-research-database/","Rayonier Advanced Materials Inc")</f>
        <v>0</v>
      </c>
      <c r="C2475">
        <v>-0.111111111111111</v>
      </c>
      <c r="D2475">
        <v>-0.163636363636363</v>
      </c>
      <c r="E2475">
        <v>-0.280312907431551</v>
      </c>
      <c r="F2475">
        <v>-0.03327495621716201</v>
      </c>
      <c r="G2475">
        <v>-0.407089151450053</v>
      </c>
      <c r="H2475">
        <v>4.111111111111111</v>
      </c>
      <c r="I2475">
        <v>-0.538032789629171</v>
      </c>
    </row>
    <row r="2476" spans="1:9">
      <c r="A2476" s="1" t="s">
        <v>2488</v>
      </c>
      <c r="B2476">
        <f>HYPERLINK("https://www.suredividend.com/sure-analysis-research-database/","Ryerson Holding Corp.")</f>
        <v>0</v>
      </c>
      <c r="C2476">
        <v>0.17512181140728</v>
      </c>
      <c r="D2476">
        <v>0.662247520818636</v>
      </c>
      <c r="E2476">
        <v>0.7963704554018171</v>
      </c>
      <c r="F2476">
        <v>0.57993102252365</v>
      </c>
      <c r="G2476">
        <v>1.633421328143566</v>
      </c>
      <c r="H2476">
        <v>8.457464476840745</v>
      </c>
      <c r="I2476">
        <v>2.466438952628152</v>
      </c>
    </row>
    <row r="2477" spans="1:9">
      <c r="A2477" s="1" t="s">
        <v>2489</v>
      </c>
      <c r="B2477">
        <f>HYPERLINK("https://www.suredividend.com/sure-analysis-RYN/","Rayonier Inc.")</f>
        <v>0</v>
      </c>
      <c r="C2477">
        <v>0.08570732895057201</v>
      </c>
      <c r="D2477">
        <v>0.142015622999103</v>
      </c>
      <c r="E2477">
        <v>0.215844424266716</v>
      </c>
      <c r="F2477">
        <v>0.11202276417087</v>
      </c>
      <c r="G2477">
        <v>0.251466452616039</v>
      </c>
      <c r="H2477">
        <v>1.00130158658917</v>
      </c>
      <c r="I2477">
        <v>0.8657137955706561</v>
      </c>
    </row>
    <row r="2478" spans="1:9">
      <c r="A2478" s="1" t="s">
        <v>2490</v>
      </c>
      <c r="B2478">
        <f>HYPERLINK("https://www.suredividend.com/sure-analysis-research-database/","Rhythm Pharmaceuticals Inc.")</f>
        <v>0</v>
      </c>
      <c r="C2478">
        <v>-0.16588124410933</v>
      </c>
      <c r="D2478">
        <v>-0.019933554817275</v>
      </c>
      <c r="E2478">
        <v>-0.217506631299734</v>
      </c>
      <c r="F2478">
        <v>-0.113226452905811</v>
      </c>
      <c r="G2478">
        <v>-0.5509893455098931</v>
      </c>
      <c r="H2478">
        <v>-0.4942857142857141</v>
      </c>
      <c r="I2478">
        <v>-0.7050000000000001</v>
      </c>
    </row>
    <row r="2479" spans="1:9">
      <c r="A2479" s="1" t="s">
        <v>2491</v>
      </c>
      <c r="B2479">
        <f>HYPERLINK("https://www.suredividend.com/sure-analysis-research-database/","SentinelOne Inc")</f>
        <v>0</v>
      </c>
      <c r="C2479">
        <v>0.05905848787446501</v>
      </c>
      <c r="D2479">
        <v>-0.130271790065604</v>
      </c>
      <c r="E2479">
        <v>-0.376972138301443</v>
      </c>
      <c r="F2479">
        <v>-0.264804911863735</v>
      </c>
      <c r="G2479">
        <v>-0.126588235294117</v>
      </c>
      <c r="H2479">
        <v>-0.126588235294117</v>
      </c>
      <c r="I2479">
        <v>-0.126588235294117</v>
      </c>
    </row>
    <row r="2480" spans="1:9">
      <c r="A2480" s="1" t="s">
        <v>2492</v>
      </c>
      <c r="B2480">
        <f>HYPERLINK("https://www.suredividend.com/sure-analysis-research-database/","Sabre Corp")</f>
        <v>0</v>
      </c>
      <c r="C2480">
        <v>0.030956848030018</v>
      </c>
      <c r="D2480">
        <v>0.136504653567735</v>
      </c>
      <c r="E2480">
        <v>-0.105048859934853</v>
      </c>
      <c r="F2480">
        <v>0.279394644935972</v>
      </c>
      <c r="G2480">
        <v>-0.266844563042028</v>
      </c>
      <c r="H2480">
        <v>0.904679376083189</v>
      </c>
      <c r="I2480">
        <v>-0.4257348138471581</v>
      </c>
    </row>
    <row r="2481" spans="1:9">
      <c r="A2481" s="1" t="s">
        <v>2493</v>
      </c>
      <c r="B2481">
        <f>HYPERLINK("https://www.suredividend.com/sure-analysis-SACH/","Sachem Capital Corp")</f>
        <v>0</v>
      </c>
      <c r="C2481">
        <v>0.03108031016924</v>
      </c>
      <c r="D2481">
        <v>-0.17342773420959</v>
      </c>
      <c r="E2481">
        <v>-0.104422829877041</v>
      </c>
      <c r="F2481">
        <v>-0.143709422705737</v>
      </c>
      <c r="G2481">
        <v>0.047457554358324</v>
      </c>
      <c r="H2481">
        <v>1.648575305291723</v>
      </c>
      <c r="I2481">
        <v>0.525572089533575</v>
      </c>
    </row>
    <row r="2482" spans="1:9">
      <c r="A2482" s="1" t="s">
        <v>2494</v>
      </c>
      <c r="B2482">
        <f>HYPERLINK("https://www.suredividend.com/sure-analysis-SAFE/","Safehold Inc")</f>
        <v>0</v>
      </c>
      <c r="C2482">
        <v>-0.144704491478431</v>
      </c>
      <c r="D2482">
        <v>-0.303165093756615</v>
      </c>
      <c r="E2482">
        <v>-0.338657332813787</v>
      </c>
      <c r="F2482">
        <v>-0.383887625122311</v>
      </c>
      <c r="G2482">
        <v>-0.280665219686748</v>
      </c>
      <c r="H2482">
        <v>-0.082495014983108</v>
      </c>
      <c r="I2482">
        <v>1.83678509256421</v>
      </c>
    </row>
    <row r="2483" spans="1:9">
      <c r="A2483" s="1" t="s">
        <v>2495</v>
      </c>
      <c r="B2483">
        <f>HYPERLINK("https://www.suredividend.com/sure-analysis-research-database/","Sanderson Farms, Inc.")</f>
        <v>0</v>
      </c>
      <c r="C2483">
        <v>0.058306753958927</v>
      </c>
      <c r="D2483">
        <v>0.001004550646183</v>
      </c>
      <c r="E2483">
        <v>0.015427104328115</v>
      </c>
      <c r="F2483">
        <v>-0.007848868623515</v>
      </c>
      <c r="G2483">
        <v>0.166258242984752</v>
      </c>
      <c r="H2483">
        <v>0.52136613257033</v>
      </c>
      <c r="I2483">
        <v>0.8511395279413131</v>
      </c>
    </row>
    <row r="2484" spans="1:9">
      <c r="A2484" s="1" t="s">
        <v>2496</v>
      </c>
      <c r="B2484">
        <f>HYPERLINK("https://www.suredividend.com/sure-analysis-research-database/","Safety Insurance Group, Inc.")</f>
        <v>0</v>
      </c>
      <c r="C2484">
        <v>0.03641167011256601</v>
      </c>
      <c r="D2484">
        <v>0.08151712052509201</v>
      </c>
      <c r="E2484">
        <v>0.156277511728726</v>
      </c>
      <c r="F2484">
        <v>0.072486437913934</v>
      </c>
      <c r="G2484">
        <v>0.09599523850012701</v>
      </c>
      <c r="H2484">
        <v>0.242433589081235</v>
      </c>
      <c r="I2484">
        <v>0.586202168260838</v>
      </c>
    </row>
    <row r="2485" spans="1:9">
      <c r="A2485" s="1" t="s">
        <v>2497</v>
      </c>
      <c r="B2485">
        <f>HYPERLINK("https://www.suredividend.com/sure-analysis-research-database/","Sage Therapeutics Inc")</f>
        <v>0</v>
      </c>
      <c r="C2485">
        <v>0.05349671249252801</v>
      </c>
      <c r="D2485">
        <v>-0.178895877009084</v>
      </c>
      <c r="E2485">
        <v>-0.21562082777036</v>
      </c>
      <c r="F2485">
        <v>-0.171368124118476</v>
      </c>
      <c r="G2485">
        <v>-0.527733118971061</v>
      </c>
      <c r="H2485">
        <v>0.224383466481417</v>
      </c>
      <c r="I2485">
        <v>-0.499218639011223</v>
      </c>
    </row>
    <row r="2486" spans="1:9">
      <c r="A2486" s="1" t="s">
        <v>2498</v>
      </c>
      <c r="B2486">
        <f>HYPERLINK("https://www.suredividend.com/sure-analysis-research-database/","Sonic Automotive, Inc.")</f>
        <v>0</v>
      </c>
      <c r="C2486">
        <v>-0.07785577536694301</v>
      </c>
      <c r="D2486">
        <v>-0.09565413307965701</v>
      </c>
      <c r="E2486">
        <v>-0.161899385392882</v>
      </c>
      <c r="F2486">
        <v>-0.11869823495688</v>
      </c>
      <c r="G2486">
        <v>-0.130396406842085</v>
      </c>
      <c r="H2486">
        <v>2.070135057613722</v>
      </c>
      <c r="I2486">
        <v>1.455742812632771</v>
      </c>
    </row>
    <row r="2487" spans="1:9">
      <c r="A2487" s="1" t="s">
        <v>2499</v>
      </c>
      <c r="B2487">
        <f>HYPERLINK("https://www.suredividend.com/sure-analysis-research-database/","Saia Inc.")</f>
        <v>0</v>
      </c>
      <c r="C2487">
        <v>-0.288153111412075</v>
      </c>
      <c r="D2487">
        <v>-0.277910339840925</v>
      </c>
      <c r="E2487">
        <v>-0.236389356170668</v>
      </c>
      <c r="F2487">
        <v>-0.4073821321544071</v>
      </c>
      <c r="G2487">
        <v>-0.177287144210569</v>
      </c>
      <c r="H2487">
        <v>1.641581801349028</v>
      </c>
      <c r="I2487">
        <v>3.801201923076921</v>
      </c>
    </row>
    <row r="2488" spans="1:9">
      <c r="A2488" s="1" t="s">
        <v>2500</v>
      </c>
      <c r="B2488">
        <f>HYPERLINK("https://www.suredividend.com/sure-analysis-research-database/","Science Applications International Corp.")</f>
        <v>0</v>
      </c>
      <c r="C2488">
        <v>0.016952693073627</v>
      </c>
      <c r="D2488">
        <v>-0.011825838673774</v>
      </c>
      <c r="E2488">
        <v>-0.019730674834272</v>
      </c>
      <c r="F2488">
        <v>0.057316878942465</v>
      </c>
      <c r="G2488">
        <v>0.009444753548262</v>
      </c>
      <c r="H2488">
        <v>0.184600597775173</v>
      </c>
      <c r="I2488">
        <v>0.363453896493886</v>
      </c>
    </row>
    <row r="2489" spans="1:9">
      <c r="A2489" s="1" t="s">
        <v>2501</v>
      </c>
      <c r="B2489">
        <f>HYPERLINK("https://www.suredividend.com/sure-analysis-research-database/","SailPoint Technologies Holdings Inc")</f>
        <v>0</v>
      </c>
      <c r="C2489">
        <v>0.461170576178546</v>
      </c>
      <c r="D2489">
        <v>0.5103578154425611</v>
      </c>
      <c r="E2489">
        <v>0.394479460986741</v>
      </c>
      <c r="F2489">
        <v>0.327265204799337</v>
      </c>
      <c r="G2489">
        <v>0.287577764398956</v>
      </c>
      <c r="H2489">
        <v>2.972755417956656</v>
      </c>
      <c r="I2489">
        <v>3.935384615384615</v>
      </c>
    </row>
    <row r="2490" spans="1:9">
      <c r="A2490" s="1" t="s">
        <v>2502</v>
      </c>
      <c r="B2490">
        <f>HYPERLINK("https://www.suredividend.com/sure-analysis-research-database/","Salisbury Bancorp, Inc.")</f>
        <v>0</v>
      </c>
      <c r="C2490">
        <v>0.004292646509891001</v>
      </c>
      <c r="D2490">
        <v>0.004337633637938001</v>
      </c>
      <c r="E2490">
        <v>0.050752867065409</v>
      </c>
      <c r="F2490">
        <v>-0.015397564568218</v>
      </c>
      <c r="G2490">
        <v>0.299422612996158</v>
      </c>
      <c r="H2490">
        <v>0.6714709938744831</v>
      </c>
      <c r="I2490">
        <v>0.54041698037049</v>
      </c>
    </row>
    <row r="2491" spans="1:9">
      <c r="A2491" s="1" t="s">
        <v>2503</v>
      </c>
      <c r="B2491">
        <f>HYPERLINK("https://www.suredividend.com/sure-analysis-research-database/","Salem Media Group Inc")</f>
        <v>0</v>
      </c>
      <c r="C2491">
        <v>-0.120448179271708</v>
      </c>
      <c r="D2491">
        <v>-0.05421686746987901</v>
      </c>
      <c r="E2491">
        <v>-0.100286532951289</v>
      </c>
      <c r="F2491">
        <v>0.026143790849673</v>
      </c>
      <c r="G2491">
        <v>0.5023923444976071</v>
      </c>
      <c r="H2491">
        <v>2.270833333333333</v>
      </c>
      <c r="I2491">
        <v>-0.418540054072071</v>
      </c>
    </row>
    <row r="2492" spans="1:9">
      <c r="A2492" s="1" t="s">
        <v>2504</v>
      </c>
      <c r="B2492">
        <f>HYPERLINK("https://www.suredividend.com/sure-analysis-research-database/","Boston Beer Co., Inc.")</f>
        <v>0</v>
      </c>
      <c r="C2492">
        <v>-0.019567897925266</v>
      </c>
      <c r="D2492">
        <v>-0.185988026617408</v>
      </c>
      <c r="E2492">
        <v>-0.284730913642052</v>
      </c>
      <c r="F2492">
        <v>-0.275866165115818</v>
      </c>
      <c r="G2492">
        <v>-0.71754457769918</v>
      </c>
      <c r="H2492">
        <v>-0.116116091926246</v>
      </c>
      <c r="I2492">
        <v>1.63042071197411</v>
      </c>
    </row>
    <row r="2493" spans="1:9">
      <c r="A2493" s="1" t="s">
        <v>2505</v>
      </c>
      <c r="B2493">
        <f>HYPERLINK("https://www.suredividend.com/sure-analysis-research-database/","Silvercrest Asset Management Group Inc")</f>
        <v>0</v>
      </c>
      <c r="C2493">
        <v>0.130111524163568</v>
      </c>
      <c r="D2493">
        <v>0.260910012028418</v>
      </c>
      <c r="E2493">
        <v>0.389913979477867</v>
      </c>
      <c r="F2493">
        <v>0.251359854164829</v>
      </c>
      <c r="G2493">
        <v>0.4578138273093471</v>
      </c>
      <c r="H2493">
        <v>1.624892068582706</v>
      </c>
      <c r="I2493">
        <v>1.183303066678978</v>
      </c>
    </row>
    <row r="2494" spans="1:9">
      <c r="A2494" s="1" t="s">
        <v>2506</v>
      </c>
      <c r="B2494">
        <f>HYPERLINK("https://www.suredividend.com/sure-analysis-research-database/","Sanmina Corp")</f>
        <v>0</v>
      </c>
      <c r="C2494">
        <v>-0.051077221011861</v>
      </c>
      <c r="D2494">
        <v>-0.038272816486751</v>
      </c>
      <c r="E2494">
        <v>-0.008097165991902001</v>
      </c>
      <c r="F2494">
        <v>-0.054510371442354</v>
      </c>
      <c r="G2494">
        <v>-0.059726553130247</v>
      </c>
      <c r="H2494">
        <v>0.5967413441955191</v>
      </c>
      <c r="I2494">
        <v>0.020833333333333</v>
      </c>
    </row>
    <row r="2495" spans="1:9">
      <c r="A2495" s="1" t="s">
        <v>2507</v>
      </c>
      <c r="B2495">
        <f>HYPERLINK("https://www.suredividend.com/sure-analysis-research-database/","S&amp;W Seed Co")</f>
        <v>0</v>
      </c>
      <c r="C2495">
        <v>-0.070652173913043</v>
      </c>
      <c r="D2495">
        <v>-0.310483870967742</v>
      </c>
      <c r="E2495">
        <v>-0.391459074733096</v>
      </c>
      <c r="F2495">
        <v>-0.373626373626373</v>
      </c>
      <c r="G2495">
        <v>-0.548812664907651</v>
      </c>
      <c r="H2495">
        <v>-0.08556149732620301</v>
      </c>
      <c r="I2495">
        <v>-0.6545454545454541</v>
      </c>
    </row>
    <row r="2496" spans="1:9">
      <c r="A2496" s="1" t="s">
        <v>2508</v>
      </c>
      <c r="B2496">
        <f>HYPERLINK("https://www.suredividend.com/sure-analysis-research-database/","Sandy Spring Bancorp")</f>
        <v>0</v>
      </c>
      <c r="C2496">
        <v>-0.068413076423468</v>
      </c>
      <c r="D2496">
        <v>-0.160503268828196</v>
      </c>
      <c r="E2496">
        <v>-0.07842095794532601</v>
      </c>
      <c r="F2496">
        <v>-0.09869338818393901</v>
      </c>
      <c r="G2496">
        <v>0.014222209651492</v>
      </c>
      <c r="H2496">
        <v>1.285061866071902</v>
      </c>
      <c r="I2496">
        <v>0.282326365917475</v>
      </c>
    </row>
    <row r="2497" spans="1:9">
      <c r="A2497" s="1" t="s">
        <v>2509</v>
      </c>
      <c r="B2497">
        <f>HYPERLINK("https://www.suredividend.com/sure-analysis-research-database/","EchoStar Corp")</f>
        <v>0</v>
      </c>
      <c r="C2497">
        <v>0.015139442231075</v>
      </c>
      <c r="D2497">
        <v>0.017978425888933</v>
      </c>
      <c r="E2497">
        <v>0.001966181675186</v>
      </c>
      <c r="F2497">
        <v>-0.033017077798861</v>
      </c>
      <c r="G2497">
        <v>0.022471910112359</v>
      </c>
      <c r="H2497">
        <v>-0.137732656514382</v>
      </c>
      <c r="I2497">
        <v>-0.5401552066414</v>
      </c>
    </row>
    <row r="2498" spans="1:9">
      <c r="A2498" s="1" t="s">
        <v>2510</v>
      </c>
      <c r="B2498">
        <f>HYPERLINK("https://www.suredividend.com/sure-analysis-research-database/","Cassava Sciences Inc")</f>
        <v>0</v>
      </c>
      <c r="C2498">
        <v>-0.294165098144662</v>
      </c>
      <c r="D2498">
        <v>-0.427855274629468</v>
      </c>
      <c r="E2498">
        <v>-0.4717246930972021</v>
      </c>
      <c r="F2498">
        <v>-0.399313501144164</v>
      </c>
      <c r="G2498">
        <v>-0.2467718794835</v>
      </c>
      <c r="H2498">
        <v>3.629629629629629</v>
      </c>
      <c r="I2498">
        <v>3.549314569938129</v>
      </c>
    </row>
    <row r="2499" spans="1:9">
      <c r="A2499" s="1" t="s">
        <v>2511</v>
      </c>
      <c r="B2499">
        <f>HYPERLINK("https://www.suredividend.com/sure-analysis-research-database/","Spirit Airlines Inc")</f>
        <v>0</v>
      </c>
      <c r="C2499">
        <v>0.125448028673835</v>
      </c>
      <c r="D2499">
        <v>0.07857449549162701</v>
      </c>
      <c r="E2499">
        <v>0.04623073719283601</v>
      </c>
      <c r="F2499">
        <v>0.149656750572082</v>
      </c>
      <c r="G2499">
        <v>-0.3183175033921301</v>
      </c>
      <c r="H2499">
        <v>0.984202211690363</v>
      </c>
      <c r="I2499">
        <v>-0.530555036441786</v>
      </c>
    </row>
    <row r="2500" spans="1:9">
      <c r="A2500" s="1" t="s">
        <v>2512</v>
      </c>
      <c r="B2500">
        <f>HYPERLINK("https://www.suredividend.com/sure-analysis-SBAC/","SBA Communications Corp")</f>
        <v>0</v>
      </c>
      <c r="C2500">
        <v>0.09059105137175401</v>
      </c>
      <c r="D2500">
        <v>0.09160607819828701</v>
      </c>
      <c r="E2500">
        <v>0.09132449537988101</v>
      </c>
      <c r="F2500">
        <v>-0.08447306192468801</v>
      </c>
      <c r="G2500">
        <v>0.241821911877398</v>
      </c>
      <c r="H2500">
        <v>0.16809405231147</v>
      </c>
      <c r="I2500">
        <v>1.926029210890974</v>
      </c>
    </row>
    <row r="2501" spans="1:9">
      <c r="A2501" s="1" t="s">
        <v>2513</v>
      </c>
      <c r="B2501">
        <f>HYPERLINK("https://www.suredividend.com/sure-analysis-research-database/","Seacoast Banking Corp. Of Florida")</f>
        <v>0</v>
      </c>
      <c r="C2501">
        <v>-0.102157880360557</v>
      </c>
      <c r="D2501">
        <v>-0.157272403299123</v>
      </c>
      <c r="E2501">
        <v>-0.08529288994016901</v>
      </c>
      <c r="F2501">
        <v>-0.0677372420111</v>
      </c>
      <c r="G2501">
        <v>-0.08113774547487601</v>
      </c>
      <c r="H2501">
        <v>0.9846756712696001</v>
      </c>
      <c r="I2501">
        <v>0.45013852859689</v>
      </c>
    </row>
    <row r="2502" spans="1:9">
      <c r="A2502" s="1" t="s">
        <v>2514</v>
      </c>
      <c r="B2502">
        <f>HYPERLINK("https://www.suredividend.com/sure-analysis-research-database/","SB Financial Group Inc")</f>
        <v>0</v>
      </c>
      <c r="C2502">
        <v>-0.004248539564524</v>
      </c>
      <c r="D2502">
        <v>-0.016790594749923</v>
      </c>
      <c r="E2502">
        <v>0.08570402839622601</v>
      </c>
      <c r="F2502">
        <v>0.006700599188196</v>
      </c>
      <c r="G2502">
        <v>0.152378201306643</v>
      </c>
      <c r="H2502">
        <v>0.417694337539789</v>
      </c>
      <c r="I2502">
        <v>0.285073951722341</v>
      </c>
    </row>
    <row r="2503" spans="1:9">
      <c r="A2503" s="1" t="s">
        <v>2515</v>
      </c>
      <c r="B2503">
        <f>HYPERLINK("https://www.suredividend.com/sure-analysis-research-database/","Sinclair Broadcast Group, Inc.")</f>
        <v>0</v>
      </c>
      <c r="C2503">
        <v>-0.168363636363636</v>
      </c>
      <c r="D2503">
        <v>-0.237468408452864</v>
      </c>
      <c r="E2503">
        <v>-0.144336608325413</v>
      </c>
      <c r="F2503">
        <v>-0.127259128098668</v>
      </c>
      <c r="G2503">
        <v>-0.216818371721903</v>
      </c>
      <c r="H2503">
        <v>0.703157581173667</v>
      </c>
      <c r="I2503">
        <v>-0.33226862246462</v>
      </c>
    </row>
    <row r="2504" spans="1:9">
      <c r="A2504" s="1" t="s">
        <v>2516</v>
      </c>
      <c r="B2504">
        <f>HYPERLINK("https://www.suredividend.com/sure-analysis-research-database/","Sally Beauty Holdings Inc")</f>
        <v>0</v>
      </c>
      <c r="C2504">
        <v>-0.09796149490373701</v>
      </c>
      <c r="D2504">
        <v>-0.121345835631549</v>
      </c>
      <c r="E2504">
        <v>-0.007476635514018001</v>
      </c>
      <c r="F2504">
        <v>-0.137053087757313</v>
      </c>
      <c r="G2504">
        <v>-0.220264317180616</v>
      </c>
      <c r="H2504">
        <v>1.179206566347469</v>
      </c>
      <c r="I2504">
        <v>-0.195454545454545</v>
      </c>
    </row>
    <row r="2505" spans="1:9">
      <c r="A2505" s="1" t="s">
        <v>2517</v>
      </c>
      <c r="B2505">
        <f>HYPERLINK("https://www.suredividend.com/sure-analysis-research-database/","Signature Bank")</f>
        <v>0</v>
      </c>
      <c r="C2505">
        <v>-0.170353499110792</v>
      </c>
      <c r="D2505">
        <v>-0.270920757632629</v>
      </c>
      <c r="E2505">
        <v>-0.126423081800387</v>
      </c>
      <c r="F2505">
        <v>-0.176435863676922</v>
      </c>
      <c r="G2505">
        <v>0.178327042364116</v>
      </c>
      <c r="H2505">
        <v>2.352192647388817</v>
      </c>
      <c r="I2505">
        <v>1.070645364506314</v>
      </c>
    </row>
    <row r="2506" spans="1:9">
      <c r="A2506" s="1" t="s">
        <v>2518</v>
      </c>
      <c r="B2506">
        <f>HYPERLINK("https://www.suredividend.com/sure-analysis-research-database/","SilverBow Resources Inc")</f>
        <v>0</v>
      </c>
      <c r="C2506">
        <v>0.429635145197319</v>
      </c>
      <c r="D2506">
        <v>0.5776499589153651</v>
      </c>
      <c r="E2506">
        <v>0.337047353760445</v>
      </c>
      <c r="F2506">
        <v>0.7638952687184191</v>
      </c>
      <c r="G2506">
        <v>3.942084942084942</v>
      </c>
      <c r="H2506">
        <v>15.27118644067796</v>
      </c>
      <c r="I2506">
        <v>241.5773847125711</v>
      </c>
    </row>
    <row r="2507" spans="1:9">
      <c r="A2507" s="1" t="s">
        <v>2519</v>
      </c>
      <c r="B2507">
        <f>HYPERLINK("https://www.suredividend.com/sure-analysis-SBRA/","Sabra Healthcare REIT Inc")</f>
        <v>0</v>
      </c>
      <c r="C2507">
        <v>-0.07428571428571401</v>
      </c>
      <c r="D2507">
        <v>-0.07327956066586501</v>
      </c>
      <c r="E2507">
        <v>-0.110012360939431</v>
      </c>
      <c r="F2507">
        <v>-0.020578433076638</v>
      </c>
      <c r="G2507">
        <v>-0.213792601400128</v>
      </c>
      <c r="H2507">
        <v>0.20263912474597</v>
      </c>
      <c r="I2507">
        <v>-0.291803278688524</v>
      </c>
    </row>
    <row r="2508" spans="1:9">
      <c r="A2508" s="1" t="s">
        <v>2520</v>
      </c>
      <c r="B2508">
        <f>HYPERLINK("https://www.suredividend.com/sure-analysis-SBSI/","Southside Bancshares Inc")</f>
        <v>0</v>
      </c>
      <c r="C2508">
        <v>-0.06101938262742201</v>
      </c>
      <c r="D2508">
        <v>-0.113594932762877</v>
      </c>
      <c r="E2508">
        <v>0.038963789834888</v>
      </c>
      <c r="F2508">
        <v>-0.05424817067880101</v>
      </c>
      <c r="G2508">
        <v>0.029961809520059</v>
      </c>
      <c r="H2508">
        <v>0.510322848829153</v>
      </c>
      <c r="I2508">
        <v>0.4852215909736071</v>
      </c>
    </row>
    <row r="2509" spans="1:9">
      <c r="A2509" s="1" t="s">
        <v>2521</v>
      </c>
      <c r="B2509">
        <f>HYPERLINK("https://www.suredividend.com/sure-analysis-research-database/","Sterling Bancorp Inc")</f>
        <v>0</v>
      </c>
      <c r="C2509">
        <v>0</v>
      </c>
      <c r="D2509">
        <v>0.189655172413793</v>
      </c>
      <c r="E2509">
        <v>0.329479768786127</v>
      </c>
      <c r="F2509">
        <v>0.2</v>
      </c>
      <c r="G2509">
        <v>0.299435028248587</v>
      </c>
      <c r="H2509">
        <v>1.183544303797468</v>
      </c>
      <c r="I2509">
        <v>-0.4274904166874091</v>
      </c>
    </row>
    <row r="2510" spans="1:9">
      <c r="A2510" s="1" t="s">
        <v>2522</v>
      </c>
      <c r="B2510">
        <f>HYPERLINK("https://www.suredividend.com/sure-analysis-SBUX/","Starbucks Corp.")</f>
        <v>0</v>
      </c>
      <c r="C2510">
        <v>-0.09049307859512601</v>
      </c>
      <c r="D2510">
        <v>-0.201926619411353</v>
      </c>
      <c r="E2510">
        <v>-0.279967612128062</v>
      </c>
      <c r="F2510">
        <v>-0.316892349967649</v>
      </c>
      <c r="G2510">
        <v>-0.316548803573547</v>
      </c>
      <c r="H2510">
        <v>0.122494507542598</v>
      </c>
      <c r="I2510">
        <v>0.5236131287539331</v>
      </c>
    </row>
    <row r="2511" spans="1:9">
      <c r="A2511" s="1" t="s">
        <v>2523</v>
      </c>
      <c r="B2511">
        <f>HYPERLINK("https://www.suredividend.com/sure-analysis-research-database/","Santander Consumer USA Holdings Inc")</f>
        <v>0</v>
      </c>
      <c r="C2511">
        <v>-0.017477562588568</v>
      </c>
      <c r="D2511">
        <v>-0.002398081534772</v>
      </c>
      <c r="E2511">
        <v>0.019308046652945</v>
      </c>
      <c r="F2511">
        <v>-0.009995240361732001</v>
      </c>
      <c r="G2511">
        <v>0.920076803072122</v>
      </c>
      <c r="H2511">
        <v>0.6448018725436701</v>
      </c>
      <c r="I2511">
        <v>2.619185161340838</v>
      </c>
    </row>
    <row r="2512" spans="1:9">
      <c r="A2512" s="1" t="s">
        <v>2524</v>
      </c>
      <c r="B2512">
        <f>HYPERLINK("https://www.suredividend.com/sure-analysis-SCHL/","Scholastic Corp.")</f>
        <v>0</v>
      </c>
      <c r="C2512">
        <v>-0.06852851443323101</v>
      </c>
      <c r="D2512">
        <v>-0.073739139363869</v>
      </c>
      <c r="E2512">
        <v>0.124741768471524</v>
      </c>
      <c r="F2512">
        <v>-0.003039360980633</v>
      </c>
      <c r="G2512">
        <v>0.256135886748383</v>
      </c>
      <c r="H2512">
        <v>0.545488528573431</v>
      </c>
      <c r="I2512">
        <v>0.034873867414118</v>
      </c>
    </row>
    <row r="2513" spans="1:9">
      <c r="A2513" s="1" t="s">
        <v>2525</v>
      </c>
      <c r="B2513">
        <f>HYPERLINK("https://www.suredividend.com/sure-analysis-research-database/","Schnitzer Steel Industries, Inc.")</f>
        <v>0</v>
      </c>
      <c r="C2513">
        <v>0.14245584113468</v>
      </c>
      <c r="D2513">
        <v>0.290039366733693</v>
      </c>
      <c r="E2513">
        <v>0.079620532936721</v>
      </c>
      <c r="F2513">
        <v>0.061697317203925</v>
      </c>
      <c r="G2513">
        <v>0.343905587313295</v>
      </c>
      <c r="H2513">
        <v>3.233992780678244</v>
      </c>
      <c r="I2513">
        <v>2.518574546016337</v>
      </c>
    </row>
    <row r="2514" spans="1:9">
      <c r="A2514" s="1" t="s">
        <v>2526</v>
      </c>
      <c r="B2514">
        <f>HYPERLINK("https://www.suredividend.com/sure-analysis-research-database/","Charles Schwab Corp.")</f>
        <v>0</v>
      </c>
      <c r="C2514">
        <v>-0.06959748144816701</v>
      </c>
      <c r="D2514">
        <v>-0.131943533844761</v>
      </c>
      <c r="E2514">
        <v>0.027326257714257</v>
      </c>
      <c r="F2514">
        <v>-0.013965348776244</v>
      </c>
      <c r="G2514">
        <v>0.29021695914183</v>
      </c>
      <c r="H2514">
        <v>1.457071764311144</v>
      </c>
      <c r="I2514">
        <v>1.344544648346636</v>
      </c>
    </row>
    <row r="2515" spans="1:9">
      <c r="A2515" s="1" t="s">
        <v>2527</v>
      </c>
      <c r="B2515">
        <f>HYPERLINK("https://www.suredividend.com/sure-analysis-research-database/","Service Corp. International")</f>
        <v>0</v>
      </c>
      <c r="C2515">
        <v>0.09764467321790601</v>
      </c>
      <c r="D2515">
        <v>0.08732937566248701</v>
      </c>
      <c r="E2515">
        <v>0.140115809973137</v>
      </c>
      <c r="F2515">
        <v>-0.0045704602005</v>
      </c>
      <c r="G2515">
        <v>0.366224719406526</v>
      </c>
      <c r="H2515">
        <v>0.915236431133683</v>
      </c>
      <c r="I2515">
        <v>1.501750905671512</v>
      </c>
    </row>
    <row r="2516" spans="1:9">
      <c r="A2516" s="1" t="s">
        <v>2528</v>
      </c>
      <c r="B2516">
        <f>HYPERLINK("https://www.suredividend.com/sure-analysis-SCL/","Stepan Co.")</f>
        <v>0</v>
      </c>
      <c r="C2516">
        <v>-0.008564031069508002</v>
      </c>
      <c r="D2516">
        <v>-0.179214911973355</v>
      </c>
      <c r="E2516">
        <v>-0.161939458627705</v>
      </c>
      <c r="F2516">
        <v>-0.196384537586134</v>
      </c>
      <c r="G2516">
        <v>-0.228284055957932</v>
      </c>
      <c r="H2516">
        <v>0.112634706916417</v>
      </c>
      <c r="I2516">
        <v>0.390799989383206</v>
      </c>
    </row>
    <row r="2517" spans="1:9">
      <c r="A2517" s="1" t="s">
        <v>2529</v>
      </c>
      <c r="B2517">
        <f>HYPERLINK("https://www.suredividend.com/sure-analysis-research-database/","Superconductor Technologies Inc.")</f>
        <v>0</v>
      </c>
      <c r="C2517">
        <v>-0.018518518518518</v>
      </c>
      <c r="D2517">
        <v>0.48876404494382</v>
      </c>
      <c r="E2517">
        <v>1.022900763358778</v>
      </c>
      <c r="F2517">
        <v>2.354430379746835</v>
      </c>
      <c r="G2517">
        <v>0.892857142857143</v>
      </c>
      <c r="H2517">
        <v>0.892857142857143</v>
      </c>
      <c r="I2517">
        <v>0.892857142857143</v>
      </c>
    </row>
    <row r="2518" spans="1:9">
      <c r="A2518" s="1" t="s">
        <v>2530</v>
      </c>
      <c r="B2518">
        <f>HYPERLINK("https://www.suredividend.com/sure-analysis-research-database/","Comscore Inc.")</f>
        <v>0</v>
      </c>
      <c r="C2518">
        <v>-0.041984732824427</v>
      </c>
      <c r="D2518">
        <v>-0.222910216718266</v>
      </c>
      <c r="E2518">
        <v>-0.317934782608695</v>
      </c>
      <c r="F2518">
        <v>-0.248502994011976</v>
      </c>
      <c r="G2518">
        <v>-0.250746268656716</v>
      </c>
      <c r="H2518">
        <v>-0.027131782945736</v>
      </c>
      <c r="I2518">
        <v>-0.8902012248468941</v>
      </c>
    </row>
    <row r="2519" spans="1:9">
      <c r="A2519" s="1" t="s">
        <v>2531</v>
      </c>
      <c r="B2519">
        <f>HYPERLINK("https://www.suredividend.com/sure-analysis-research-database/","Sciplay Corp")</f>
        <v>0</v>
      </c>
      <c r="C2519">
        <v>0.004480955937266</v>
      </c>
      <c r="D2519">
        <v>0.08467741935483801</v>
      </c>
      <c r="E2519">
        <v>-0.365865157944365</v>
      </c>
      <c r="F2519">
        <v>-0.023947750362844</v>
      </c>
      <c r="G2519">
        <v>-0.212990052662375</v>
      </c>
      <c r="H2519">
        <v>0.494444444444444</v>
      </c>
      <c r="I2519">
        <v>-0.118032786885246</v>
      </c>
    </row>
    <row r="2520" spans="1:9">
      <c r="A2520" s="1" t="s">
        <v>2532</v>
      </c>
      <c r="B2520">
        <f>HYPERLINK("https://www.suredividend.com/sure-analysis-research-database/","Steelcase, Inc.")</f>
        <v>0</v>
      </c>
      <c r="C2520">
        <v>-0.038872814190464</v>
      </c>
      <c r="D2520">
        <v>-0.100018847772821</v>
      </c>
      <c r="E2520">
        <v>-0.055880971800004</v>
      </c>
      <c r="F2520">
        <v>-0.010174644578417</v>
      </c>
      <c r="G2520">
        <v>-0.178312026328431</v>
      </c>
      <c r="H2520">
        <v>0.411034635605846</v>
      </c>
      <c r="I2520">
        <v>-0.144673990924289</v>
      </c>
    </row>
    <row r="2521" spans="1:9">
      <c r="A2521" s="1" t="s">
        <v>2533</v>
      </c>
      <c r="B2521">
        <f>HYPERLINK("https://www.suredividend.com/sure-analysis-research-database/","Scansource, Inc.")</f>
        <v>0</v>
      </c>
      <c r="C2521">
        <v>-0.026224783861671</v>
      </c>
      <c r="D2521">
        <v>-0.014868804664722</v>
      </c>
      <c r="E2521">
        <v>-0.088481251685999</v>
      </c>
      <c r="F2521">
        <v>-0.036773090079817</v>
      </c>
      <c r="G2521">
        <v>0.108959632425336</v>
      </c>
      <c r="H2521">
        <v>0.5672541743970311</v>
      </c>
      <c r="I2521">
        <v>-0.092885906040268</v>
      </c>
    </row>
    <row r="2522" spans="1:9">
      <c r="A2522" s="1" t="s">
        <v>2534</v>
      </c>
      <c r="B2522">
        <f>HYPERLINK("https://www.suredividend.com/sure-analysis-research-database/","Shoe Carnival, Inc.")</f>
        <v>0</v>
      </c>
      <c r="C2522">
        <v>-0.08706210827868001</v>
      </c>
      <c r="D2522">
        <v>-0.128745298860624</v>
      </c>
      <c r="E2522">
        <v>-0.024597906878464</v>
      </c>
      <c r="F2522">
        <v>-0.192822575253416</v>
      </c>
      <c r="G2522">
        <v>0.013734995010447</v>
      </c>
      <c r="H2522">
        <v>2.20829926410466</v>
      </c>
      <c r="I2522">
        <v>1.756603906140228</v>
      </c>
    </row>
    <row r="2523" spans="1:9">
      <c r="A2523" s="1" t="s">
        <v>2535</v>
      </c>
      <c r="B2523">
        <f>HYPERLINK("https://www.suredividend.com/sure-analysis-research-database/","SecureWorks Corp")</f>
        <v>0</v>
      </c>
      <c r="C2523">
        <v>0.031152647975077</v>
      </c>
      <c r="D2523">
        <v>-0.116744496330887</v>
      </c>
      <c r="E2523">
        <v>-0.299100052938062</v>
      </c>
      <c r="F2523">
        <v>-0.170945522855353</v>
      </c>
      <c r="G2523">
        <v>-0.057651245551601</v>
      </c>
      <c r="H2523">
        <v>0.184257602862254</v>
      </c>
      <c r="I2523">
        <v>0.5576470588235291</v>
      </c>
    </row>
    <row r="2524" spans="1:9">
      <c r="A2524" s="1" t="s">
        <v>2536</v>
      </c>
      <c r="B2524">
        <f>HYPERLINK("https://www.suredividend.com/sure-analysis-research-database/","L.S. Starrett Co.")</f>
        <v>0</v>
      </c>
      <c r="C2524">
        <v>0.00024011299435</v>
      </c>
      <c r="D2524">
        <v>-0.321676245210728</v>
      </c>
      <c r="E2524">
        <v>-0.370515555555555</v>
      </c>
      <c r="F2524">
        <v>-0.242598930481283</v>
      </c>
      <c r="G2524">
        <v>0.188204697986577</v>
      </c>
      <c r="H2524">
        <v>1.145969696969697</v>
      </c>
      <c r="I2524">
        <v>-0.262238381481211</v>
      </c>
    </row>
    <row r="2525" spans="1:9">
      <c r="A2525" s="1" t="s">
        <v>2537</v>
      </c>
      <c r="B2525">
        <f>HYPERLINK("https://www.suredividend.com/sure-analysis-research-database/","Scynexis Inc")</f>
        <v>0</v>
      </c>
      <c r="C2525">
        <v>-0.268558951965065</v>
      </c>
      <c r="D2525">
        <v>-0.446280991735537</v>
      </c>
      <c r="E2525">
        <v>-0.398563734290843</v>
      </c>
      <c r="F2525">
        <v>-0.450819672131147</v>
      </c>
      <c r="G2525">
        <v>-0.566623544631306</v>
      </c>
      <c r="H2525">
        <v>-0.652273199086568</v>
      </c>
      <c r="I2525">
        <v>-0.8711538461538461</v>
      </c>
    </row>
    <row r="2526" spans="1:9">
      <c r="A2526" s="1" t="s">
        <v>2538</v>
      </c>
      <c r="B2526">
        <f>HYPERLINK("https://www.suredividend.com/sure-analysis-research-database/","Sandridge Energy Inc")</f>
        <v>0</v>
      </c>
      <c r="C2526">
        <v>0.343571428571428</v>
      </c>
      <c r="D2526">
        <v>0.6427947598253271</v>
      </c>
      <c r="E2526">
        <v>0.6328125</v>
      </c>
      <c r="F2526">
        <v>0.798279158699808</v>
      </c>
      <c r="G2526">
        <v>4.070080862533692</v>
      </c>
      <c r="H2526">
        <v>17.44117647058823</v>
      </c>
      <c r="I2526">
        <v>0.00213106020245</v>
      </c>
    </row>
    <row r="2527" spans="1:9">
      <c r="A2527" s="1" t="s">
        <v>2539</v>
      </c>
      <c r="B2527">
        <f>HYPERLINK("https://www.suredividend.com/sure-analysis-research-database/","Superior Drilling Products Inc")</f>
        <v>0</v>
      </c>
      <c r="C2527">
        <v>0.154273029966703</v>
      </c>
      <c r="D2527">
        <v>0.26984126984127</v>
      </c>
      <c r="E2527">
        <v>-0.235294117647058</v>
      </c>
      <c r="F2527">
        <v>0.424072299055182</v>
      </c>
      <c r="G2527">
        <v>0.368421052631579</v>
      </c>
      <c r="H2527">
        <v>2.462050599201065</v>
      </c>
      <c r="I2527">
        <v>0.253012048192771</v>
      </c>
    </row>
    <row r="2528" spans="1:9">
      <c r="A2528" s="1" t="s">
        <v>2540</v>
      </c>
      <c r="B2528">
        <f>HYPERLINK("https://www.suredividend.com/sure-analysis-research-database/","Seachange International Inc.")</f>
        <v>0</v>
      </c>
      <c r="C2528">
        <v>0.03539823008849501</v>
      </c>
      <c r="D2528">
        <v>-0.225165562913907</v>
      </c>
      <c r="E2528">
        <v>0.183252427184466</v>
      </c>
      <c r="F2528">
        <v>-0.26875</v>
      </c>
      <c r="G2528">
        <v>0.135922330097087</v>
      </c>
      <c r="H2528">
        <v>-0.5393700787401571</v>
      </c>
      <c r="I2528">
        <v>-0.535714285714285</v>
      </c>
    </row>
    <row r="2529" spans="1:9">
      <c r="A2529" s="1" t="s">
        <v>2541</v>
      </c>
      <c r="B2529">
        <f>HYPERLINK("https://www.suredividend.com/sure-analysis-research-database/","SeaWorld Entertainment Inc")</f>
        <v>0</v>
      </c>
      <c r="C2529">
        <v>0.09466746554823201</v>
      </c>
      <c r="D2529">
        <v>0.155597722960151</v>
      </c>
      <c r="E2529">
        <v>0.233834205639034</v>
      </c>
      <c r="F2529">
        <v>0.126734505087881</v>
      </c>
      <c r="G2529">
        <v>0.421513324255981</v>
      </c>
      <c r="H2529">
        <v>6.909090909090908</v>
      </c>
      <c r="I2529">
        <v>3.513897467572576</v>
      </c>
    </row>
    <row r="2530" spans="1:9">
      <c r="A2530" s="1" t="s">
        <v>2542</v>
      </c>
      <c r="B2530">
        <f>HYPERLINK("https://www.suredividend.com/sure-analysis-research-database/","Seaboard Corp.")</f>
        <v>0</v>
      </c>
      <c r="C2530">
        <v>0.06882774601800301</v>
      </c>
      <c r="D2530">
        <v>0.06976398870724501</v>
      </c>
      <c r="E2530">
        <v>0.017484381170893</v>
      </c>
      <c r="F2530">
        <v>0.06731726806407</v>
      </c>
      <c r="G2530">
        <v>0.116253385853893</v>
      </c>
      <c r="H2530">
        <v>0.413419732293654</v>
      </c>
      <c r="I2530">
        <v>0.078749838181356</v>
      </c>
    </row>
    <row r="2531" spans="1:9">
      <c r="A2531" s="1" t="s">
        <v>2543</v>
      </c>
      <c r="B2531">
        <f>HYPERLINK("https://www.suredividend.com/sure-analysis-research-database/","Solaredge Technologies Inc")</f>
        <v>0</v>
      </c>
      <c r="C2531">
        <v>-0.100251376586066</v>
      </c>
      <c r="D2531">
        <v>0.184493558681007</v>
      </c>
      <c r="E2531">
        <v>0.003906641290193</v>
      </c>
      <c r="F2531">
        <v>0.07160423423744501</v>
      </c>
      <c r="G2531">
        <v>0.162150670635074</v>
      </c>
      <c r="H2531">
        <v>2.16517528160859</v>
      </c>
      <c r="I2531">
        <v>17.96908517350158</v>
      </c>
    </row>
    <row r="2532" spans="1:9">
      <c r="A2532" s="1" t="s">
        <v>2544</v>
      </c>
      <c r="B2532">
        <f>HYPERLINK("https://www.suredividend.com/sure-analysis-research-database/","Sealed Air Corp.")</f>
        <v>0</v>
      </c>
      <c r="C2532">
        <v>0.002676977989292</v>
      </c>
      <c r="D2532">
        <v>-0.001034230357772</v>
      </c>
      <c r="E2532">
        <v>0.180055624692602</v>
      </c>
      <c r="F2532">
        <v>0.002371376959731</v>
      </c>
      <c r="G2532">
        <v>0.416972990922713</v>
      </c>
      <c r="H2532">
        <v>1.49472710453284</v>
      </c>
      <c r="I2532">
        <v>0.703682552036611</v>
      </c>
    </row>
    <row r="2533" spans="1:9">
      <c r="A2533" s="1" t="s">
        <v>2545</v>
      </c>
      <c r="B2533">
        <f>HYPERLINK("https://www.suredividend.com/sure-analysis-research-database/","Seelos Therapeutics Inc")</f>
        <v>0</v>
      </c>
      <c r="C2533">
        <v>-0.113585746102449</v>
      </c>
      <c r="D2533">
        <v>-0.435460992907801</v>
      </c>
      <c r="E2533">
        <v>-0.6477876106194691</v>
      </c>
      <c r="F2533">
        <v>-0.511656441717791</v>
      </c>
      <c r="G2533">
        <v>-0.8486692015209121</v>
      </c>
      <c r="H2533">
        <v>0.7118279569892471</v>
      </c>
      <c r="I2533">
        <v>-0.589690721649484</v>
      </c>
    </row>
    <row r="2534" spans="1:9">
      <c r="A2534" s="1" t="s">
        <v>2546</v>
      </c>
      <c r="B2534">
        <f>HYPERLINK("https://www.suredividend.com/sure-analysis-SEIC/","SEI Investments Co.")</f>
        <v>0</v>
      </c>
      <c r="C2534">
        <v>-0.027843401957475</v>
      </c>
      <c r="D2534">
        <v>-0.08044692737430101</v>
      </c>
      <c r="E2534">
        <v>-0.058529370909358</v>
      </c>
      <c r="F2534">
        <v>-0.05464391204463401</v>
      </c>
      <c r="G2534">
        <v>-0.07631281906569801</v>
      </c>
      <c r="H2534">
        <v>0.229102484233522</v>
      </c>
      <c r="I2534">
        <v>0.190227777490832</v>
      </c>
    </row>
    <row r="2535" spans="1:9">
      <c r="A2535" s="1" t="s">
        <v>2547</v>
      </c>
      <c r="B2535">
        <f>HYPERLINK("https://www.suredividend.com/sure-analysis-research-database/","Selecta Biosciences Inc")</f>
        <v>0</v>
      </c>
      <c r="C2535">
        <v>-0.313333333333333</v>
      </c>
      <c r="D2535">
        <v>-0.628158844765343</v>
      </c>
      <c r="E2535">
        <v>-0.7587822014051521</v>
      </c>
      <c r="F2535">
        <v>-0.6840490797546011</v>
      </c>
      <c r="G2535">
        <v>-0.7338501291989661</v>
      </c>
      <c r="H2535">
        <v>-0.59765625</v>
      </c>
      <c r="I2535">
        <v>-0.9261648745519711</v>
      </c>
    </row>
    <row r="2536" spans="1:9">
      <c r="A2536" s="1" t="s">
        <v>2548</v>
      </c>
      <c r="B2536">
        <f>HYPERLINK("https://www.suredividend.com/sure-analysis-research-database/","Global Self Storage Inc")</f>
        <v>0</v>
      </c>
      <c r="C2536">
        <v>0.086142322097378</v>
      </c>
      <c r="D2536">
        <v>-0.0441346122153</v>
      </c>
      <c r="E2536">
        <v>0.131420322649864</v>
      </c>
      <c r="F2536">
        <v>0.029646724658263</v>
      </c>
      <c r="G2536">
        <v>0.265298108597482</v>
      </c>
      <c r="H2536">
        <v>0.747461661293724</v>
      </c>
      <c r="I2536">
        <v>0.5791766499673271</v>
      </c>
    </row>
    <row r="2537" spans="1:9">
      <c r="A2537" s="1" t="s">
        <v>2549</v>
      </c>
      <c r="B2537">
        <f>HYPERLINK("https://www.suredividend.com/sure-analysis-research-database/","Select Medical Holdings Corporation")</f>
        <v>0</v>
      </c>
      <c r="C2537">
        <v>0.004073319755600001</v>
      </c>
      <c r="D2537">
        <v>-0.143180901797756</v>
      </c>
      <c r="E2537">
        <v>-0.256724158726329</v>
      </c>
      <c r="F2537">
        <v>-0.157169868737327</v>
      </c>
      <c r="G2537">
        <v>-0.3120885438323781</v>
      </c>
      <c r="H2537">
        <v>0.6133993965297181</v>
      </c>
      <c r="I2537">
        <v>0.896971002893554</v>
      </c>
    </row>
    <row r="2538" spans="1:9">
      <c r="A2538" s="1" t="s">
        <v>2550</v>
      </c>
      <c r="B2538">
        <f>HYPERLINK("https://www.suredividend.com/sure-analysis-research-database/","Seneca Foods Corp.")</f>
        <v>0</v>
      </c>
      <c r="C2538">
        <v>0.08533228470310601</v>
      </c>
      <c r="D2538">
        <v>0.151919866444073</v>
      </c>
      <c r="E2538">
        <v>0.062560153994225</v>
      </c>
      <c r="F2538">
        <v>0.151199165797705</v>
      </c>
      <c r="G2538">
        <v>0.09350237717908101</v>
      </c>
      <c r="H2538">
        <v>0.479099678456591</v>
      </c>
      <c r="I2538">
        <v>0.637982195845697</v>
      </c>
    </row>
    <row r="2539" spans="1:9">
      <c r="A2539" s="1" t="s">
        <v>2551</v>
      </c>
      <c r="B2539">
        <f>HYPERLINK("https://www.suredividend.com/sure-analysis-research-database/","Seneca Foods Corp.")</f>
        <v>0</v>
      </c>
      <c r="C2539">
        <v>0.058823529411764</v>
      </c>
      <c r="D2539">
        <v>0.120331950207468</v>
      </c>
      <c r="E2539">
        <v>0.05365853658536501</v>
      </c>
      <c r="F2539">
        <v>0.146496815286624</v>
      </c>
      <c r="G2539">
        <v>0.08303249097472901</v>
      </c>
      <c r="H2539">
        <v>0.49171270718232</v>
      </c>
      <c r="I2539">
        <v>0.545064377682403</v>
      </c>
    </row>
    <row r="2540" spans="1:9">
      <c r="A2540" s="1" t="s">
        <v>2552</v>
      </c>
      <c r="B2540">
        <f>HYPERLINK("https://www.suredividend.com/sure-analysis-research-database/","Senseonics Holdings Inc")</f>
        <v>0</v>
      </c>
      <c r="C2540">
        <v>-0.022727272727272</v>
      </c>
      <c r="D2540">
        <v>-0.394366197183098</v>
      </c>
      <c r="E2540">
        <v>-0.478787878787878</v>
      </c>
      <c r="F2540">
        <v>-0.355805243445692</v>
      </c>
      <c r="G2540">
        <v>-0.08994708994708901</v>
      </c>
      <c r="H2540">
        <v>1.567164179104477</v>
      </c>
      <c r="I2540">
        <v>0.036144578313253</v>
      </c>
    </row>
    <row r="2541" spans="1:9">
      <c r="A2541" s="1" t="s">
        <v>2553</v>
      </c>
      <c r="B2541">
        <f>HYPERLINK("https://www.suredividend.com/sure-analysis-research-database/","SES AI Corporation")</f>
        <v>0</v>
      </c>
      <c r="C2541">
        <v>0.282234957020057</v>
      </c>
      <c r="D2541">
        <v>-0.10140562248996</v>
      </c>
      <c r="E2541">
        <v>-0.09959758551307801</v>
      </c>
      <c r="F2541">
        <v>-0.100502512562814</v>
      </c>
      <c r="G2541">
        <v>-0.110337972166998</v>
      </c>
      <c r="H2541">
        <v>-0.167441860465116</v>
      </c>
      <c r="I2541">
        <v>-0.167441860465116</v>
      </c>
    </row>
    <row r="2542" spans="1:9">
      <c r="A2542" s="1" t="s">
        <v>2554</v>
      </c>
      <c r="B2542">
        <f>HYPERLINK("https://www.suredividend.com/sure-analysis-research-database/","Sesen Bio Inc.")</f>
        <v>0</v>
      </c>
      <c r="C2542">
        <v>-0.201196473551637</v>
      </c>
      <c r="D2542">
        <v>-0.35510930350788</v>
      </c>
      <c r="E2542">
        <v>-0.470244309876801</v>
      </c>
      <c r="F2542">
        <v>-0.377423312883435</v>
      </c>
      <c r="G2542">
        <v>-0.7793913043478261</v>
      </c>
      <c r="H2542">
        <v>-0.04624060150375901</v>
      </c>
      <c r="I2542">
        <v>-0.7357291666666661</v>
      </c>
    </row>
    <row r="2543" spans="1:9">
      <c r="A2543" s="1" t="s">
        <v>2555</v>
      </c>
      <c r="B2543">
        <f>HYPERLINK("https://www.suredividend.com/sure-analysis-research-database/","Stifel Financial Corp.")</f>
        <v>0</v>
      </c>
      <c r="C2543">
        <v>-0.046151599240543</v>
      </c>
      <c r="D2543">
        <v>-0.110619053260722</v>
      </c>
      <c r="E2543">
        <v>-0.116941977233301</v>
      </c>
      <c r="F2543">
        <v>-0.068814481496056</v>
      </c>
      <c r="G2543">
        <v>-0.05627933322544101</v>
      </c>
      <c r="H2543">
        <v>1.516666024430657</v>
      </c>
      <c r="I2543">
        <v>1.246707855737344</v>
      </c>
    </row>
    <row r="2544" spans="1:9">
      <c r="A2544" s="1" t="s">
        <v>2556</v>
      </c>
      <c r="B2544">
        <f>HYPERLINK("https://www.suredividend.com/sure-analysis-research-database/","Sound Financial Bancorp Inc")</f>
        <v>0</v>
      </c>
      <c r="C2544">
        <v>0.030190677966101</v>
      </c>
      <c r="D2544">
        <v>-0.100542680290323</v>
      </c>
      <c r="E2544">
        <v>-0.142667604075524</v>
      </c>
      <c r="F2544">
        <v>-0.112368652237903</v>
      </c>
      <c r="G2544">
        <v>-0.038623130381486</v>
      </c>
      <c r="H2544">
        <v>0.8018435314280421</v>
      </c>
      <c r="I2544">
        <v>0.391611693831117</v>
      </c>
    </row>
    <row r="2545" spans="1:9">
      <c r="A2545" s="1" t="s">
        <v>2557</v>
      </c>
      <c r="B2545">
        <f>HYPERLINK("https://www.suredividend.com/sure-analysis-research-database/","ServisFirst Bancshares Inc")</f>
        <v>0</v>
      </c>
      <c r="C2545">
        <v>-0.096126068115765</v>
      </c>
      <c r="D2545">
        <v>-0.05895835409438</v>
      </c>
      <c r="E2545">
        <v>0.107413808957125</v>
      </c>
      <c r="F2545">
        <v>-0.019295450522216</v>
      </c>
      <c r="G2545">
        <v>0.339663552607184</v>
      </c>
      <c r="H2545">
        <v>2.207392054467769</v>
      </c>
      <c r="I2545">
        <v>1.687042054956638</v>
      </c>
    </row>
    <row r="2546" spans="1:9">
      <c r="A2546" s="1" t="s">
        <v>2558</v>
      </c>
      <c r="B2546">
        <f>HYPERLINK("https://www.suredividend.com/sure-analysis-research-database/","Safeguard Scientifics, Inc.")</f>
        <v>0</v>
      </c>
      <c r="C2546">
        <v>-0.017964071856287</v>
      </c>
      <c r="D2546">
        <v>-0.297142857142857</v>
      </c>
      <c r="E2546">
        <v>-0.406513872135102</v>
      </c>
      <c r="F2546">
        <v>-0.330612244897959</v>
      </c>
      <c r="G2546">
        <v>-0.232449297971918</v>
      </c>
      <c r="H2546">
        <v>-0.100548446069469</v>
      </c>
      <c r="I2546">
        <v>-0.564189099412718</v>
      </c>
    </row>
    <row r="2547" spans="1:9">
      <c r="A2547" s="1" t="s">
        <v>2559</v>
      </c>
      <c r="B2547">
        <f>HYPERLINK("https://www.suredividend.com/sure-analysis-research-database/","Stitch Fix Inc")</f>
        <v>0</v>
      </c>
      <c r="C2547">
        <v>-0.116681859617137</v>
      </c>
      <c r="D2547">
        <v>-0.416265060240963</v>
      </c>
      <c r="E2547">
        <v>-0.7120356612184251</v>
      </c>
      <c r="F2547">
        <v>-0.48784355179704</v>
      </c>
      <c r="G2547">
        <v>-0.7919708029197081</v>
      </c>
      <c r="H2547">
        <v>-0.348352387357094</v>
      </c>
      <c r="I2547">
        <v>-0.3603960396039601</v>
      </c>
    </row>
    <row r="2548" spans="1:9">
      <c r="A2548" s="1" t="s">
        <v>2560</v>
      </c>
      <c r="B2548">
        <f>HYPERLINK("https://www.suredividend.com/sure-analysis-research-database/","Sprouts Farmers Market Inc")</f>
        <v>0</v>
      </c>
      <c r="C2548">
        <v>0.035149951628506</v>
      </c>
      <c r="D2548">
        <v>0.09781121751026001</v>
      </c>
      <c r="E2548">
        <v>0.451831750339213</v>
      </c>
      <c r="F2548">
        <v>0.08153638814016101</v>
      </c>
      <c r="G2548">
        <v>0.188888888888888</v>
      </c>
      <c r="H2548">
        <v>0.577395577395577</v>
      </c>
      <c r="I2548">
        <v>0.414720141031291</v>
      </c>
    </row>
    <row r="2549" spans="1:9">
      <c r="A2549" s="1" t="s">
        <v>2561</v>
      </c>
      <c r="B2549">
        <f>HYPERLINK("https://www.suredividend.com/sure-analysis-research-database/","Simmons First National Corp.")</f>
        <v>0</v>
      </c>
      <c r="C2549">
        <v>-0.131284916201117</v>
      </c>
      <c r="D2549">
        <v>-0.215075101033842</v>
      </c>
      <c r="E2549">
        <v>-0.171878484484371</v>
      </c>
      <c r="F2549">
        <v>-0.1532461167758</v>
      </c>
      <c r="G2549">
        <v>-0.132566077336894</v>
      </c>
      <c r="H2549">
        <v>0.5794819705434221</v>
      </c>
      <c r="I2549">
        <v>0.08376530034412101</v>
      </c>
    </row>
    <row r="2550" spans="1:9">
      <c r="A2550" s="1" t="s">
        <v>2562</v>
      </c>
      <c r="B2550">
        <f>HYPERLINK("https://www.suredividend.com/sure-analysis-research-database/","Southern First Bancshares Inc")</f>
        <v>0</v>
      </c>
      <c r="C2550">
        <v>-0.124681470695303</v>
      </c>
      <c r="D2550">
        <v>-0.232402234636871</v>
      </c>
      <c r="E2550">
        <v>-0.109444444444444</v>
      </c>
      <c r="F2550">
        <v>-0.230436869899183</v>
      </c>
      <c r="G2550">
        <v>-0.039352776667998</v>
      </c>
      <c r="H2550">
        <v>0.98636926889715</v>
      </c>
      <c r="I2550">
        <v>0.514645669291338</v>
      </c>
    </row>
    <row r="2551" spans="1:9">
      <c r="A2551" s="1" t="s">
        <v>2563</v>
      </c>
      <c r="B2551">
        <f>HYPERLINK("https://www.suredividend.com/sure-analysis-research-database/","Saga Communications, Inc.")</f>
        <v>0</v>
      </c>
      <c r="C2551">
        <v>0.01418884926518</v>
      </c>
      <c r="D2551">
        <v>-0.02997785726452</v>
      </c>
      <c r="E2551">
        <v>0.052573213444104</v>
      </c>
      <c r="F2551">
        <v>-0.05124050928143301</v>
      </c>
      <c r="G2551">
        <v>0.035219268348102</v>
      </c>
      <c r="H2551">
        <v>-0.133860064028957</v>
      </c>
      <c r="I2551">
        <v>-0.4725325615050651</v>
      </c>
    </row>
    <row r="2552" spans="1:9">
      <c r="A2552" s="1" t="s">
        <v>2564</v>
      </c>
      <c r="B2552">
        <f>HYPERLINK("https://www.suredividend.com/sure-analysis-research-database/","Superior Group of Companies Inc..")</f>
        <v>0</v>
      </c>
      <c r="C2552">
        <v>-0.082558775287042</v>
      </c>
      <c r="D2552">
        <v>-0.225939781989952</v>
      </c>
      <c r="E2552">
        <v>-0.306806351934167</v>
      </c>
      <c r="F2552">
        <v>-0.230525837915174</v>
      </c>
      <c r="G2552">
        <v>-0.31379124204603</v>
      </c>
      <c r="H2552">
        <v>1.460013780768498</v>
      </c>
      <c r="I2552">
        <v>0.07342536559153501</v>
      </c>
    </row>
    <row r="2553" spans="1:9">
      <c r="A2553" s="1" t="s">
        <v>2565</v>
      </c>
      <c r="B2553">
        <f>HYPERLINK("https://www.suredividend.com/sure-analysis-research-database/","Seagen Inc")</f>
        <v>0</v>
      </c>
      <c r="C2553">
        <v>0.05630026809651401</v>
      </c>
      <c r="D2553">
        <v>0.092129258151579</v>
      </c>
      <c r="E2553">
        <v>-0.133213686099693</v>
      </c>
      <c r="F2553">
        <v>-0.03156532988357</v>
      </c>
      <c r="G2553">
        <v>0.029003436426116</v>
      </c>
      <c r="H2553">
        <v>0.122338830584707</v>
      </c>
      <c r="I2553">
        <v>1.268141190728677</v>
      </c>
    </row>
    <row r="2554" spans="1:9">
      <c r="A2554" s="1" t="s">
        <v>2566</v>
      </c>
      <c r="B2554">
        <f>HYPERLINK("https://www.suredividend.com/sure-analysis-research-database/","SMART Global Holdings Inc")</f>
        <v>0</v>
      </c>
      <c r="C2554">
        <v>-0.088966588966588</v>
      </c>
      <c r="D2554">
        <v>-0.292075471698113</v>
      </c>
      <c r="E2554">
        <v>-0.123855781804595</v>
      </c>
      <c r="F2554">
        <v>-0.339343569516833</v>
      </c>
      <c r="G2554">
        <v>-0.17123166637215</v>
      </c>
      <c r="H2554">
        <v>0.95010395010395</v>
      </c>
      <c r="I2554">
        <v>2.486988847583643</v>
      </c>
    </row>
    <row r="2555" spans="1:9">
      <c r="A2555" s="1" t="s">
        <v>2567</v>
      </c>
      <c r="B2555">
        <f>HYPERLINK("https://www.suredividend.com/sure-analysis-research-database/","Sigmatron International Inc.")</f>
        <v>0</v>
      </c>
      <c r="C2555">
        <v>-0.3867069486404831</v>
      </c>
      <c r="D2555">
        <v>-0.295138888888888</v>
      </c>
      <c r="E2555">
        <v>-0.319553072625698</v>
      </c>
      <c r="F2555">
        <v>-0.410454985479186</v>
      </c>
      <c r="G2555">
        <v>0.127777777777777</v>
      </c>
      <c r="H2555">
        <v>1.167259786476868</v>
      </c>
      <c r="I2555">
        <v>0.191780821917808</v>
      </c>
    </row>
    <row r="2556" spans="1:9">
      <c r="A2556" s="1" t="s">
        <v>2568</v>
      </c>
      <c r="B2556">
        <f>HYPERLINK("https://www.suredividend.com/sure-analysis-research-database/","Sangamo Therapeutics Inc")</f>
        <v>0</v>
      </c>
      <c r="C2556">
        <v>-0.052252252252252</v>
      </c>
      <c r="D2556">
        <v>-0.178125</v>
      </c>
      <c r="E2556">
        <v>-0.398857142857142</v>
      </c>
      <c r="F2556">
        <v>-0.298666666666666</v>
      </c>
      <c r="G2556">
        <v>-0.541811846689895</v>
      </c>
      <c r="H2556">
        <v>-0.273480662983425</v>
      </c>
      <c r="I2556">
        <v>0.237647058823529</v>
      </c>
    </row>
    <row r="2557" spans="1:9">
      <c r="A2557" s="1" t="s">
        <v>2569</v>
      </c>
      <c r="B2557">
        <f>HYPERLINK("https://www.suredividend.com/sure-analysis-research-database/","Scientific Games Corporation")</f>
        <v>0</v>
      </c>
      <c r="C2557">
        <v>-0.038560826072926</v>
      </c>
      <c r="D2557">
        <v>-0.0278955954323</v>
      </c>
      <c r="E2557">
        <v>-0.29811542991755</v>
      </c>
      <c r="F2557">
        <v>-0.108334580278318</v>
      </c>
      <c r="G2557">
        <v>0.25717299578059</v>
      </c>
      <c r="H2557">
        <v>5.181535269709544</v>
      </c>
      <c r="I2557">
        <v>1.844391408114559</v>
      </c>
    </row>
    <row r="2558" spans="1:9">
      <c r="A2558" s="1" t="s">
        <v>2570</v>
      </c>
      <c r="B2558">
        <f>HYPERLINK("https://www.suredividend.com/sure-analysis-research-database/","Spar Group, Inc.")</f>
        <v>0</v>
      </c>
      <c r="C2558">
        <v>-0.007633587786259</v>
      </c>
      <c r="D2558">
        <v>0.140350877192982</v>
      </c>
      <c r="E2558">
        <v>-0.115646258503401</v>
      </c>
      <c r="F2558">
        <v>0.05691056910569101</v>
      </c>
      <c r="G2558">
        <v>-0.216867469879518</v>
      </c>
      <c r="H2558">
        <v>0.805555555555555</v>
      </c>
      <c r="I2558">
        <v>0.354166666666666</v>
      </c>
    </row>
    <row r="2559" spans="1:9">
      <c r="A2559" s="1" t="s">
        <v>2571</v>
      </c>
      <c r="B2559">
        <f>HYPERLINK("https://www.suredividend.com/sure-analysis-research-database/","Surgery Partners Inc")</f>
        <v>0</v>
      </c>
      <c r="C2559">
        <v>0.07300672430355401</v>
      </c>
      <c r="D2559">
        <v>0.171105053470329</v>
      </c>
      <c r="E2559">
        <v>0.362859931673987</v>
      </c>
      <c r="F2559">
        <v>0.045684328777382</v>
      </c>
      <c r="G2559">
        <v>0.263860601946141</v>
      </c>
      <c r="H2559">
        <v>7.579109062980031</v>
      </c>
      <c r="I2559">
        <v>2.068681318681319</v>
      </c>
    </row>
    <row r="2560" spans="1:9">
      <c r="A2560" s="1" t="s">
        <v>2572</v>
      </c>
      <c r="B2560">
        <f>HYPERLINK("https://www.suredividend.com/sure-analysis-research-database/","Shake Shack Inc")</f>
        <v>0</v>
      </c>
      <c r="C2560">
        <v>-0.08090087420358501</v>
      </c>
      <c r="D2560">
        <v>-0.104777024101602</v>
      </c>
      <c r="E2560">
        <v>-0.177648150603208</v>
      </c>
      <c r="F2560">
        <v>-0.140382483370288</v>
      </c>
      <c r="G2560">
        <v>-0.46883027915739</v>
      </c>
      <c r="H2560">
        <v>0.444910319124155</v>
      </c>
      <c r="I2560">
        <v>0.884264884568651</v>
      </c>
    </row>
    <row r="2561" spans="1:9">
      <c r="A2561" s="1" t="s">
        <v>2573</v>
      </c>
      <c r="B2561">
        <f>HYPERLINK("https://www.suredividend.com/sure-analysis-research-database/","Shore Bancshares Inc.")</f>
        <v>0</v>
      </c>
      <c r="C2561">
        <v>-0.04383828543594701</v>
      </c>
      <c r="D2561">
        <v>-0.049900779245922</v>
      </c>
      <c r="E2561">
        <v>0.105915492957746</v>
      </c>
      <c r="F2561">
        <v>-0.053090600368537</v>
      </c>
      <c r="G2561">
        <v>0.199599115119959</v>
      </c>
      <c r="H2561">
        <v>1.567523379765875</v>
      </c>
      <c r="I2561">
        <v>0.350031635993507</v>
      </c>
    </row>
    <row r="2562" spans="1:9">
      <c r="A2562" s="1" t="s">
        <v>2574</v>
      </c>
      <c r="B2562">
        <f>HYPERLINK("https://www.suredividend.com/sure-analysis-research-database/","Shenandoah Telecommunications Co.")</f>
        <v>0</v>
      </c>
      <c r="C2562">
        <v>0.09237132352941101</v>
      </c>
      <c r="D2562">
        <v>-0.025420254202542</v>
      </c>
      <c r="E2562">
        <v>-0.237175269973203</v>
      </c>
      <c r="F2562">
        <v>-0.067843137254901</v>
      </c>
      <c r="G2562">
        <v>-0.240807931113779</v>
      </c>
      <c r="H2562">
        <v>-0.260450761017012</v>
      </c>
      <c r="I2562">
        <v>0.296851983196028</v>
      </c>
    </row>
    <row r="2563" spans="1:9">
      <c r="A2563" s="1" t="s">
        <v>2575</v>
      </c>
      <c r="B2563">
        <f>HYPERLINK("https://www.suredividend.com/sure-analysis-research-database/","Sunstone Hotel Investors Inc")</f>
        <v>0</v>
      </c>
      <c r="C2563">
        <v>0.035652173913043</v>
      </c>
      <c r="D2563">
        <v>0.007614213197969</v>
      </c>
      <c r="E2563">
        <v>-0.030919446704637</v>
      </c>
      <c r="F2563">
        <v>0.015345268542199</v>
      </c>
      <c r="G2563">
        <v>-0.058498023715415</v>
      </c>
      <c r="H2563">
        <v>0.428057553956834</v>
      </c>
      <c r="I2563">
        <v>-0.08611680209939901</v>
      </c>
    </row>
    <row r="2564" spans="1:9">
      <c r="A2564" s="1" t="s">
        <v>2576</v>
      </c>
      <c r="B2564">
        <f>HYPERLINK("https://www.suredividend.com/sure-analysis-research-database/","Steven Madden Ltd.")</f>
        <v>0</v>
      </c>
      <c r="C2564">
        <v>0.011645193260654</v>
      </c>
      <c r="D2564">
        <v>-0.021271699578593</v>
      </c>
      <c r="E2564">
        <v>-0.03831885983197</v>
      </c>
      <c r="F2564">
        <v>-0.11667925050786</v>
      </c>
      <c r="G2564">
        <v>0.06137409342587501</v>
      </c>
      <c r="H2564">
        <v>0.853045293637106</v>
      </c>
      <c r="I2564">
        <v>0.7748006989663291</v>
      </c>
    </row>
    <row r="2565" spans="1:9">
      <c r="A2565" s="1" t="s">
        <v>2577</v>
      </c>
      <c r="B2565">
        <f>HYPERLINK("https://www.suredividend.com/sure-analysis-research-database/","SharpSpring Inc")</f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1" t="s">
        <v>2578</v>
      </c>
      <c r="B2566">
        <f>HYPERLINK("https://www.suredividend.com/sure-analysis-SHW/","Sherwin-Williams Co.")</f>
        <v>0</v>
      </c>
      <c r="C2566">
        <v>0.03486373680333901</v>
      </c>
      <c r="D2566">
        <v>-0.178216531657835</v>
      </c>
      <c r="E2566">
        <v>-0.14333650277374</v>
      </c>
      <c r="F2566">
        <v>-0.280192631722756</v>
      </c>
      <c r="G2566">
        <v>-0.045146197593949</v>
      </c>
      <c r="H2566">
        <v>0.5901749947025601</v>
      </c>
      <c r="I2566">
        <v>1.57135013675231</v>
      </c>
    </row>
    <row r="2567" spans="1:9">
      <c r="A2567" s="1" t="s">
        <v>2579</v>
      </c>
      <c r="B2567">
        <f>HYPERLINK("https://www.suredividend.com/sure-analysis-research-database/","SI-BONE Inc")</f>
        <v>0</v>
      </c>
      <c r="C2567">
        <v>0.049278247884519</v>
      </c>
      <c r="D2567">
        <v>-0.06972639011473901</v>
      </c>
      <c r="E2567">
        <v>-0.077461706783369</v>
      </c>
      <c r="F2567">
        <v>-0.050877982890589</v>
      </c>
      <c r="G2567">
        <v>-0.381636843649164</v>
      </c>
      <c r="H2567">
        <v>0.6703645007923931</v>
      </c>
      <c r="I2567">
        <v>0.050847457627118</v>
      </c>
    </row>
    <row r="2568" spans="1:9">
      <c r="A2568" s="1" t="s">
        <v>2580</v>
      </c>
      <c r="B2568">
        <f>HYPERLINK("https://www.suredividend.com/sure-analysis-research-database/","Siebert Financial Corp.")</f>
        <v>0</v>
      </c>
      <c r="C2568">
        <v>0.029850746268656</v>
      </c>
      <c r="D2568">
        <v>-0.119148936170212</v>
      </c>
      <c r="E2568">
        <v>-0.351097178683385</v>
      </c>
      <c r="F2568">
        <v>-0.107758620689655</v>
      </c>
      <c r="G2568">
        <v>-0.475949367088607</v>
      </c>
      <c r="H2568">
        <v>-0.6303571428571421</v>
      </c>
      <c r="I2568">
        <v>-0.467866323907455</v>
      </c>
    </row>
    <row r="2569" spans="1:9">
      <c r="A2569" s="1" t="s">
        <v>2581</v>
      </c>
      <c r="B2569">
        <f>HYPERLINK("https://www.suredividend.com/sure-analysis-research-database/","Sientra Inc")</f>
        <v>0</v>
      </c>
      <c r="C2569">
        <v>-0.115555555555555</v>
      </c>
      <c r="D2569">
        <v>-0.343234323432343</v>
      </c>
      <c r="E2569">
        <v>-0.6477876106194691</v>
      </c>
      <c r="F2569">
        <v>-0.457765667574931</v>
      </c>
      <c r="G2569">
        <v>-0.718528995756718</v>
      </c>
      <c r="H2569">
        <v>0.163742690058479</v>
      </c>
      <c r="I2569">
        <v>-0.746496815286624</v>
      </c>
    </row>
    <row r="2570" spans="1:9">
      <c r="A2570" s="1" t="s">
        <v>2582</v>
      </c>
      <c r="B2570">
        <f>HYPERLINK("https://www.suredividend.com/sure-analysis-research-database/","SIFCO Industries Inc.")</f>
        <v>0</v>
      </c>
      <c r="C2570">
        <v>-0.177419354838709</v>
      </c>
      <c r="D2570">
        <v>-0.348512173128945</v>
      </c>
      <c r="E2570">
        <v>-0.490221903406752</v>
      </c>
      <c r="F2570">
        <v>-0.333076923076923</v>
      </c>
      <c r="G2570">
        <v>-0.7090604026845631</v>
      </c>
      <c r="H2570">
        <v>0.813807531380753</v>
      </c>
      <c r="I2570">
        <v>-0.393706293706293</v>
      </c>
    </row>
    <row r="2571" spans="1:9">
      <c r="A2571" s="1" t="s">
        <v>2583</v>
      </c>
      <c r="B2571">
        <f>HYPERLINK("https://www.suredividend.com/sure-analysis-research-database/","Signet Jewelers Ltd")</f>
        <v>0</v>
      </c>
      <c r="C2571">
        <v>-0.002187339166237</v>
      </c>
      <c r="D2571">
        <v>-0.131757846087704</v>
      </c>
      <c r="E2571">
        <v>-0.09936798976148001</v>
      </c>
      <c r="F2571">
        <v>-0.106916645553585</v>
      </c>
      <c r="G2571">
        <v>0.230737490279475</v>
      </c>
      <c r="H2571">
        <v>10.00031206559051</v>
      </c>
      <c r="I2571">
        <v>0.336350101324804</v>
      </c>
    </row>
    <row r="2572" spans="1:9">
      <c r="A2572" s="1" t="s">
        <v>2584</v>
      </c>
      <c r="B2572">
        <f>HYPERLINK("https://www.suredividend.com/sure-analysis-research-database/","SIGA Technologies Inc")</f>
        <v>0</v>
      </c>
      <c r="C2572">
        <v>-0.05103448275862001</v>
      </c>
      <c r="D2572">
        <v>-0.015736766809728</v>
      </c>
      <c r="E2572">
        <v>-0.032348804500703</v>
      </c>
      <c r="F2572">
        <v>-0.085106382978723</v>
      </c>
      <c r="G2572">
        <v>-0.052341597796143</v>
      </c>
      <c r="H2572">
        <v>0.239639639639639</v>
      </c>
      <c r="I2572">
        <v>2.35609756097561</v>
      </c>
    </row>
    <row r="2573" spans="1:9">
      <c r="A2573" s="1" t="s">
        <v>2585</v>
      </c>
      <c r="B2573">
        <f>HYPERLINK("https://www.suredividend.com/sure-analysis-research-database/","Selective Insurance Group Inc.")</f>
        <v>0</v>
      </c>
      <c r="C2573">
        <v>0.006452369779446</v>
      </c>
      <c r="D2573">
        <v>0.08882717866969901</v>
      </c>
      <c r="E2573">
        <v>0.09960817086160101</v>
      </c>
      <c r="F2573">
        <v>0.050823915032575</v>
      </c>
      <c r="G2573">
        <v>0.122206583332897</v>
      </c>
      <c r="H2573">
        <v>0.7700630529512741</v>
      </c>
      <c r="I2573">
        <v>1.022013764495144</v>
      </c>
    </row>
    <row r="2574" spans="1:9">
      <c r="A2574" s="1" t="s">
        <v>2586</v>
      </c>
      <c r="B2574">
        <f>HYPERLINK("https://www.suredividend.com/sure-analysis-research-database/","Silk Road Medical Inc")</f>
        <v>0</v>
      </c>
      <c r="C2574">
        <v>0.245634125393644</v>
      </c>
      <c r="D2574">
        <v>0.205597118315322</v>
      </c>
      <c r="E2574">
        <v>-0.249827586206896</v>
      </c>
      <c r="F2574">
        <v>0.021121802393804</v>
      </c>
      <c r="G2574">
        <v>-0.178591655654143</v>
      </c>
      <c r="H2574">
        <v>0.172460253300996</v>
      </c>
      <c r="I2574">
        <v>0.202598120508568</v>
      </c>
    </row>
    <row r="2575" spans="1:9">
      <c r="A2575" s="1" t="s">
        <v>2587</v>
      </c>
      <c r="B2575">
        <f>HYPERLINK("https://www.suredividend.com/sure-analysis-research-database/","SINTX Technologies Inc")</f>
        <v>0</v>
      </c>
      <c r="C2575">
        <v>0.450429533317854</v>
      </c>
      <c r="D2575">
        <v>0.05079899074852801</v>
      </c>
      <c r="E2575">
        <v>-0.508110236220472</v>
      </c>
      <c r="F2575">
        <v>-0.026795451004829</v>
      </c>
      <c r="G2575">
        <v>-0.6071069182389931</v>
      </c>
      <c r="H2575">
        <v>0.361002178649237</v>
      </c>
      <c r="I2575">
        <v>-0.8665170940170941</v>
      </c>
    </row>
    <row r="2576" spans="1:9">
      <c r="A2576" s="1" t="s">
        <v>2588</v>
      </c>
      <c r="B2576">
        <f>HYPERLINK("https://www.suredividend.com/sure-analysis-research-database/","Sirius XM Holdings Inc")</f>
        <v>0</v>
      </c>
      <c r="C2576">
        <v>0.040257648953301</v>
      </c>
      <c r="D2576">
        <v>0.048667251063277</v>
      </c>
      <c r="E2576">
        <v>0.08019530466189501</v>
      </c>
      <c r="F2576">
        <v>0.020585493783275</v>
      </c>
      <c r="G2576">
        <v>0.035405747623856</v>
      </c>
      <c r="H2576">
        <v>0.244509516837481</v>
      </c>
      <c r="I2576">
        <v>0.323228185170012</v>
      </c>
    </row>
    <row r="2577" spans="1:9">
      <c r="A2577" s="1" t="s">
        <v>2589</v>
      </c>
      <c r="B2577">
        <f>HYPERLINK("https://www.suredividend.com/sure-analysis-research-database/","SITE Centers Corp")</f>
        <v>0</v>
      </c>
      <c r="C2577">
        <v>0.026266416510319</v>
      </c>
      <c r="D2577">
        <v>0.03334277887975801</v>
      </c>
      <c r="E2577">
        <v>-0.003564337197228</v>
      </c>
      <c r="F2577">
        <v>0.04509645329546001</v>
      </c>
      <c r="G2577">
        <v>0.203123281645221</v>
      </c>
      <c r="H2577">
        <v>2.169422126081582</v>
      </c>
      <c r="I2577">
        <v>-0.10824910335833</v>
      </c>
    </row>
    <row r="2578" spans="1:9">
      <c r="A2578" s="1" t="s">
        <v>2590</v>
      </c>
      <c r="B2578">
        <f>HYPERLINK("https://www.suredividend.com/sure-analysis-research-database/","SiteOne Landscape Supply Inc")</f>
        <v>0</v>
      </c>
      <c r="C2578">
        <v>-0.168128572236998</v>
      </c>
      <c r="D2578">
        <v>-0.281349303348814</v>
      </c>
      <c r="E2578">
        <v>-0.290814357390968</v>
      </c>
      <c r="F2578">
        <v>-0.393263992075284</v>
      </c>
      <c r="G2578">
        <v>-0.193725318121983</v>
      </c>
      <c r="H2578">
        <v>1.062578925213975</v>
      </c>
      <c r="I2578">
        <v>2.179065743944636</v>
      </c>
    </row>
    <row r="2579" spans="1:9">
      <c r="A2579" s="1" t="s">
        <v>2591</v>
      </c>
      <c r="B2579">
        <f>HYPERLINK("https://www.suredividend.com/sure-analysis-research-database/","SVB Financial Group")</f>
        <v>0</v>
      </c>
      <c r="C2579">
        <v>-0.08933189655172401</v>
      </c>
      <c r="D2579">
        <v>-0.280163541119518</v>
      </c>
      <c r="E2579">
        <v>-0.26548172613098</v>
      </c>
      <c r="F2579">
        <v>-0.252388535031847</v>
      </c>
      <c r="G2579">
        <v>-0.022892819979188</v>
      </c>
      <c r="H2579">
        <v>2.142414476945959</v>
      </c>
      <c r="I2579">
        <v>1.875794010889292</v>
      </c>
    </row>
    <row r="2580" spans="1:9">
      <c r="A2580" s="1" t="s">
        <v>2592</v>
      </c>
      <c r="B2580">
        <f>HYPERLINK("https://www.suredividend.com/sure-analysis-research-database/","Six Flags Entertainment Corp")</f>
        <v>0</v>
      </c>
      <c r="C2580">
        <v>-0.031374385389838</v>
      </c>
      <c r="D2580">
        <v>0.016961651917404</v>
      </c>
      <c r="E2580">
        <v>-0.053318077803203</v>
      </c>
      <c r="F2580">
        <v>-0.028417097228745</v>
      </c>
      <c r="G2580">
        <v>-0.134518828451882</v>
      </c>
      <c r="H2580">
        <v>1.778374748153122</v>
      </c>
      <c r="I2580">
        <v>-0.193538954583201</v>
      </c>
    </row>
    <row r="2581" spans="1:9">
      <c r="A2581" s="1" t="s">
        <v>2593</v>
      </c>
      <c r="B2581">
        <f>HYPERLINK("https://www.suredividend.com/sure-analysis-SJI/","South Jersey Industries Inc.")</f>
        <v>0</v>
      </c>
      <c r="C2581">
        <v>-0.0005783689994210001</v>
      </c>
      <c r="D2581">
        <v>0.339706241496005</v>
      </c>
      <c r="E2581">
        <v>0.6013789652200501</v>
      </c>
      <c r="F2581">
        <v>0.335089759289806</v>
      </c>
      <c r="G2581">
        <v>0.4662769040174121</v>
      </c>
      <c r="H2581">
        <v>0.491004788817464</v>
      </c>
      <c r="I2581">
        <v>0.128276114237956</v>
      </c>
    </row>
    <row r="2582" spans="1:9">
      <c r="A2582" s="1" t="s">
        <v>2594</v>
      </c>
      <c r="B2582">
        <f>HYPERLINK("https://www.suredividend.com/sure-analysis-SJM/","J.M. Smucker Co.")</f>
        <v>0</v>
      </c>
      <c r="C2582">
        <v>0.08002164836864001</v>
      </c>
      <c r="D2582">
        <v>-0.0305876017366</v>
      </c>
      <c r="E2582">
        <v>0.161549220118109</v>
      </c>
      <c r="F2582">
        <v>0.03600466643379</v>
      </c>
      <c r="G2582">
        <v>0.092011485312293</v>
      </c>
      <c r="H2582">
        <v>0.224474411298579</v>
      </c>
      <c r="I2582">
        <v>0.271000996310466</v>
      </c>
    </row>
    <row r="2583" spans="1:9">
      <c r="A2583" s="1" t="s">
        <v>2595</v>
      </c>
      <c r="B2583">
        <f>HYPERLINK("https://www.suredividend.com/sure-analysis-SJW/","SJW Group")</f>
        <v>0</v>
      </c>
      <c r="C2583">
        <v>-0.041879315520864</v>
      </c>
      <c r="D2583">
        <v>-0.05880305936928101</v>
      </c>
      <c r="E2583">
        <v>-0.050619261586148</v>
      </c>
      <c r="F2583">
        <v>-0.123349155075043</v>
      </c>
      <c r="G2583">
        <v>-0.039558223867346</v>
      </c>
      <c r="H2583">
        <v>0.125632429782438</v>
      </c>
      <c r="I2583">
        <v>0.44472560851399</v>
      </c>
    </row>
    <row r="2584" spans="1:9">
      <c r="A2584" s="1" t="s">
        <v>2596</v>
      </c>
      <c r="B2584">
        <f>HYPERLINK("https://www.suredividend.com/sure-analysis-SKT/","Tanger Factory Outlet Centers, Inc.")</f>
        <v>0</v>
      </c>
      <c r="C2584">
        <v>0.033807829181494</v>
      </c>
      <c r="D2584">
        <v>-0.093306699542751</v>
      </c>
      <c r="E2584">
        <v>0.061200136379133</v>
      </c>
      <c r="F2584">
        <v>-0.08578322100128501</v>
      </c>
      <c r="G2584">
        <v>0.07283325229123401</v>
      </c>
      <c r="H2584">
        <v>2.526626740045322</v>
      </c>
      <c r="I2584">
        <v>-0.278464034971519</v>
      </c>
    </row>
    <row r="2585" spans="1:9">
      <c r="A2585" s="1" t="s">
        <v>2597</v>
      </c>
      <c r="B2585">
        <f>HYPERLINK("https://www.suredividend.com/sure-analysis-research-database/","Skechers U S A, Inc.")</f>
        <v>0</v>
      </c>
      <c r="C2585">
        <v>0.018437900128041</v>
      </c>
      <c r="D2585">
        <v>-0.08847123538849401</v>
      </c>
      <c r="E2585">
        <v>-0.108495852947769</v>
      </c>
      <c r="F2585">
        <v>-0.08364055299539101</v>
      </c>
      <c r="G2585">
        <v>-0.112672913877733</v>
      </c>
      <c r="H2585">
        <v>0.606868686868687</v>
      </c>
      <c r="I2585">
        <v>0.5927112535042051</v>
      </c>
    </row>
    <row r="2586" spans="1:9">
      <c r="A2586" s="1" t="s">
        <v>2598</v>
      </c>
      <c r="B2586">
        <f>HYPERLINK("https://www.suredividend.com/sure-analysis-research-database/","Skyline Champion Corp")</f>
        <v>0</v>
      </c>
      <c r="C2586">
        <v>-0.250401284109149</v>
      </c>
      <c r="D2586">
        <v>-0.24721570926143</v>
      </c>
      <c r="E2586">
        <v>-0.160620915032679</v>
      </c>
      <c r="F2586">
        <v>-0.349582172701949</v>
      </c>
      <c r="G2586">
        <v>0.09788416328275201</v>
      </c>
      <c r="H2586">
        <v>2.241009463722397</v>
      </c>
      <c r="I2586">
        <v>5.201185431982521</v>
      </c>
    </row>
    <row r="2587" spans="1:9">
      <c r="A2587" s="1" t="s">
        <v>2599</v>
      </c>
      <c r="B2587">
        <f>HYPERLINK("https://www.suredividend.com/sure-analysis-research-database/","Skywest Inc.")</f>
        <v>0</v>
      </c>
      <c r="C2587">
        <v>0.06151079136690601</v>
      </c>
      <c r="D2587">
        <v>-0.291136199855873</v>
      </c>
      <c r="E2587">
        <v>-0.40287333063537</v>
      </c>
      <c r="F2587">
        <v>-0.249109414758269</v>
      </c>
      <c r="G2587">
        <v>-0.432827215068229</v>
      </c>
      <c r="H2587">
        <v>0.170103092783505</v>
      </c>
      <c r="I2587">
        <v>-0.08294799124900501</v>
      </c>
    </row>
    <row r="2588" spans="1:9">
      <c r="A2588" s="1" t="s">
        <v>2600</v>
      </c>
      <c r="B2588">
        <f>HYPERLINK("https://www.suredividend.com/sure-analysis-research-database/","Silicon Laboratories Inc")</f>
        <v>0</v>
      </c>
      <c r="C2588">
        <v>-0.09602942178029</v>
      </c>
      <c r="D2588">
        <v>-0.291388607121883</v>
      </c>
      <c r="E2588">
        <v>-0.095166678028495</v>
      </c>
      <c r="F2588">
        <v>-0.356990601685883</v>
      </c>
      <c r="G2588">
        <v>-0.111341724692019</v>
      </c>
      <c r="H2588">
        <v>0.4890060578864701</v>
      </c>
      <c r="I2588">
        <v>0.920839363241678</v>
      </c>
    </row>
    <row r="2589" spans="1:9">
      <c r="A2589" s="1" t="s">
        <v>2601</v>
      </c>
      <c r="B2589">
        <f>HYPERLINK("https://www.suredividend.com/sure-analysis-SLB/","Schlumberger Ltd.")</f>
        <v>0</v>
      </c>
      <c r="C2589">
        <v>0.141763463569165</v>
      </c>
      <c r="D2589">
        <v>0.147440081076922</v>
      </c>
      <c r="E2589">
        <v>0.281420732646748</v>
      </c>
      <c r="F2589">
        <v>0.448571524265666</v>
      </c>
      <c r="G2589">
        <v>0.66458193014529</v>
      </c>
      <c r="H2589">
        <v>2.191787696304168</v>
      </c>
      <c r="I2589">
        <v>-0.368960440750127</v>
      </c>
    </row>
    <row r="2590" spans="1:9">
      <c r="A2590" s="1" t="s">
        <v>2602</v>
      </c>
      <c r="B2590">
        <f>HYPERLINK("https://www.suredividend.com/sure-analysis-research-database/","U.S. Silica Holdings Inc")</f>
        <v>0</v>
      </c>
      <c r="C2590">
        <v>0.340551181102362</v>
      </c>
      <c r="D2590">
        <v>0.7039199332777311</v>
      </c>
      <c r="E2590">
        <v>1.078331637843336</v>
      </c>
      <c r="F2590">
        <v>1.173404255319148</v>
      </c>
      <c r="G2590">
        <v>0.7081939799331101</v>
      </c>
      <c r="H2590">
        <v>15.21428571428572</v>
      </c>
      <c r="I2590">
        <v>-0.527530648066992</v>
      </c>
    </row>
    <row r="2591" spans="1:9">
      <c r="A2591" s="1" t="s">
        <v>2603</v>
      </c>
      <c r="B2591">
        <f>HYPERLINK("https://www.suredividend.com/sure-analysis-research-database/","Select Bancorp Inc")</f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1" t="s">
        <v>2604</v>
      </c>
      <c r="B2592">
        <f>HYPERLINK("https://www.suredividend.com/sure-analysis-research-database/","Solid Biosciences Inc")</f>
        <v>0</v>
      </c>
      <c r="C2592">
        <v>-0.124999999999999</v>
      </c>
      <c r="D2592">
        <v>-0.249999999999999</v>
      </c>
      <c r="E2592">
        <v>-0.533333333333333</v>
      </c>
      <c r="F2592">
        <v>-0.4</v>
      </c>
      <c r="G2592">
        <v>-0.7916666666666661</v>
      </c>
      <c r="H2592">
        <v>-0.5606694560669451</v>
      </c>
      <c r="I2592">
        <v>-0.953580901856764</v>
      </c>
    </row>
    <row r="2593" spans="1:9">
      <c r="A2593" s="1" t="s">
        <v>2605</v>
      </c>
      <c r="B2593">
        <f>HYPERLINK("https://www.suredividend.com/sure-analysis-SLG/","SL Green Realty Corp.")</f>
        <v>0</v>
      </c>
      <c r="C2593">
        <v>-0.07477794918397701</v>
      </c>
      <c r="D2593">
        <v>-0.09864271731539501</v>
      </c>
      <c r="E2593">
        <v>0.022688550075883</v>
      </c>
      <c r="F2593">
        <v>0.023676193398501</v>
      </c>
      <c r="G2593">
        <v>0.101952341630293</v>
      </c>
      <c r="H2593">
        <v>0.683111898900673</v>
      </c>
      <c r="I2593">
        <v>-0.144480162655236</v>
      </c>
    </row>
    <row r="2594" spans="1:9">
      <c r="A2594" s="1" t="s">
        <v>2606</v>
      </c>
      <c r="B2594">
        <f>HYPERLINK("https://www.suredividend.com/sure-analysis-SLGN/","Silgan Holdings Inc.")</f>
        <v>0</v>
      </c>
      <c r="C2594">
        <v>0.013380909901873</v>
      </c>
      <c r="D2594">
        <v>0.06104759769857201</v>
      </c>
      <c r="E2594">
        <v>0.126671162772245</v>
      </c>
      <c r="F2594">
        <v>0.064515146616814</v>
      </c>
      <c r="G2594">
        <v>0.05757056676845101</v>
      </c>
      <c r="H2594">
        <v>0.397680784965088</v>
      </c>
      <c r="I2594">
        <v>-0.159346717678139</v>
      </c>
    </row>
    <row r="2595" spans="1:9">
      <c r="A2595" s="1" t="s">
        <v>2607</v>
      </c>
      <c r="B2595">
        <f>HYPERLINK("https://www.suredividend.com/sure-analysis-research-database/","SLM Corp.")</f>
        <v>0</v>
      </c>
      <c r="C2595">
        <v>-0.07991242474001101</v>
      </c>
      <c r="D2595">
        <v>-0.186437068656774</v>
      </c>
      <c r="E2595">
        <v>-0.023525994772001</v>
      </c>
      <c r="F2595">
        <v>-0.1405271365391</v>
      </c>
      <c r="G2595">
        <v>-0.114508159588701</v>
      </c>
      <c r="H2595">
        <v>1.637276435519297</v>
      </c>
      <c r="I2595">
        <v>0.518381356697678</v>
      </c>
    </row>
    <row r="2596" spans="1:9">
      <c r="A2596" s="1" t="s">
        <v>2608</v>
      </c>
      <c r="B2596">
        <f>HYPERLINK("https://www.suredividend.com/sure-analysis-research-database/","Stabilis Solutions Inc")</f>
        <v>0</v>
      </c>
      <c r="C2596">
        <v>0.103671706263499</v>
      </c>
      <c r="D2596">
        <v>0.255559104646305</v>
      </c>
      <c r="E2596">
        <v>-0.269999999999999</v>
      </c>
      <c r="F2596">
        <v>0.208037825059101</v>
      </c>
      <c r="G2596">
        <v>-0.179775280898876</v>
      </c>
      <c r="H2596">
        <v>-0.179775280898876</v>
      </c>
      <c r="I2596">
        <v>2.005882352941177</v>
      </c>
    </row>
    <row r="2597" spans="1:9">
      <c r="A2597" s="1" t="s">
        <v>2609</v>
      </c>
      <c r="B2597">
        <f>HYPERLINK("https://www.suredividend.com/sure-analysis-research-database/","Soleno Therapeutics Inc")</f>
        <v>0</v>
      </c>
      <c r="C2597">
        <v>-0.236759031918625</v>
      </c>
      <c r="D2597">
        <v>-0.4819047619047621</v>
      </c>
      <c r="E2597">
        <v>-0.7382413087934561</v>
      </c>
      <c r="F2597">
        <v>-0.469268292682926</v>
      </c>
      <c r="G2597">
        <v>-0.8107826086956521</v>
      </c>
      <c r="H2597">
        <v>-0.92957928802589</v>
      </c>
      <c r="I2597">
        <v>-0.649032258064516</v>
      </c>
    </row>
    <row r="2598" spans="1:9">
      <c r="A2598" s="1" t="s">
        <v>2610</v>
      </c>
      <c r="B2598">
        <f>HYPERLINK("https://www.suredividend.com/sure-analysis-research-database/","Simulations Plus Inc.")</f>
        <v>0</v>
      </c>
      <c r="C2598">
        <v>0.196944770857814</v>
      </c>
      <c r="D2598">
        <v>0.07613217852849001</v>
      </c>
      <c r="E2598">
        <v>0.282048054775899</v>
      </c>
      <c r="F2598">
        <v>0.078406254036347</v>
      </c>
      <c r="G2598">
        <v>-0.1861370032008</v>
      </c>
      <c r="H2598">
        <v>0.334860485718329</v>
      </c>
      <c r="I2598">
        <v>3.775881470367592</v>
      </c>
    </row>
    <row r="2599" spans="1:9">
      <c r="A2599" s="1" t="s">
        <v>2611</v>
      </c>
      <c r="B2599">
        <f>HYPERLINK("https://www.suredividend.com/sure-analysis-research-database/","Salarius Pharmaceuticals Inc")</f>
        <v>0</v>
      </c>
      <c r="C2599">
        <v>0.000280112044817</v>
      </c>
      <c r="D2599">
        <v>-0.240212765957446</v>
      </c>
      <c r="E2599">
        <v>-0.605457960446359</v>
      </c>
      <c r="F2599">
        <v>-0.279459241323648</v>
      </c>
      <c r="G2599">
        <v>-0.6894782608695651</v>
      </c>
      <c r="H2599">
        <v>-0.443422693266832</v>
      </c>
      <c r="I2599">
        <v>-0.8991242937853101</v>
      </c>
    </row>
    <row r="2600" spans="1:9">
      <c r="A2600" s="1" t="s">
        <v>2612</v>
      </c>
      <c r="B2600">
        <f>HYPERLINK("https://www.suredividend.com/sure-analysis-research-database/","SELLAS Life Sciences Group Inc")</f>
        <v>0</v>
      </c>
      <c r="C2600">
        <v>-0.403389830508474</v>
      </c>
      <c r="D2600">
        <v>-0.363471971066907</v>
      </c>
      <c r="E2600">
        <v>-0.601359003397508</v>
      </c>
      <c r="F2600">
        <v>-0.363471971066907</v>
      </c>
      <c r="G2600">
        <v>-0.53315649867374</v>
      </c>
      <c r="H2600">
        <v>1.133333333333333</v>
      </c>
      <c r="I2600">
        <v>5.17435537624978</v>
      </c>
    </row>
    <row r="2601" spans="1:9">
      <c r="A2601" s="1" t="s">
        <v>2613</v>
      </c>
      <c r="B2601">
        <f>HYPERLINK("https://www.suredividend.com/sure-analysis-research-database/","SM Energy Co")</f>
        <v>0</v>
      </c>
      <c r="C2601">
        <v>0.152773905770839</v>
      </c>
      <c r="D2601">
        <v>0.128548034934497</v>
      </c>
      <c r="E2601">
        <v>0.421929697870028</v>
      </c>
      <c r="F2601">
        <v>0.402645861601085</v>
      </c>
      <c r="G2601">
        <v>1.564404698411123</v>
      </c>
      <c r="H2601">
        <v>26.04558833148015</v>
      </c>
      <c r="I2601">
        <v>0.8731002867406241</v>
      </c>
    </row>
    <row r="2602" spans="1:9">
      <c r="A2602" s="1" t="s">
        <v>2614</v>
      </c>
      <c r="B2602">
        <f>HYPERLINK("https://www.suredividend.com/sure-analysis-research-database/","Smartsheet Inc")</f>
        <v>0</v>
      </c>
      <c r="C2602">
        <v>0.170174652933273</v>
      </c>
      <c r="D2602">
        <v>-0.166507177033492</v>
      </c>
      <c r="E2602">
        <v>-0.250752688172043</v>
      </c>
      <c r="F2602">
        <v>-0.325242091672046</v>
      </c>
      <c r="G2602">
        <v>-0.198466257668711</v>
      </c>
      <c r="H2602">
        <v>0.04603682946357</v>
      </c>
      <c r="I2602">
        <v>1.679999999999999</v>
      </c>
    </row>
    <row r="2603" spans="1:9">
      <c r="A2603" s="1" t="s">
        <v>2615</v>
      </c>
      <c r="B2603">
        <f>HYPERLINK("https://www.suredividend.com/sure-analysis-research-database/","Southern Missouri Bancorp, Inc.")</f>
        <v>0</v>
      </c>
      <c r="C2603">
        <v>-0.10545881432205</v>
      </c>
      <c r="D2603">
        <v>-0.175382684118541</v>
      </c>
      <c r="E2603">
        <v>-0.030441836053058</v>
      </c>
      <c r="F2603">
        <v>-0.120376783488017</v>
      </c>
      <c r="G2603">
        <v>0.162843931694364</v>
      </c>
      <c r="H2603">
        <v>1.372476778579212</v>
      </c>
      <c r="I2603">
        <v>0.443897386015165</v>
      </c>
    </row>
    <row r="2604" spans="1:9">
      <c r="A2604" s="1" t="s">
        <v>2616</v>
      </c>
      <c r="B2604">
        <f>HYPERLINK("https://www.suredividend.com/sure-analysis-research-database/","SmartFinancial Inc")</f>
        <v>0</v>
      </c>
      <c r="C2604">
        <v>-0.04107485604606501</v>
      </c>
      <c r="D2604">
        <v>-0.100979637080811</v>
      </c>
      <c r="E2604">
        <v>-0.029280898439776</v>
      </c>
      <c r="F2604">
        <v>-0.084552464159019</v>
      </c>
      <c r="G2604">
        <v>0.125270844313508</v>
      </c>
      <c r="H2604">
        <v>1.043788453986124</v>
      </c>
      <c r="I2604">
        <v>0.223586116363137</v>
      </c>
    </row>
    <row r="2605" spans="1:9">
      <c r="A2605" s="1" t="s">
        <v>2617</v>
      </c>
      <c r="B2605">
        <f>HYPERLINK("https://www.suredividend.com/sure-analysis-research-database/","Sharps Compliance Corp.")</f>
        <v>0</v>
      </c>
      <c r="C2605">
        <v>-0.137499999999999</v>
      </c>
      <c r="D2605">
        <v>-0.278026905829596</v>
      </c>
      <c r="E2605">
        <v>-0.39321608040201</v>
      </c>
      <c r="F2605">
        <v>-0.32258064516129</v>
      </c>
      <c r="G2605">
        <v>-0.6398210290827741</v>
      </c>
      <c r="H2605">
        <v>-0.375968992248062</v>
      </c>
      <c r="I2605">
        <v>0.05921052631578901</v>
      </c>
    </row>
    <row r="2606" spans="1:9">
      <c r="A2606" s="1" t="s">
        <v>2618</v>
      </c>
      <c r="B2606">
        <f>HYPERLINK("https://www.suredividend.com/sure-analysis-SMG/","Scotts Miracle-Gro Company")</f>
        <v>0</v>
      </c>
      <c r="C2606">
        <v>-0.07450183001220001</v>
      </c>
      <c r="D2606">
        <v>-0.300973378751532</v>
      </c>
      <c r="E2606">
        <v>-0.229162700931521</v>
      </c>
      <c r="F2606">
        <v>-0.289728306564723</v>
      </c>
      <c r="G2606">
        <v>-0.5166067398928791</v>
      </c>
      <c r="H2606">
        <v>0.001442450282109</v>
      </c>
      <c r="I2606">
        <v>0.32381683652101</v>
      </c>
    </row>
    <row r="2607" spans="1:9">
      <c r="A2607" s="1" t="s">
        <v>2619</v>
      </c>
      <c r="B2607">
        <f>HYPERLINK("https://www.suredividend.com/sure-analysis-research-database/","SEACOR Marine Holdings Inc")</f>
        <v>0</v>
      </c>
      <c r="C2607">
        <v>0.508</v>
      </c>
      <c r="D2607">
        <v>0.8345498783454981</v>
      </c>
      <c r="E2607">
        <v>0.401486988847583</v>
      </c>
      <c r="F2607">
        <v>1.217647058823529</v>
      </c>
      <c r="G2607">
        <v>0.4871794871794871</v>
      </c>
      <c r="H2607">
        <v>1.488448844884488</v>
      </c>
      <c r="I2607">
        <v>8376.777777777777</v>
      </c>
    </row>
    <row r="2608" spans="1:9">
      <c r="A2608" s="1" t="s">
        <v>2620</v>
      </c>
      <c r="B2608">
        <f>HYPERLINK("https://www.suredividend.com/sure-analysis-research-database/","Schmitt Industries Inc")</f>
        <v>0</v>
      </c>
      <c r="C2608">
        <v>0.143661971830985</v>
      </c>
      <c r="D2608">
        <v>-0.053980582524271</v>
      </c>
      <c r="E2608">
        <v>0.278740157480315</v>
      </c>
      <c r="F2608">
        <v>-0.112568306010929</v>
      </c>
      <c r="G2608">
        <v>-0.237558685446009</v>
      </c>
      <c r="H2608">
        <v>0.74</v>
      </c>
      <c r="I2608">
        <v>1.903456495828367</v>
      </c>
    </row>
    <row r="2609" spans="1:9">
      <c r="A2609" s="1" t="s">
        <v>2621</v>
      </c>
      <c r="B2609">
        <f>HYPERLINK("https://www.suredividend.com/sure-analysis-research-database/","Summit Financial Group Inc")</f>
        <v>0</v>
      </c>
      <c r="C2609">
        <v>-0.041829554339327</v>
      </c>
      <c r="D2609">
        <v>-0.106540734233232</v>
      </c>
      <c r="E2609">
        <v>-0.017611645971446</v>
      </c>
      <c r="F2609">
        <v>-0.100682468628458</v>
      </c>
      <c r="G2609">
        <v>-0.026434430299298</v>
      </c>
      <c r="H2609">
        <v>0.721389191277171</v>
      </c>
      <c r="I2609">
        <v>0.299637840618057</v>
      </c>
    </row>
    <row r="2610" spans="1:9">
      <c r="A2610" s="1" t="s">
        <v>2622</v>
      </c>
      <c r="B2610">
        <f>HYPERLINK("https://www.suredividend.com/sure-analysis-research-database/","Standard Motor Products, Inc.")</f>
        <v>0</v>
      </c>
      <c r="C2610">
        <v>-0.082498911623857</v>
      </c>
      <c r="D2610">
        <v>-0.185077345150195</v>
      </c>
      <c r="E2610">
        <v>-0.107258213118538</v>
      </c>
      <c r="F2610">
        <v>-0.19083289499449</v>
      </c>
      <c r="G2610">
        <v>-0.002961547195518</v>
      </c>
      <c r="H2610">
        <v>0.09844289530262501</v>
      </c>
      <c r="I2610">
        <v>-0.026601604086656</v>
      </c>
    </row>
    <row r="2611" spans="1:9">
      <c r="A2611" s="1" t="s">
        <v>2623</v>
      </c>
      <c r="B2611">
        <f>HYPERLINK("https://www.suredividend.com/sure-analysis-research-database/","Simply Good Foods Co")</f>
        <v>0</v>
      </c>
      <c r="C2611">
        <v>0.208171206225681</v>
      </c>
      <c r="D2611">
        <v>0.110344827586206</v>
      </c>
      <c r="E2611">
        <v>0.241645244215938</v>
      </c>
      <c r="F2611">
        <v>0.045706038008178</v>
      </c>
      <c r="G2611">
        <v>0.300718132854578</v>
      </c>
      <c r="H2611">
        <v>1.314696485623002</v>
      </c>
      <c r="I2611">
        <v>1.680024660912454</v>
      </c>
    </row>
    <row r="2612" spans="1:9">
      <c r="A2612" s="1" t="s">
        <v>2624</v>
      </c>
      <c r="B2612">
        <f>HYPERLINK("https://www.suredividend.com/sure-analysis-research-database/","SmartRent Inc")</f>
        <v>0</v>
      </c>
      <c r="C2612">
        <v>-0.202511773940345</v>
      </c>
      <c r="D2612">
        <v>-0.356147021546261</v>
      </c>
      <c r="E2612">
        <v>-0.5822368421052631</v>
      </c>
      <c r="F2612">
        <v>-0.475206611570247</v>
      </c>
      <c r="G2612">
        <v>-0.5063168124392611</v>
      </c>
      <c r="H2612">
        <v>-0.542342342342342</v>
      </c>
      <c r="I2612">
        <v>-0.542342342342342</v>
      </c>
    </row>
    <row r="2613" spans="1:9">
      <c r="A2613" s="1" t="s">
        <v>2625</v>
      </c>
      <c r="B2613">
        <f>HYPERLINK("https://www.suredividend.com/sure-analysis-research-database/","Smith Micro Software, Inc.")</f>
        <v>0</v>
      </c>
      <c r="C2613">
        <v>0.205298013245033</v>
      </c>
      <c r="D2613">
        <v>-0.147540983606557</v>
      </c>
      <c r="E2613">
        <v>-0.348837209302325</v>
      </c>
      <c r="F2613">
        <v>-0.260162601626016</v>
      </c>
      <c r="G2613">
        <v>-0.365853658536585</v>
      </c>
      <c r="H2613">
        <v>-0.272</v>
      </c>
      <c r="I2613">
        <v>3.08483896307934</v>
      </c>
    </row>
    <row r="2614" spans="1:9">
      <c r="A2614" s="1" t="s">
        <v>2626</v>
      </c>
      <c r="B2614">
        <f>HYPERLINK("https://www.suredividend.com/sure-analysis-research-database/","Semtech Corp.")</f>
        <v>0</v>
      </c>
      <c r="C2614">
        <v>-0.072457245724572</v>
      </c>
      <c r="D2614">
        <v>-0.230587356893977</v>
      </c>
      <c r="E2614">
        <v>-0.197638203996885</v>
      </c>
      <c r="F2614">
        <v>-0.30473406049702</v>
      </c>
      <c r="G2614">
        <v>-0.122480840193017</v>
      </c>
      <c r="H2614">
        <v>0.434903689951264</v>
      </c>
      <c r="I2614">
        <v>0.956645569620252</v>
      </c>
    </row>
    <row r="2615" spans="1:9">
      <c r="A2615" s="1" t="s">
        <v>2627</v>
      </c>
      <c r="B2615">
        <f>HYPERLINK("https://www.suredividend.com/sure-analysis-SNA/","Snap-on, Inc.")</f>
        <v>0</v>
      </c>
      <c r="C2615">
        <v>0.02395499951508</v>
      </c>
      <c r="D2615">
        <v>-0.040748648525871</v>
      </c>
      <c r="E2615">
        <v>-0.030217746335531</v>
      </c>
      <c r="F2615">
        <v>-0.019593276998792</v>
      </c>
      <c r="G2615">
        <v>-0.087972081130575</v>
      </c>
      <c r="H2615">
        <v>0.9955431986527531</v>
      </c>
      <c r="I2615">
        <v>0.4647004147996061</v>
      </c>
    </row>
    <row r="2616" spans="1:9">
      <c r="A2616" s="1" t="s">
        <v>2628</v>
      </c>
      <c r="B2616">
        <f>HYPERLINK("https://www.suredividend.com/sure-analysis-research-database/","Snap Inc")</f>
        <v>0</v>
      </c>
      <c r="C2616">
        <v>0.019348894348894</v>
      </c>
      <c r="D2616">
        <v>-0.127497371188223</v>
      </c>
      <c r="E2616">
        <v>-0.570855960693043</v>
      </c>
      <c r="F2616">
        <v>-0.294280246651073</v>
      </c>
      <c r="G2616">
        <v>-0.458122448979591</v>
      </c>
      <c r="H2616">
        <v>1.549155145929339</v>
      </c>
      <c r="I2616">
        <v>0.643883110450717</v>
      </c>
    </row>
    <row r="2617" spans="1:9">
      <c r="A2617" s="1" t="s">
        <v>2629</v>
      </c>
      <c r="B2617">
        <f>HYPERLINK("https://www.suredividend.com/sure-analysis-research-database/","Sleep Number Corp")</f>
        <v>0</v>
      </c>
      <c r="C2617">
        <v>-0.222866092404072</v>
      </c>
      <c r="D2617">
        <v>-0.316057891109579</v>
      </c>
      <c r="E2617">
        <v>-0.427020785219399</v>
      </c>
      <c r="F2617">
        <v>-0.352219321148825</v>
      </c>
      <c r="G2617">
        <v>-0.591840092127992</v>
      </c>
      <c r="H2617">
        <v>1.237150586113615</v>
      </c>
      <c r="I2617">
        <v>1.019536019536019</v>
      </c>
    </row>
    <row r="2618" spans="1:9">
      <c r="A2618" s="1" t="s">
        <v>2630</v>
      </c>
      <c r="B2618">
        <f>HYPERLINK("https://www.suredividend.com/sure-analysis-research-database/","Synchronoss Technologies Inc")</f>
        <v>0</v>
      </c>
      <c r="C2618">
        <v>-0.072727272727272</v>
      </c>
      <c r="D2618">
        <v>-0.316964285714285</v>
      </c>
      <c r="E2618">
        <v>-0.325991189427312</v>
      </c>
      <c r="F2618">
        <v>-0.372950819672131</v>
      </c>
      <c r="G2618">
        <v>-0.515822784810126</v>
      </c>
      <c r="H2618">
        <v>-0.509615384615384</v>
      </c>
      <c r="I2618">
        <v>-0.9351420093259851</v>
      </c>
    </row>
    <row r="2619" spans="1:9">
      <c r="A2619" s="1" t="s">
        <v>2631</v>
      </c>
      <c r="B2619">
        <f>HYPERLINK("https://www.suredividend.com/sure-analysis-research-database/","Smart Sand Inc")</f>
        <v>0</v>
      </c>
      <c r="C2619">
        <v>0.56655290102389</v>
      </c>
      <c r="D2619">
        <v>1.206730769230769</v>
      </c>
      <c r="E2619">
        <v>0.7894736842105261</v>
      </c>
      <c r="F2619">
        <v>1.578651685393258</v>
      </c>
      <c r="G2619">
        <v>0.8433734939759031</v>
      </c>
      <c r="H2619">
        <v>5.573106114850351</v>
      </c>
      <c r="I2619">
        <v>-0.676304654442877</v>
      </c>
    </row>
    <row r="2620" spans="1:9">
      <c r="A2620" s="1" t="s">
        <v>2632</v>
      </c>
      <c r="B2620">
        <f>HYPERLINK("https://www.suredividend.com/sure-analysis-research-database/","Schneider National Inc")</f>
        <v>0</v>
      </c>
      <c r="C2620">
        <v>-0.179195140470766</v>
      </c>
      <c r="D2620">
        <v>-0.183756682473043</v>
      </c>
      <c r="E2620">
        <v>-0.08352161693577401</v>
      </c>
      <c r="F2620">
        <v>-0.194071467446004</v>
      </c>
      <c r="G2620">
        <v>-0.143952232376185</v>
      </c>
      <c r="H2620">
        <v>0.152802290674672</v>
      </c>
      <c r="I2620">
        <v>0.312936861218565</v>
      </c>
    </row>
    <row r="2621" spans="1:9">
      <c r="A2621" s="1" t="s">
        <v>2633</v>
      </c>
      <c r="B2621">
        <f>HYPERLINK("https://www.suredividend.com/sure-analysis-research-database/","Syndax Pharmaceuticals Inc")</f>
        <v>0</v>
      </c>
      <c r="C2621">
        <v>0.062683069712946</v>
      </c>
      <c r="D2621">
        <v>0.002763957987838</v>
      </c>
      <c r="E2621">
        <v>-0.024206562668101</v>
      </c>
      <c r="F2621">
        <v>-0.171311100959342</v>
      </c>
      <c r="G2621">
        <v>-0.111219990200881</v>
      </c>
      <c r="H2621">
        <v>0.681186283595922</v>
      </c>
      <c r="I2621">
        <v>0.655109489051094</v>
      </c>
    </row>
    <row r="2622" spans="1:9">
      <c r="A2622" s="1" t="s">
        <v>2634</v>
      </c>
      <c r="B2622">
        <f>HYPERLINK("https://www.suredividend.com/sure-analysis-research-database/","Security National Financial Corp.")</f>
        <v>0</v>
      </c>
      <c r="C2622">
        <v>0.02760736196319</v>
      </c>
      <c r="D2622">
        <v>0.06914893617021201</v>
      </c>
      <c r="E2622">
        <v>0.225609756097561</v>
      </c>
      <c r="F2622">
        <v>0.09239130434782601</v>
      </c>
      <c r="G2622">
        <v>0.164542294322131</v>
      </c>
      <c r="H2622">
        <v>1.068539672738499</v>
      </c>
      <c r="I2622">
        <v>0.7536818594262581</v>
      </c>
    </row>
    <row r="2623" spans="1:9">
      <c r="A2623" s="1" t="s">
        <v>2635</v>
      </c>
      <c r="B2623">
        <f>HYPERLINK("https://www.suredividend.com/sure-analysis-research-database/","Sonoma Pharmaceuticals Inc.")</f>
        <v>0</v>
      </c>
      <c r="C2623">
        <v>0.07770270270270201</v>
      </c>
      <c r="D2623">
        <v>-0.306521739130434</v>
      </c>
      <c r="E2623">
        <v>-0.491228070175438</v>
      </c>
      <c r="F2623">
        <v>-0.300438596491228</v>
      </c>
      <c r="G2623">
        <v>-0.635428571428571</v>
      </c>
      <c r="H2623">
        <v>-0.35030549898167</v>
      </c>
      <c r="I2623">
        <v>-0.94896408287337</v>
      </c>
    </row>
    <row r="2624" spans="1:9">
      <c r="A2624" s="1" t="s">
        <v>2636</v>
      </c>
      <c r="B2624">
        <f>HYPERLINK("https://www.suredividend.com/sure-analysis-research-database/","Synopsys, Inc.")</f>
        <v>0</v>
      </c>
      <c r="C2624">
        <v>-0.017695281258331</v>
      </c>
      <c r="D2624">
        <v>-0.09624110865832701</v>
      </c>
      <c r="E2624">
        <v>-0.037517142297394</v>
      </c>
      <c r="F2624">
        <v>-0.200081411126187</v>
      </c>
      <c r="G2624">
        <v>0.130383096215055</v>
      </c>
      <c r="H2624">
        <v>0.941447671738128</v>
      </c>
      <c r="I2624">
        <v>3.155787396024248</v>
      </c>
    </row>
    <row r="2625" spans="1:9">
      <c r="A2625" s="1" t="s">
        <v>2637</v>
      </c>
      <c r="B2625">
        <f>HYPERLINK("https://www.suredividend.com/sure-analysis-research-database/","New Senior Investment Group Inc")</f>
        <v>0</v>
      </c>
      <c r="C2625">
        <v>0.040094339622641</v>
      </c>
      <c r="D2625">
        <v>0.295154185022026</v>
      </c>
      <c r="E2625">
        <v>0.42915012557725</v>
      </c>
      <c r="F2625">
        <v>0.736493936052921</v>
      </c>
      <c r="G2625">
        <v>1.039259207879586</v>
      </c>
      <c r="H2625">
        <v>0.457730766052392</v>
      </c>
      <c r="I2625">
        <v>0.169125541814132</v>
      </c>
    </row>
    <row r="2626" spans="1:9">
      <c r="A2626" s="1" t="s">
        <v>2638</v>
      </c>
      <c r="B2626">
        <f>HYPERLINK("https://www.suredividend.com/sure-analysis-SNV/","Synovus Financial Corp.")</f>
        <v>0</v>
      </c>
      <c r="C2626">
        <v>-0.093625498007968</v>
      </c>
      <c r="D2626">
        <v>-0.146064294789866</v>
      </c>
      <c r="E2626">
        <v>0.011873389064206</v>
      </c>
      <c r="F2626">
        <v>-0.042778341124346</v>
      </c>
      <c r="G2626">
        <v>-0.003853227077677</v>
      </c>
      <c r="H2626">
        <v>2.201294589460353</v>
      </c>
      <c r="I2626">
        <v>0.3656527820298101</v>
      </c>
    </row>
    <row r="2627" spans="1:9">
      <c r="A2627" s="1" t="s">
        <v>2639</v>
      </c>
      <c r="B2627">
        <f>HYPERLINK("https://www.suredividend.com/sure-analysis-research-database/","TD Synnex Corp")</f>
        <v>0</v>
      </c>
      <c r="C2627">
        <v>-0.102273800255475</v>
      </c>
      <c r="D2627">
        <v>-0.051020590725086</v>
      </c>
      <c r="E2627">
        <v>-0.04141837360714101</v>
      </c>
      <c r="F2627">
        <v>-0.113588707975062</v>
      </c>
      <c r="G2627">
        <v>-0.179235755937062</v>
      </c>
      <c r="H2627">
        <v>1.836053164036887</v>
      </c>
      <c r="I2627">
        <v>1.096360179557264</v>
      </c>
    </row>
    <row r="2628" spans="1:9">
      <c r="A2628" s="1" t="s">
        <v>2640</v>
      </c>
      <c r="B2628">
        <f>HYPERLINK("https://www.suredividend.com/sure-analysis-SO/","Southern Company")</f>
        <v>0</v>
      </c>
      <c r="C2628">
        <v>0.109019264448336</v>
      </c>
      <c r="D2628">
        <v>0.118147868029417</v>
      </c>
      <c r="E2628">
        <v>0.228959387250779</v>
      </c>
      <c r="F2628">
        <v>0.119452456784921</v>
      </c>
      <c r="G2628">
        <v>0.217753334038441</v>
      </c>
      <c r="H2628">
        <v>0.4955570206945411</v>
      </c>
      <c r="I2628">
        <v>0.9273447585809831</v>
      </c>
    </row>
    <row r="2629" spans="1:9">
      <c r="A2629" s="1" t="s">
        <v>2641</v>
      </c>
      <c r="B2629">
        <f>HYPERLINK("https://www.suredividend.com/sure-analysis-research-database/","Sotherly Hotels Inc")</f>
        <v>0</v>
      </c>
      <c r="C2629">
        <v>-0.03255813953488301</v>
      </c>
      <c r="D2629">
        <v>-0.063063063063063</v>
      </c>
      <c r="E2629">
        <v>-0.144032921810699</v>
      </c>
      <c r="F2629">
        <v>-0.004784688995215</v>
      </c>
      <c r="G2629">
        <v>-0.282758620689655</v>
      </c>
      <c r="H2629">
        <v>0.09473684210526301</v>
      </c>
      <c r="I2629">
        <v>-0.550386926635251</v>
      </c>
    </row>
    <row r="2630" spans="1:9">
      <c r="A2630" s="1" t="s">
        <v>2642</v>
      </c>
      <c r="B2630">
        <f>HYPERLINK("https://www.suredividend.com/sure-analysis-research-database/","Solaris Oilfield Infrastructure Inc")</f>
        <v>0</v>
      </c>
      <c r="C2630">
        <v>0.018783542039356</v>
      </c>
      <c r="D2630">
        <v>0.446018687791996</v>
      </c>
      <c r="E2630">
        <v>0.4252465088342761</v>
      </c>
      <c r="F2630">
        <v>0.757282152554924</v>
      </c>
      <c r="G2630">
        <v>0.07077050351596201</v>
      </c>
      <c r="H2630">
        <v>1.373411127318191</v>
      </c>
      <c r="I2630">
        <v>0.171087805881143</v>
      </c>
    </row>
    <row r="2631" spans="1:9">
      <c r="A2631" s="1" t="s">
        <v>2643</v>
      </c>
      <c r="B2631">
        <f>HYPERLINK("https://www.suredividend.com/sure-analysis-research-database/","Soliton Inc")</f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1" t="s">
        <v>2644</v>
      </c>
      <c r="B2632">
        <f>HYPERLINK("https://www.suredividend.com/sure-analysis-SON/","Sonoco Products Co.")</f>
        <v>0</v>
      </c>
      <c r="C2632">
        <v>0.097927461139896</v>
      </c>
      <c r="D2632">
        <v>0.08610968733982501</v>
      </c>
      <c r="E2632">
        <v>0.044804820203833</v>
      </c>
      <c r="F2632">
        <v>0.09811711867334601</v>
      </c>
      <c r="G2632">
        <v>0.0007493419644090001</v>
      </c>
      <c r="H2632">
        <v>0.407658530428409</v>
      </c>
      <c r="I2632">
        <v>0.445301576258585</v>
      </c>
    </row>
    <row r="2633" spans="1:9">
      <c r="A2633" s="1" t="s">
        <v>2645</v>
      </c>
      <c r="B2633">
        <f>HYPERLINK("https://www.suredividend.com/sure-analysis-research-database/","Sonos Inc")</f>
        <v>0</v>
      </c>
      <c r="C2633">
        <v>0.015576323987538</v>
      </c>
      <c r="D2633">
        <v>-0.06220783890686801</v>
      </c>
      <c r="E2633">
        <v>-0.17780580075662</v>
      </c>
      <c r="F2633">
        <v>-0.1248322147651</v>
      </c>
      <c r="G2633">
        <v>-0.399216770329417</v>
      </c>
      <c r="H2633">
        <v>1.810344827586206</v>
      </c>
      <c r="I2633">
        <v>0.309894525364138</v>
      </c>
    </row>
    <row r="2634" spans="1:9">
      <c r="A2634" s="1" t="s">
        <v>2646</v>
      </c>
      <c r="B2634">
        <f>HYPERLINK("https://www.suredividend.com/sure-analysis-research-database/","SP Plus Corp")</f>
        <v>0</v>
      </c>
      <c r="C2634">
        <v>-0.031078018776303</v>
      </c>
      <c r="D2634">
        <v>0.017681060863651</v>
      </c>
      <c r="E2634">
        <v>0.003688799463447</v>
      </c>
      <c r="F2634">
        <v>0.060595322466336</v>
      </c>
      <c r="G2634">
        <v>-0.081620128873887</v>
      </c>
      <c r="H2634">
        <v>0.436180422264875</v>
      </c>
      <c r="I2634">
        <v>-0.07623456790123401</v>
      </c>
    </row>
    <row r="2635" spans="1:9">
      <c r="A2635" s="1" t="s">
        <v>2647</v>
      </c>
      <c r="B2635">
        <f>HYPERLINK("https://www.suredividend.com/sure-analysis-research-database/","Spectrum Brands Holdings Inc.")</f>
        <v>0</v>
      </c>
      <c r="C2635">
        <v>-0.016934338468261</v>
      </c>
      <c r="D2635">
        <v>-0.09623427600310101</v>
      </c>
      <c r="E2635">
        <v>-0.0605917290729</v>
      </c>
      <c r="F2635">
        <v>-0.111427995844508</v>
      </c>
      <c r="G2635">
        <v>0.031363869253596</v>
      </c>
      <c r="H2635">
        <v>1.585387017897728</v>
      </c>
      <c r="I2635">
        <v>-0.258974984023243</v>
      </c>
    </row>
    <row r="2636" spans="1:9">
      <c r="A2636" s="1" t="s">
        <v>2648</v>
      </c>
      <c r="B2636">
        <f>HYPERLINK("https://www.suredividend.com/sure-analysis-SPG/","Simon Property Group, Inc.")</f>
        <v>0</v>
      </c>
      <c r="C2636">
        <v>-0.026269702276707</v>
      </c>
      <c r="D2636">
        <v>-0.168231490256249</v>
      </c>
      <c r="E2636">
        <v>-0.06662452803885301</v>
      </c>
      <c r="F2636">
        <v>-0.189420119723434</v>
      </c>
      <c r="G2636">
        <v>0.142320156930563</v>
      </c>
      <c r="H2636">
        <v>1.689509692372081</v>
      </c>
      <c r="I2636">
        <v>-0.048419862040227</v>
      </c>
    </row>
    <row r="2637" spans="1:9">
      <c r="A2637" s="1" t="s">
        <v>2649</v>
      </c>
      <c r="B2637">
        <f>HYPERLINK("https://www.suredividend.com/sure-analysis-SPGI/","S&amp;P Global Inc")</f>
        <v>0</v>
      </c>
      <c r="C2637">
        <v>-0.011829793743466</v>
      </c>
      <c r="D2637">
        <v>-0.101817915533482</v>
      </c>
      <c r="E2637">
        <v>-0.123735136912004</v>
      </c>
      <c r="F2637">
        <v>-0.17712798367801</v>
      </c>
      <c r="G2637">
        <v>0.032799147092672</v>
      </c>
      <c r="H2637">
        <v>0.431014532777945</v>
      </c>
      <c r="I2637">
        <v>2.150159869048799</v>
      </c>
    </row>
    <row r="2638" spans="1:9">
      <c r="A2638" s="1" t="s">
        <v>2650</v>
      </c>
      <c r="B2638">
        <f>HYPERLINK("https://www.suredividend.com/sure-analysis-research-database/","Splunk Inc")</f>
        <v>0</v>
      </c>
      <c r="C2638">
        <v>0.168830067022991</v>
      </c>
      <c r="D2638">
        <v>0.123552438427662</v>
      </c>
      <c r="E2638">
        <v>-0.165030303030302</v>
      </c>
      <c r="F2638">
        <v>0.190546145869339</v>
      </c>
      <c r="G2638">
        <v>0.026219739292365</v>
      </c>
      <c r="H2638">
        <v>0.047083412502375</v>
      </c>
      <c r="I2638">
        <v>1.315851403597243</v>
      </c>
    </row>
    <row r="2639" spans="1:9">
      <c r="A2639" s="1" t="s">
        <v>2651</v>
      </c>
      <c r="B2639">
        <f>HYPERLINK("https://www.suredividend.com/sure-analysis-research-database/","SeaSpine Holdings Corp")</f>
        <v>0</v>
      </c>
      <c r="C2639">
        <v>-0.05291005291005201</v>
      </c>
      <c r="D2639">
        <v>-0.171296296296296</v>
      </c>
      <c r="E2639">
        <v>-0.280160857908847</v>
      </c>
      <c r="F2639">
        <v>-0.211453744493392</v>
      </c>
      <c r="G2639">
        <v>-0.4791464597478171</v>
      </c>
      <c r="H2639">
        <v>0.251748251748251</v>
      </c>
      <c r="I2639">
        <v>0.345864661654135</v>
      </c>
    </row>
    <row r="2640" spans="1:9">
      <c r="A2640" s="1" t="s">
        <v>2652</v>
      </c>
      <c r="B2640">
        <f>HYPERLINK("https://www.suredividend.com/sure-analysis-research-database/","Spok Holdings Inc")</f>
        <v>0</v>
      </c>
      <c r="C2640">
        <v>-0.006090133982947001</v>
      </c>
      <c r="D2640">
        <v>-0.118276316642534</v>
      </c>
      <c r="E2640">
        <v>-0.135611533653948</v>
      </c>
      <c r="F2640">
        <v>-0.092758747206564</v>
      </c>
      <c r="G2640">
        <v>-0.184309962214358</v>
      </c>
      <c r="H2640">
        <v>-0.160865049412296</v>
      </c>
      <c r="I2640">
        <v>-0.454235361000568</v>
      </c>
    </row>
    <row r="2641" spans="1:9">
      <c r="A2641" s="1" t="s">
        <v>2653</v>
      </c>
      <c r="B2641">
        <f>HYPERLINK("https://www.suredividend.com/sure-analysis-research-database/","Spectrum Pharmaceuticals, Inc.")</f>
        <v>0</v>
      </c>
      <c r="C2641">
        <v>0.259870129870129</v>
      </c>
      <c r="D2641">
        <v>-0.141504424778761</v>
      </c>
      <c r="E2641">
        <v>-0.5050510204081631</v>
      </c>
      <c r="F2641">
        <v>-0.236141732283464</v>
      </c>
      <c r="G2641">
        <v>-0.6766333333333331</v>
      </c>
      <c r="H2641">
        <v>-0.639368029739777</v>
      </c>
      <c r="I2641">
        <v>-0.8465031645569621</v>
      </c>
    </row>
    <row r="2642" spans="1:9">
      <c r="A2642" s="1" t="s">
        <v>2654</v>
      </c>
      <c r="B2642">
        <f>HYPERLINK("https://www.suredividend.com/sure-analysis-research-database/","Spirit Aerosystems Holdings Inc")</f>
        <v>0</v>
      </c>
      <c r="C2642">
        <v>-0.008152756919116001</v>
      </c>
      <c r="D2642">
        <v>-0.06774431632566601</v>
      </c>
      <c r="E2642">
        <v>0.046405823475887</v>
      </c>
      <c r="F2642">
        <v>0.073099849584965</v>
      </c>
      <c r="G2642">
        <v>-0.005113240193166</v>
      </c>
      <c r="H2642">
        <v>1.427192112019404</v>
      </c>
      <c r="I2642">
        <v>-0.159595122270456</v>
      </c>
    </row>
    <row r="2643" spans="1:9">
      <c r="A2643" s="1" t="s">
        <v>2655</v>
      </c>
      <c r="B2643">
        <f>HYPERLINK("https://www.suredividend.com/sure-analysis-research-database/","Spero Therapeutics Inc")</f>
        <v>0</v>
      </c>
      <c r="C2643">
        <v>-0.262967430639324</v>
      </c>
      <c r="D2643">
        <v>-0.537121212121212</v>
      </c>
      <c r="E2643">
        <v>-0.6410105757931841</v>
      </c>
      <c r="F2643">
        <v>-0.618363522798251</v>
      </c>
      <c r="G2643">
        <v>-0.5274555297757151</v>
      </c>
      <c r="H2643">
        <v>-0.19921363040629</v>
      </c>
      <c r="I2643">
        <v>2.182291666666667</v>
      </c>
    </row>
    <row r="2644" spans="1:9">
      <c r="A2644" s="1" t="s">
        <v>2656</v>
      </c>
      <c r="B2644">
        <f>HYPERLINK("https://www.suredividend.com/sure-analysis-research-database/","Support.com Inc")</f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 t="s">
        <v>2657</v>
      </c>
      <c r="B2645">
        <f>HYPERLINK("https://www.suredividend.com/sure-analysis-research-database/","SPS Commerce Inc.")</f>
        <v>0</v>
      </c>
      <c r="C2645">
        <v>-0.02089716395632</v>
      </c>
      <c r="D2645">
        <v>0.04450217901441501</v>
      </c>
      <c r="E2645">
        <v>-0.235117221062967</v>
      </c>
      <c r="F2645">
        <v>-0.12448191078328</v>
      </c>
      <c r="G2645">
        <v>0.179761453994699</v>
      </c>
      <c r="H2645">
        <v>1.589445252441304</v>
      </c>
      <c r="I2645">
        <v>3.249957374254049</v>
      </c>
    </row>
    <row r="2646" spans="1:9">
      <c r="A2646" s="1" t="s">
        <v>2658</v>
      </c>
      <c r="B2646">
        <f>HYPERLINK("https://www.suredividend.com/sure-analysis-SPTN/","SpartanNash Co")</f>
        <v>0</v>
      </c>
      <c r="C2646">
        <v>0.139756658993752</v>
      </c>
      <c r="D2646">
        <v>0.385003916052618</v>
      </c>
      <c r="E2646">
        <v>0.559989378029624</v>
      </c>
      <c r="F2646">
        <v>0.354895959157665</v>
      </c>
      <c r="G2646">
        <v>0.7983334543982891</v>
      </c>
      <c r="H2646">
        <v>1.322760506369832</v>
      </c>
      <c r="I2646">
        <v>0.21707557737349</v>
      </c>
    </row>
    <row r="2647" spans="1:9">
      <c r="A2647" s="1" t="s">
        <v>2659</v>
      </c>
      <c r="B2647">
        <f>HYPERLINK("https://www.suredividend.com/sure-analysis-research-database/","Sportsman`s Warehouse Holdings Inc")</f>
        <v>0</v>
      </c>
      <c r="C2647">
        <v>-0.09098639455782301</v>
      </c>
      <c r="D2647">
        <v>0.012310606060605</v>
      </c>
      <c r="E2647">
        <v>-0.3977464788732391</v>
      </c>
      <c r="F2647">
        <v>-0.09406779661016901</v>
      </c>
      <c r="G2647">
        <v>-0.389491719017704</v>
      </c>
      <c r="H2647">
        <v>0.5315186246418331</v>
      </c>
      <c r="I2647">
        <v>1.313852813852813</v>
      </c>
    </row>
    <row r="2648" spans="1:9">
      <c r="A2648" s="1" t="s">
        <v>2660</v>
      </c>
      <c r="B2648">
        <f>HYPERLINK("https://www.suredividend.com/sure-analysis-research-database/","Sunpower Corp")</f>
        <v>0</v>
      </c>
      <c r="C2648">
        <v>0.009900990099009001</v>
      </c>
      <c r="D2648">
        <v>0.011904761904761</v>
      </c>
      <c r="E2648">
        <v>-0.259259259259259</v>
      </c>
      <c r="F2648">
        <v>-0.02252036415908</v>
      </c>
      <c r="G2648">
        <v>-0.254658385093167</v>
      </c>
      <c r="H2648">
        <v>2.821083389525736</v>
      </c>
      <c r="I2648">
        <v>2.79175108269363</v>
      </c>
    </row>
    <row r="2649" spans="1:9">
      <c r="A2649" s="1" t="s">
        <v>2661</v>
      </c>
      <c r="B2649">
        <f>HYPERLINK("https://www.suredividend.com/sure-analysis-research-database/","SPX Corp.")</f>
        <v>0</v>
      </c>
      <c r="C2649">
        <v>-0.108075772681954</v>
      </c>
      <c r="D2649">
        <v>-0.207757704569606</v>
      </c>
      <c r="E2649">
        <v>-0.249244712990936</v>
      </c>
      <c r="F2649">
        <v>-0.250502680965147</v>
      </c>
      <c r="G2649">
        <v>-0.250251424740194</v>
      </c>
      <c r="H2649">
        <v>0.289048991354466</v>
      </c>
      <c r="I2649">
        <v>1.014864864864864</v>
      </c>
    </row>
    <row r="2650" spans="1:9">
      <c r="A2650" s="1" t="s">
        <v>2662</v>
      </c>
      <c r="B2650">
        <f>HYPERLINK("https://www.suredividend.com/sure-analysis-research-database/","Block Inc")</f>
        <v>0</v>
      </c>
      <c r="C2650">
        <v>0.04532529082292101</v>
      </c>
      <c r="D2650">
        <v>-0.08987921074349101</v>
      </c>
      <c r="E2650">
        <v>-0.512811244979919</v>
      </c>
      <c r="F2650">
        <v>-0.2489009968423</v>
      </c>
      <c r="G2650">
        <v>-0.5263178445919561</v>
      </c>
      <c r="H2650">
        <v>1.116364270760641</v>
      </c>
      <c r="I2650">
        <v>6.169621749408983</v>
      </c>
    </row>
    <row r="2651" spans="1:9">
      <c r="A2651" s="1" t="s">
        <v>2663</v>
      </c>
      <c r="B2651">
        <f>HYPERLINK("https://www.suredividend.com/sure-analysis-research-database/","Sequential Brands Group Inc.")</f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 t="s">
        <v>2664</v>
      </c>
      <c r="B2652">
        <f>HYPERLINK("https://www.suredividend.com/sure-analysis-SR/","Spire Inc.")</f>
        <v>0</v>
      </c>
      <c r="C2652">
        <v>0.125204948576538</v>
      </c>
      <c r="D2652">
        <v>0.142685014614682</v>
      </c>
      <c r="E2652">
        <v>0.19840424434175</v>
      </c>
      <c r="F2652">
        <v>0.169140513684627</v>
      </c>
      <c r="G2652">
        <v>0.016620923887427</v>
      </c>
      <c r="H2652">
        <v>0.09334016942500001</v>
      </c>
      <c r="I2652">
        <v>0.297814912235459</v>
      </c>
    </row>
    <row r="2653" spans="1:9">
      <c r="A2653" s="1" t="s">
        <v>2665</v>
      </c>
      <c r="B2653">
        <f>HYPERLINK("https://www.suredividend.com/sure-analysis-SRC/","Spirit Realty Capital Inc")</f>
        <v>0</v>
      </c>
      <c r="C2653">
        <v>0.019316276050609</v>
      </c>
      <c r="D2653">
        <v>-0.05999407516369901</v>
      </c>
      <c r="E2653">
        <v>-0.017497554954793</v>
      </c>
      <c r="F2653">
        <v>-0.032293344887202</v>
      </c>
      <c r="G2653">
        <v>0.09429591416876501</v>
      </c>
      <c r="H2653">
        <v>1.10051040439733</v>
      </c>
      <c r="I2653">
        <v>0.400672785667534</v>
      </c>
    </row>
    <row r="2654" spans="1:9">
      <c r="A2654" s="1" t="s">
        <v>2666</v>
      </c>
      <c r="B2654">
        <f>HYPERLINK("https://www.suredividend.com/sure-analysis-SRCE/","1st Source Corp.")</f>
        <v>0</v>
      </c>
      <c r="C2654">
        <v>-0.115376924615076</v>
      </c>
      <c r="D2654">
        <v>-0.153495847843557</v>
      </c>
      <c r="E2654">
        <v>-0.06752635228702601</v>
      </c>
      <c r="F2654">
        <v>-0.102465784551212</v>
      </c>
      <c r="G2654">
        <v>-0.03656648322811101</v>
      </c>
      <c r="H2654">
        <v>0.536239131038697</v>
      </c>
      <c r="I2654">
        <v>0.136168103570043</v>
      </c>
    </row>
    <row r="2655" spans="1:9">
      <c r="A2655" s="1" t="s">
        <v>2667</v>
      </c>
      <c r="B2655">
        <f>HYPERLINK("https://www.suredividend.com/sure-analysis-research-database/","Stericycle Inc.")</f>
        <v>0</v>
      </c>
      <c r="C2655">
        <v>-0.023280423280423</v>
      </c>
      <c r="D2655">
        <v>-0.06578947368421001</v>
      </c>
      <c r="E2655">
        <v>-0.187976539589442</v>
      </c>
      <c r="F2655">
        <v>-0.07142857142857101</v>
      </c>
      <c r="G2655">
        <v>-0.196109740165481</v>
      </c>
      <c r="H2655">
        <v>0.15857740585774</v>
      </c>
      <c r="I2655">
        <v>-0.323974609375</v>
      </c>
    </row>
    <row r="2656" spans="1:9">
      <c r="A2656" s="1" t="s">
        <v>2668</v>
      </c>
      <c r="B2656">
        <f>HYPERLINK("https://www.suredividend.com/sure-analysis-research-database/","Surmodics, Inc.")</f>
        <v>0</v>
      </c>
      <c r="C2656">
        <v>0.003783400331047</v>
      </c>
      <c r="D2656">
        <v>-0.09796005099872501</v>
      </c>
      <c r="E2656">
        <v>-0.226775956284152</v>
      </c>
      <c r="F2656">
        <v>-0.118380062305295</v>
      </c>
      <c r="G2656">
        <v>-0.270493211892077</v>
      </c>
      <c r="H2656">
        <v>0.217029816513761</v>
      </c>
      <c r="I2656">
        <v>0.8179871520342611</v>
      </c>
    </row>
    <row r="2657" spans="1:9">
      <c r="A2657" s="1" t="s">
        <v>2669</v>
      </c>
      <c r="B2657">
        <f>HYPERLINK("https://www.suredividend.com/sure-analysis-SRE/","Sempra Energy")</f>
        <v>0</v>
      </c>
      <c r="C2657">
        <v>0.117372748371571</v>
      </c>
      <c r="D2657">
        <v>0.250281997910477</v>
      </c>
      <c r="E2657">
        <v>0.354863465364942</v>
      </c>
      <c r="F2657">
        <v>0.303968098658416</v>
      </c>
      <c r="G2657">
        <v>0.270111332211432</v>
      </c>
      <c r="H2657">
        <v>0.5462642256308751</v>
      </c>
      <c r="I2657">
        <v>0.7738081304114091</v>
      </c>
    </row>
    <row r="2658" spans="1:9">
      <c r="A2658" s="1" t="s">
        <v>2670</v>
      </c>
      <c r="B2658">
        <f>HYPERLINK("https://www.suredividend.com/sure-analysis-research-database/","ServiceSource International Inc")</f>
        <v>0</v>
      </c>
      <c r="C2658">
        <v>-0.1171875</v>
      </c>
      <c r="D2658">
        <v>0.027272727272727</v>
      </c>
      <c r="E2658">
        <v>-0.169117647058823</v>
      </c>
      <c r="F2658">
        <v>0.141298858701141</v>
      </c>
      <c r="G2658">
        <v>-0.18705035971223</v>
      </c>
      <c r="H2658">
        <v>0.142799352750808</v>
      </c>
      <c r="I2658">
        <v>-0.6834733893557421</v>
      </c>
    </row>
    <row r="2659" spans="1:9">
      <c r="A2659" s="1" t="s">
        <v>2671</v>
      </c>
      <c r="B2659">
        <f>HYPERLINK("https://www.suredividend.com/sure-analysis-research-database/","Seritage Growth Properties")</f>
        <v>0</v>
      </c>
      <c r="C2659">
        <v>0.07664562669071201</v>
      </c>
      <c r="D2659">
        <v>-0.00250626566416</v>
      </c>
      <c r="E2659">
        <v>-0.19758064516129</v>
      </c>
      <c r="F2659">
        <v>-0.100226073850791</v>
      </c>
      <c r="G2659">
        <v>-0.33923630326508</v>
      </c>
      <c r="H2659">
        <v>0.367697594501718</v>
      </c>
      <c r="I2659">
        <v>-0.708034908656985</v>
      </c>
    </row>
    <row r="2660" spans="1:9">
      <c r="A2660" s="1" t="s">
        <v>2672</v>
      </c>
      <c r="B2660">
        <f>HYPERLINK("https://www.suredividend.com/sure-analysis-research-database/","Stoneridge Inc.")</f>
        <v>0</v>
      </c>
      <c r="C2660">
        <v>0.05732828555976201</v>
      </c>
      <c r="D2660">
        <v>-0.040255277368679</v>
      </c>
      <c r="E2660">
        <v>-0.073898626243486</v>
      </c>
      <c r="F2660">
        <v>-0.009625126646403</v>
      </c>
      <c r="G2660">
        <v>-0.385606536769327</v>
      </c>
      <c r="H2660">
        <v>0.209029066171923</v>
      </c>
      <c r="I2660">
        <v>0.138613861386138</v>
      </c>
    </row>
    <row r="2661" spans="1:9">
      <c r="A2661" s="1" t="s">
        <v>2673</v>
      </c>
      <c r="B2661">
        <f>HYPERLINK("https://www.suredividend.com/sure-analysis-research-database/","Sorrento Therapeutics Inc")</f>
        <v>0</v>
      </c>
      <c r="C2661">
        <v>-0.2125</v>
      </c>
      <c r="D2661">
        <v>-0.585526315789473</v>
      </c>
      <c r="E2661">
        <v>-0.723684210526315</v>
      </c>
      <c r="F2661">
        <v>-0.593548387096774</v>
      </c>
      <c r="G2661">
        <v>-0.747663551401869</v>
      </c>
      <c r="H2661">
        <v>-0.311475409836065</v>
      </c>
      <c r="I2661">
        <v>0.049999999999999</v>
      </c>
    </row>
    <row r="2662" spans="1:9">
      <c r="A2662" s="1" t="s">
        <v>2674</v>
      </c>
      <c r="B2662">
        <f>HYPERLINK("https://www.suredividend.com/sure-analysis-research-database/","Sarepta Therapeutics Inc")</f>
        <v>0</v>
      </c>
      <c r="C2662">
        <v>0.064705882352941</v>
      </c>
      <c r="D2662">
        <v>0.145569620253164</v>
      </c>
      <c r="E2662">
        <v>-0.032545432949281</v>
      </c>
      <c r="F2662">
        <v>-0.09550249861188201</v>
      </c>
      <c r="G2662">
        <v>0.134401114206128</v>
      </c>
      <c r="H2662">
        <v>-0.277541245343267</v>
      </c>
      <c r="I2662">
        <v>1.721349816237888</v>
      </c>
    </row>
    <row r="2663" spans="1:9">
      <c r="A2663" s="1" t="s">
        <v>2675</v>
      </c>
      <c r="B2663">
        <f>HYPERLINK("https://www.suredividend.com/sure-analysis-research-database/","Scholar Rock Holding Corp")</f>
        <v>0</v>
      </c>
      <c r="C2663">
        <v>-0.167367535744322</v>
      </c>
      <c r="D2663">
        <v>-0.5106277805239741</v>
      </c>
      <c r="E2663">
        <v>-0.636963696369637</v>
      </c>
      <c r="F2663">
        <v>-0.6014492753623181</v>
      </c>
      <c r="G2663">
        <v>-0.6782580435489111</v>
      </c>
      <c r="H2663">
        <v>-0.346103038309114</v>
      </c>
      <c r="I2663">
        <v>-0.361290322580645</v>
      </c>
    </row>
    <row r="2664" spans="1:9">
      <c r="A2664" s="1" t="s">
        <v>2676</v>
      </c>
      <c r="B2664">
        <f>HYPERLINK("https://www.suredividend.com/sure-analysis-research-database/","Startek, Inc.")</f>
        <v>0</v>
      </c>
      <c r="C2664">
        <v>0.102756892230576</v>
      </c>
      <c r="D2664">
        <v>-0.140625</v>
      </c>
      <c r="E2664">
        <v>-0.222614840989399</v>
      </c>
      <c r="F2664">
        <v>-0.157088122605363</v>
      </c>
      <c r="G2664">
        <v>-0.48356807511737</v>
      </c>
      <c r="H2664">
        <v>0.58273381294964</v>
      </c>
      <c r="I2664">
        <v>-0.4959908361970211</v>
      </c>
    </row>
    <row r="2665" spans="1:9">
      <c r="A2665" s="1" t="s">
        <v>2677</v>
      </c>
      <c r="B2665">
        <f>HYPERLINK("https://www.suredividend.com/sure-analysis-research-database/","Sensus Healthcare Inc")</f>
        <v>0</v>
      </c>
      <c r="C2665">
        <v>-0.153994225216554</v>
      </c>
      <c r="D2665">
        <v>-0.004530011325028001</v>
      </c>
      <c r="E2665">
        <v>1.203007518796992</v>
      </c>
      <c r="F2665">
        <v>0.217451523545706</v>
      </c>
      <c r="G2665">
        <v>1.401639344262295</v>
      </c>
      <c r="H2665">
        <v>2.342205323193916</v>
      </c>
      <c r="I2665">
        <v>0.9752808988764041</v>
      </c>
    </row>
    <row r="2666" spans="1:9">
      <c r="A2666" s="1" t="s">
        <v>2678</v>
      </c>
      <c r="B2666">
        <f>HYPERLINK("https://www.suredividend.com/sure-analysis-research-database/","SouthState Corporation")</f>
        <v>0</v>
      </c>
      <c r="C2666">
        <v>-0.11855377989346</v>
      </c>
      <c r="D2666">
        <v>-0.160338887527302</v>
      </c>
      <c r="E2666">
        <v>0.016148357398858</v>
      </c>
      <c r="F2666">
        <v>-0.023766276315442</v>
      </c>
      <c r="G2666">
        <v>-0.030757285522178</v>
      </c>
      <c r="H2666">
        <v>0.664209334722849</v>
      </c>
      <c r="I2666">
        <v>0.012186058981931</v>
      </c>
    </row>
    <row r="2667" spans="1:9">
      <c r="A2667" s="1" t="s">
        <v>2679</v>
      </c>
      <c r="B2667">
        <f>HYPERLINK("https://www.suredividend.com/sure-analysis-research-database/","Summit St. Bank")</f>
        <v>0</v>
      </c>
      <c r="C2667">
        <v>-0.011159330440173</v>
      </c>
      <c r="D2667">
        <v>-0.000714223063139</v>
      </c>
      <c r="E2667">
        <v>-0.04861885703037801</v>
      </c>
      <c r="F2667">
        <v>0.037216228694798</v>
      </c>
      <c r="G2667">
        <v>0.09207679456631801</v>
      </c>
      <c r="H2667">
        <v>1.543007923980803</v>
      </c>
      <c r="I2667">
        <v>0.6170894417746411</v>
      </c>
    </row>
    <row r="2668" spans="1:9">
      <c r="A2668" s="1" t="s">
        <v>2680</v>
      </c>
      <c r="B2668">
        <f>HYPERLINK("https://www.suredividend.com/sure-analysis-research-database/","Simpson Manufacturing Co., Inc.")</f>
        <v>0</v>
      </c>
      <c r="C2668">
        <v>-0.108748590220789</v>
      </c>
      <c r="D2668">
        <v>-0.181423619886911</v>
      </c>
      <c r="E2668">
        <v>-0.08539393402254601</v>
      </c>
      <c r="F2668">
        <v>-0.239944024758502</v>
      </c>
      <c r="G2668">
        <v>-0.015460248482643</v>
      </c>
      <c r="H2668">
        <v>0.7319593057025</v>
      </c>
      <c r="I2668">
        <v>1.745585960629038</v>
      </c>
    </row>
    <row r="2669" spans="1:9">
      <c r="A2669" s="1" t="s">
        <v>2681</v>
      </c>
      <c r="B2669">
        <f>HYPERLINK("https://www.suredividend.com/sure-analysis-research-database/","STRATA Skin Sciences Inc")</f>
        <v>0</v>
      </c>
      <c r="C2669">
        <v>-0.023809523809523</v>
      </c>
      <c r="D2669">
        <v>-0.055921052631578</v>
      </c>
      <c r="E2669">
        <v>-0.252604166666666</v>
      </c>
      <c r="F2669">
        <v>-0.020477815699658</v>
      </c>
      <c r="G2669">
        <v>-0.165697674418604</v>
      </c>
      <c r="H2669">
        <v>0.6705471478463331</v>
      </c>
      <c r="I2669">
        <v>-0.5119047619047611</v>
      </c>
    </row>
    <row r="2670" spans="1:9">
      <c r="A2670" s="1" t="s">
        <v>2682</v>
      </c>
      <c r="B2670">
        <f>HYPERLINK("https://www.suredividend.com/sure-analysis-research-database/","SS&amp;C Technologies Holdings Inc")</f>
        <v>0</v>
      </c>
      <c r="C2670">
        <v>-0.082601961796592</v>
      </c>
      <c r="D2670">
        <v>-0.146585983743351</v>
      </c>
      <c r="E2670">
        <v>-0.013112223079956</v>
      </c>
      <c r="F2670">
        <v>-0.130658121644264</v>
      </c>
      <c r="G2670">
        <v>-0.01582053263106</v>
      </c>
      <c r="H2670">
        <v>0.5042781348474871</v>
      </c>
      <c r="I2670">
        <v>1.066237024246599</v>
      </c>
    </row>
    <row r="2671" spans="1:9">
      <c r="A2671" s="1" t="s">
        <v>2683</v>
      </c>
      <c r="B2671">
        <f>HYPERLINK("https://www.suredividend.com/sure-analysis-research-database/","E.W. Scripps Co.")</f>
        <v>0</v>
      </c>
      <c r="C2671">
        <v>-0.147044917257683</v>
      </c>
      <c r="D2671">
        <v>-0.162488393686165</v>
      </c>
      <c r="E2671">
        <v>-0.004964147821290001</v>
      </c>
      <c r="F2671">
        <v>-0.06770025839793201</v>
      </c>
      <c r="G2671">
        <v>-0.171717171717171</v>
      </c>
      <c r="H2671">
        <v>2.02928533046749</v>
      </c>
      <c r="I2671">
        <v>-0.156946313743083</v>
      </c>
    </row>
    <row r="2672" spans="1:9">
      <c r="A2672" s="1" t="s">
        <v>2684</v>
      </c>
      <c r="B2672">
        <f>HYPERLINK("https://www.suredividend.com/sure-analysis-research-database/","ShotSpotter Inc")</f>
        <v>0</v>
      </c>
      <c r="C2672">
        <v>0.05438596491228</v>
      </c>
      <c r="D2672">
        <v>0.07168330955777401</v>
      </c>
      <c r="E2672">
        <v>-0.209834341309492</v>
      </c>
      <c r="F2672">
        <v>0.017953929539295</v>
      </c>
      <c r="G2672">
        <v>-0.170347874102705</v>
      </c>
      <c r="H2672">
        <v>-0.06648027337682501</v>
      </c>
      <c r="I2672">
        <v>1.089707927677329</v>
      </c>
    </row>
    <row r="2673" spans="1:9">
      <c r="A2673" s="1" t="s">
        <v>2685</v>
      </c>
      <c r="B2673">
        <f>HYPERLINK("https://www.suredividend.com/sure-analysis-research-database/","Shutterstock Inc")</f>
        <v>0</v>
      </c>
      <c r="C2673">
        <v>-0.115476448882135</v>
      </c>
      <c r="D2673">
        <v>-0.125791614464448</v>
      </c>
      <c r="E2673">
        <v>-0.331876852197223</v>
      </c>
      <c r="F2673">
        <v>-0.262977696710348</v>
      </c>
      <c r="G2673">
        <v>-0.177770962300546</v>
      </c>
      <c r="H2673">
        <v>1.443858717978704</v>
      </c>
      <c r="I2673">
        <v>1.153481108818175</v>
      </c>
    </row>
    <row r="2674" spans="1:9">
      <c r="A2674" s="1" t="s">
        <v>2686</v>
      </c>
      <c r="B2674">
        <f>HYPERLINK("https://www.suredividend.com/sure-analysis-research-database/","Sensata Technologies Holding Plc")</f>
        <v>0</v>
      </c>
      <c r="C2674">
        <v>-0.109879789631855</v>
      </c>
      <c r="D2674">
        <v>-0.254170601196096</v>
      </c>
      <c r="E2674">
        <v>-0.188110330649306</v>
      </c>
      <c r="F2674">
        <v>-0.231804182201329</v>
      </c>
      <c r="G2674">
        <v>-0.19060631938514</v>
      </c>
      <c r="H2674">
        <v>0.5563218390804591</v>
      </c>
      <c r="I2674">
        <v>0.09699074074074</v>
      </c>
    </row>
    <row r="2675" spans="1:9">
      <c r="A2675" s="1" t="s">
        <v>2687</v>
      </c>
      <c r="B2675">
        <f>HYPERLINK("https://www.suredividend.com/sure-analysis-research-database/","Staar Surgical Co.")</f>
        <v>0</v>
      </c>
      <c r="C2675">
        <v>-0.08351843625055501</v>
      </c>
      <c r="D2675">
        <v>-0.179504176057271</v>
      </c>
      <c r="E2675">
        <v>-0.461310819044303</v>
      </c>
      <c r="F2675">
        <v>-0.322124863088718</v>
      </c>
      <c r="G2675">
        <v>-0.476440233482784</v>
      </c>
      <c r="H2675">
        <v>0.694687842278203</v>
      </c>
      <c r="I2675">
        <v>5.654838709677419</v>
      </c>
    </row>
    <row r="2676" spans="1:9">
      <c r="A2676" s="1" t="s">
        <v>2688</v>
      </c>
      <c r="B2676">
        <f>HYPERLINK("https://www.suredividend.com/sure-analysis-STAG/","STAG Industrial Inc")</f>
        <v>0</v>
      </c>
      <c r="C2676">
        <v>0.002889810277672</v>
      </c>
      <c r="D2676">
        <v>-0.07609538603285801</v>
      </c>
      <c r="E2676">
        <v>-0.05003558498623</v>
      </c>
      <c r="F2676">
        <v>-0.160279163519379</v>
      </c>
      <c r="G2676">
        <v>0.16345169970061</v>
      </c>
      <c r="H2676">
        <v>0.6905143128235101</v>
      </c>
      <c r="I2676">
        <v>0.9455859913908671</v>
      </c>
    </row>
    <row r="2677" spans="1:9">
      <c r="A2677" s="1" t="s">
        <v>2689</v>
      </c>
      <c r="B2677">
        <f>HYPERLINK("https://www.suredividend.com/sure-analysis-research-database/","iStar Inc")</f>
        <v>0</v>
      </c>
      <c r="C2677">
        <v>-0.184867075664621</v>
      </c>
      <c r="D2677">
        <v>-0.205393595304924</v>
      </c>
      <c r="E2677">
        <v>-0.192898478534663</v>
      </c>
      <c r="F2677">
        <v>-0.224468354184096</v>
      </c>
      <c r="G2677">
        <v>0.107222222222222</v>
      </c>
      <c r="H2677">
        <v>1.44849318770962</v>
      </c>
      <c r="I2677">
        <v>0.8111924971373521</v>
      </c>
    </row>
    <row r="2678" spans="1:9">
      <c r="A2678" s="1" t="s">
        <v>2690</v>
      </c>
      <c r="B2678">
        <f>HYPERLINK("https://www.suredividend.com/sure-analysis-research-database/","Extended Stay America Inc")</f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2691</v>
      </c>
      <c r="B2679">
        <f>HYPERLINK("https://www.suredividend.com/sure-analysis-research-database/","S &amp; T Bancorp, Inc.")</f>
        <v>0</v>
      </c>
      <c r="C2679">
        <v>-0.1126626467788</v>
      </c>
      <c r="D2679">
        <v>-0.16572676656462</v>
      </c>
      <c r="E2679">
        <v>-0.05947255113024701</v>
      </c>
      <c r="F2679">
        <v>-0.104850328157515</v>
      </c>
      <c r="G2679">
        <v>-0.126304605962127</v>
      </c>
      <c r="H2679">
        <v>0.209007887090078</v>
      </c>
      <c r="I2679">
        <v>0.001400384658087</v>
      </c>
    </row>
    <row r="2680" spans="1:9">
      <c r="A2680" s="1" t="s">
        <v>2692</v>
      </c>
      <c r="B2680">
        <f>HYPERLINK("https://www.suredividend.com/sure-analysis-research-database/","Stewart Information Services Corp.")</f>
        <v>0</v>
      </c>
      <c r="C2680">
        <v>-0.225205070842654</v>
      </c>
      <c r="D2680">
        <v>-0.327298225077338</v>
      </c>
      <c r="E2680">
        <v>-0.231857721419414</v>
      </c>
      <c r="F2680">
        <v>-0.3446787790716</v>
      </c>
      <c r="G2680">
        <v>-0.067256297142159</v>
      </c>
      <c r="H2680">
        <v>0.9948314856982671</v>
      </c>
      <c r="I2680">
        <v>0.355363534850714</v>
      </c>
    </row>
    <row r="2681" spans="1:9">
      <c r="A2681" s="1" t="s">
        <v>2693</v>
      </c>
      <c r="B2681">
        <f>HYPERLINK("https://www.suredividend.com/sure-analysis-research-database/","Steel Connect Inc")</f>
        <v>0</v>
      </c>
      <c r="C2681">
        <v>0.007936507936507001</v>
      </c>
      <c r="D2681">
        <v>-0.111888111888111</v>
      </c>
      <c r="E2681">
        <v>-0.422727272727272</v>
      </c>
      <c r="F2681">
        <v>-0.09285714285714201</v>
      </c>
      <c r="G2681">
        <v>-0.298342541436464</v>
      </c>
      <c r="H2681">
        <v>0.859715917411041</v>
      </c>
      <c r="I2681">
        <v>-0.20625</v>
      </c>
    </row>
    <row r="2682" spans="1:9">
      <c r="A2682" s="1" t="s">
        <v>2694</v>
      </c>
      <c r="B2682">
        <f>HYPERLINK("https://www.suredividend.com/sure-analysis-research-database/","Steris Plc")</f>
        <v>0</v>
      </c>
      <c r="C2682">
        <v>0.076726568005637</v>
      </c>
      <c r="D2682">
        <v>0.044380845698134</v>
      </c>
      <c r="E2682">
        <v>0.09014158997636901</v>
      </c>
      <c r="F2682">
        <v>0.006237221886297</v>
      </c>
      <c r="G2682">
        <v>0.183694972177406</v>
      </c>
      <c r="H2682">
        <v>0.6540937229558791</v>
      </c>
      <c r="I2682">
        <v>2.720931648467395</v>
      </c>
    </row>
    <row r="2683" spans="1:9">
      <c r="A2683" s="1" t="s">
        <v>2695</v>
      </c>
      <c r="B2683">
        <f>HYPERLINK("https://www.suredividend.com/sure-analysis-research-database/","State Auto Financial Corp.")</f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2696</v>
      </c>
      <c r="B2684">
        <f>HYPERLINK("https://www.suredividend.com/sure-analysis-research-database/","Neuronetics Inc")</f>
        <v>0</v>
      </c>
      <c r="C2684">
        <v>-0.044444444444444</v>
      </c>
      <c r="D2684">
        <v>-0.249376558603491</v>
      </c>
      <c r="E2684">
        <v>-0.380658436213991</v>
      </c>
      <c r="F2684">
        <v>-0.325112107623318</v>
      </c>
      <c r="G2684">
        <v>-0.7382608695652171</v>
      </c>
      <c r="H2684">
        <v>0.399999999999999</v>
      </c>
      <c r="I2684">
        <v>-0.8916486681065511</v>
      </c>
    </row>
    <row r="2685" spans="1:9">
      <c r="A2685" s="1" t="s">
        <v>2697</v>
      </c>
      <c r="B2685">
        <f>HYPERLINK("https://www.suredividend.com/sure-analysis-research-database/","ONE Group Hospitality Inc")</f>
        <v>0</v>
      </c>
      <c r="C2685">
        <v>-0.04372093023255801</v>
      </c>
      <c r="D2685">
        <v>-0.189274447949526</v>
      </c>
      <c r="E2685">
        <v>-0.251819505094614</v>
      </c>
      <c r="F2685">
        <v>-0.1847739888977</v>
      </c>
      <c r="G2685">
        <v>0.13716814159292</v>
      </c>
      <c r="H2685">
        <v>6.907692307692307</v>
      </c>
      <c r="I2685">
        <v>3.781395348837209</v>
      </c>
    </row>
    <row r="2686" spans="1:9">
      <c r="A2686" s="1" t="s">
        <v>2698</v>
      </c>
      <c r="B2686">
        <f>HYPERLINK("https://www.suredividend.com/sure-analysis-research-database/","Sterling Bancorp.")</f>
        <v>0</v>
      </c>
      <c r="C2686">
        <v>0.021927318383418</v>
      </c>
      <c r="D2686">
        <v>0.035577544235587</v>
      </c>
      <c r="E2686">
        <v>0.217276153611082</v>
      </c>
      <c r="F2686">
        <v>0.021927318383418</v>
      </c>
      <c r="G2686">
        <v>0.440161271768128</v>
      </c>
      <c r="H2686">
        <v>0.3583755296062821</v>
      </c>
      <c r="I2686">
        <v>0.187717134479938</v>
      </c>
    </row>
    <row r="2687" spans="1:9">
      <c r="A2687" s="1" t="s">
        <v>2699</v>
      </c>
      <c r="B2687">
        <f>HYPERLINK("https://www.suredividend.com/sure-analysis-STLD/","Steel Dynamics Inc.")</f>
        <v>0</v>
      </c>
      <c r="C2687">
        <v>0.182218533738471</v>
      </c>
      <c r="D2687">
        <v>0.4254656731015981</v>
      </c>
      <c r="E2687">
        <v>0.4390669527855031</v>
      </c>
      <c r="F2687">
        <v>0.428682351114216</v>
      </c>
      <c r="G2687">
        <v>0.7441516021628111</v>
      </c>
      <c r="H2687">
        <v>3.160699479912565</v>
      </c>
      <c r="I2687">
        <v>2.030334221984333</v>
      </c>
    </row>
    <row r="2688" spans="1:9">
      <c r="A2688" s="1" t="s">
        <v>2700</v>
      </c>
      <c r="B2688">
        <f>HYPERLINK("https://www.suredividend.com/sure-analysis-research-database/","Stamps.com Inc.")</f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2701</v>
      </c>
      <c r="B2689">
        <f>HYPERLINK("https://www.suredividend.com/sure-analysis-research-database/","Standard AVB Financial Corp")</f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2702</v>
      </c>
      <c r="B2690">
        <f>HYPERLINK("https://www.suredividend.com/sure-analysis-STOR/","Store Capital Corp")</f>
        <v>0</v>
      </c>
      <c r="C2690">
        <v>0.03932103743580601</v>
      </c>
      <c r="D2690">
        <v>-0.09863265874601801</v>
      </c>
      <c r="E2690">
        <v>-0.104354575704151</v>
      </c>
      <c r="F2690">
        <v>-0.123524978213251</v>
      </c>
      <c r="G2690">
        <v>-0.103105238263091</v>
      </c>
      <c r="H2690">
        <v>1.007593383101688</v>
      </c>
      <c r="I2690">
        <v>0.5157069395651951</v>
      </c>
    </row>
    <row r="2691" spans="1:9">
      <c r="A2691" s="1" t="s">
        <v>2703</v>
      </c>
      <c r="B2691">
        <f>HYPERLINK("https://www.suredividend.com/sure-analysis-research-database/","Strategic Education Inc")</f>
        <v>0</v>
      </c>
      <c r="C2691">
        <v>0.188558277165872</v>
      </c>
      <c r="D2691">
        <v>0.258967750922894</v>
      </c>
      <c r="E2691">
        <v>0.025197453313103</v>
      </c>
      <c r="F2691">
        <v>0.262886507900464</v>
      </c>
      <c r="G2691">
        <v>-0.168533536964031</v>
      </c>
      <c r="H2691">
        <v>-0.485650502717942</v>
      </c>
      <c r="I2691">
        <v>0.03252378517792801</v>
      </c>
    </row>
    <row r="2692" spans="1:9">
      <c r="A2692" s="1" t="s">
        <v>2704</v>
      </c>
      <c r="B2692">
        <f>HYPERLINK("https://www.suredividend.com/sure-analysis-research-database/","Sterling Construction Company, Inc.")</f>
        <v>0</v>
      </c>
      <c r="C2692">
        <v>-0.084892584892584</v>
      </c>
      <c r="D2692">
        <v>-0.05306561491574</v>
      </c>
      <c r="E2692">
        <v>0.143290043290043</v>
      </c>
      <c r="F2692">
        <v>0.004182509505703</v>
      </c>
      <c r="G2692">
        <v>0.267882861257801</v>
      </c>
      <c r="H2692">
        <v>2.144047619047619</v>
      </c>
      <c r="I2692">
        <v>1.944258639910813</v>
      </c>
    </row>
    <row r="2693" spans="1:9">
      <c r="A2693" s="1" t="s">
        <v>2705</v>
      </c>
      <c r="B2693">
        <f>HYPERLINK("https://www.suredividend.com/sure-analysis-research-database/","Streamline Health Solutions, Inc")</f>
        <v>0</v>
      </c>
      <c r="C2693">
        <v>0.054029850746268</v>
      </c>
      <c r="D2693">
        <v>0.054029850746268</v>
      </c>
      <c r="E2693">
        <v>-0.169176470588235</v>
      </c>
      <c r="F2693">
        <v>-0.052080536912751</v>
      </c>
      <c r="G2693">
        <v>-0.317681159420289</v>
      </c>
      <c r="H2693">
        <v>0.605182407091715</v>
      </c>
      <c r="I2693">
        <v>0.07948639559767601</v>
      </c>
    </row>
    <row r="2694" spans="1:9">
      <c r="A2694" s="1" t="s">
        <v>2706</v>
      </c>
      <c r="B2694">
        <f>HYPERLINK("https://www.suredividend.com/sure-analysis-research-database/","Stratus Properties Inc.")</f>
        <v>0</v>
      </c>
      <c r="C2694">
        <v>0.012753188297074</v>
      </c>
      <c r="D2694">
        <v>0.174593967517401</v>
      </c>
      <c r="E2694">
        <v>0.281645569620253</v>
      </c>
      <c r="F2694">
        <v>0.107465135356849</v>
      </c>
      <c r="G2694">
        <v>0.172553561088592</v>
      </c>
      <c r="H2694">
        <v>2.161592505854801</v>
      </c>
      <c r="I2694">
        <v>0.5055762081784381</v>
      </c>
    </row>
    <row r="2695" spans="1:9">
      <c r="A2695" s="1" t="s">
        <v>2707</v>
      </c>
      <c r="B2695">
        <f>HYPERLINK("https://www.suredividend.com/sure-analysis-research-database/","Strattec Security Corp.")</f>
        <v>0</v>
      </c>
      <c r="C2695">
        <v>-0.07275204359673</v>
      </c>
      <c r="D2695">
        <v>-0.138917004048582</v>
      </c>
      <c r="E2695">
        <v>-0.133435192258721</v>
      </c>
      <c r="F2695">
        <v>-0.080767152890329</v>
      </c>
      <c r="G2695">
        <v>-0.338323935446237</v>
      </c>
      <c r="H2695">
        <v>1.709394904458598</v>
      </c>
      <c r="I2695">
        <v>0.507039197190521</v>
      </c>
    </row>
    <row r="2696" spans="1:9">
      <c r="A2696" s="1" t="s">
        <v>2708</v>
      </c>
      <c r="B2696">
        <f>HYPERLINK("https://www.suredividend.com/sure-analysis-STT/","State Street Corp.")</f>
        <v>0</v>
      </c>
      <c r="C2696">
        <v>-0.127706285209322</v>
      </c>
      <c r="D2696">
        <v>-0.264892686550086</v>
      </c>
      <c r="E2696">
        <v>-0.172314854442707</v>
      </c>
      <c r="F2696">
        <v>-0.17976294164426</v>
      </c>
      <c r="G2696">
        <v>-0.033295885928659</v>
      </c>
      <c r="H2696">
        <v>0.3701898312069271</v>
      </c>
      <c r="I2696">
        <v>0.118341178882957</v>
      </c>
    </row>
    <row r="2697" spans="1:9">
      <c r="A2697" s="1" t="s">
        <v>2709</v>
      </c>
      <c r="B2697">
        <f>HYPERLINK("https://www.suredividend.com/sure-analysis-STWD/","Starwood Property Trust Inc")</f>
        <v>0</v>
      </c>
      <c r="C2697">
        <v>0.051913518022871</v>
      </c>
      <c r="D2697">
        <v>-0.026483195676475</v>
      </c>
      <c r="E2697">
        <v>-0.013137781618519</v>
      </c>
      <c r="F2697">
        <v>0.015984657414673</v>
      </c>
      <c r="G2697">
        <v>0.02426332155776</v>
      </c>
      <c r="H2697">
        <v>1.489280977204726</v>
      </c>
      <c r="I2697">
        <v>0.680596434719831</v>
      </c>
    </row>
    <row r="2698" spans="1:9">
      <c r="A2698" s="1" t="s">
        <v>2710</v>
      </c>
      <c r="B2698">
        <f>HYPERLINK("https://www.suredividend.com/sure-analysis-STX/","Seagate Technology Holdings Plc")</f>
        <v>0</v>
      </c>
      <c r="C2698">
        <v>-0.09311475702025601</v>
      </c>
      <c r="D2698">
        <v>-0.248913179862274</v>
      </c>
      <c r="E2698">
        <v>0.007055947827549001</v>
      </c>
      <c r="F2698">
        <v>-0.274042169937088</v>
      </c>
      <c r="G2698">
        <v>-0.163912572840561</v>
      </c>
      <c r="H2698">
        <v>-0.163912572840561</v>
      </c>
      <c r="I2698">
        <v>-0.163912572840561</v>
      </c>
    </row>
    <row r="2699" spans="1:9">
      <c r="A2699" s="1" t="s">
        <v>2711</v>
      </c>
      <c r="B2699">
        <f>HYPERLINK("https://www.suredividend.com/sure-analysis-research-database/","Spirit of Texas Bancshares Inc")</f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2712</v>
      </c>
      <c r="B2700">
        <f>HYPERLINK("https://www.suredividend.com/sure-analysis-STZ/","Constellation Brands Inc")</f>
        <v>0</v>
      </c>
      <c r="C2700">
        <v>0.130790680939102</v>
      </c>
      <c r="D2700">
        <v>0.014425156388191</v>
      </c>
      <c r="E2700">
        <v>0.155964121065885</v>
      </c>
      <c r="F2700">
        <v>0.005007449015119</v>
      </c>
      <c r="G2700">
        <v>0.066676396380037</v>
      </c>
      <c r="H2700">
        <v>0.597389486150387</v>
      </c>
      <c r="I2700">
        <v>0.5961461912975681</v>
      </c>
    </row>
    <row r="2701" spans="1:9">
      <c r="A2701" s="1" t="s">
        <v>2713</v>
      </c>
      <c r="B2701">
        <f>HYPERLINK("https://www.suredividend.com/sure-analysis-research-database/","Sun Communities, Inc.")</f>
        <v>0</v>
      </c>
      <c r="C2701">
        <v>0.065133382731156</v>
      </c>
      <c r="D2701">
        <v>-0.05744994448716301</v>
      </c>
      <c r="E2701">
        <v>-0.038703601831218</v>
      </c>
      <c r="F2701">
        <v>-0.111856415351416</v>
      </c>
      <c r="G2701">
        <v>0.195075192884415</v>
      </c>
      <c r="H2701">
        <v>0.5416220508939631</v>
      </c>
      <c r="I2701">
        <v>1.553658758094567</v>
      </c>
    </row>
    <row r="2702" spans="1:9">
      <c r="A2702" s="1" t="s">
        <v>2714</v>
      </c>
      <c r="B2702">
        <f>HYPERLINK("https://www.suredividend.com/sure-analysis-research-database/","Summit Materials Inc")</f>
        <v>0</v>
      </c>
      <c r="C2702">
        <v>-0.075844486934353</v>
      </c>
      <c r="D2702">
        <v>-0.237644584647739</v>
      </c>
      <c r="E2702">
        <v>-0.132515704457074</v>
      </c>
      <c r="F2702">
        <v>-0.277528649725959</v>
      </c>
      <c r="G2702">
        <v>-0.014945652173913</v>
      </c>
      <c r="H2702">
        <v>1.225633154259401</v>
      </c>
      <c r="I2702">
        <v>0.192458726536318</v>
      </c>
    </row>
    <row r="2703" spans="1:9">
      <c r="A2703" s="1" t="s">
        <v>2715</v>
      </c>
      <c r="B2703">
        <f>HYPERLINK("https://www.suredividend.com/sure-analysis-research-database/","Summer Infant Inc")</f>
        <v>0</v>
      </c>
      <c r="C2703">
        <v>0.327334083239595</v>
      </c>
      <c r="D2703">
        <v>0.145075206210577</v>
      </c>
      <c r="E2703">
        <v>0.388235294117647</v>
      </c>
      <c r="F2703">
        <v>0.137349397590361</v>
      </c>
      <c r="G2703">
        <v>0.169474727452923</v>
      </c>
      <c r="H2703">
        <v>3.834084391642769</v>
      </c>
      <c r="I2703">
        <v>-0.275629220380601</v>
      </c>
    </row>
    <row r="2704" spans="1:9">
      <c r="A2704" s="1" t="s">
        <v>2716</v>
      </c>
      <c r="B2704">
        <f>HYPERLINK("https://www.suredividend.com/sure-analysis-research-database/","Sunworks Inc")</f>
        <v>0</v>
      </c>
      <c r="C2704">
        <v>-0.293515358361774</v>
      </c>
      <c r="D2704">
        <v>-0.203846153846153</v>
      </c>
      <c r="E2704">
        <v>-0.6729857819905211</v>
      </c>
      <c r="F2704">
        <v>-0.325732899022801</v>
      </c>
      <c r="G2704">
        <v>-0.8077994428969361</v>
      </c>
      <c r="H2704">
        <v>3.665314401622717</v>
      </c>
      <c r="I2704">
        <v>-0.7960591133004921</v>
      </c>
    </row>
    <row r="2705" spans="1:9">
      <c r="A2705" s="1" t="s">
        <v>2717</v>
      </c>
      <c r="B2705">
        <f>HYPERLINK("https://www.suredividend.com/sure-analysis-research-database/","Superior Industries International, Inc.")</f>
        <v>0</v>
      </c>
      <c r="C2705">
        <v>-0.152073732718893</v>
      </c>
      <c r="D2705">
        <v>-0.282651072124756</v>
      </c>
      <c r="E2705">
        <v>-0.4186413902053711</v>
      </c>
      <c r="F2705">
        <v>-0.178571428571428</v>
      </c>
      <c r="G2705">
        <v>-0.253549695740365</v>
      </c>
      <c r="H2705">
        <v>1.991869918699187</v>
      </c>
      <c r="I2705">
        <v>-0.8260672287972171</v>
      </c>
    </row>
    <row r="2706" spans="1:9">
      <c r="A2706" s="1" t="s">
        <v>2718</v>
      </c>
      <c r="B2706">
        <f>HYPERLINK("https://www.suredividend.com/sure-analysis-research-database/","Supernus Pharmaceuticals Inc")</f>
        <v>0</v>
      </c>
      <c r="C2706">
        <v>0.0006435006435</v>
      </c>
      <c r="D2706">
        <v>0.024374176548089</v>
      </c>
      <c r="E2706">
        <v>-0.017687934301958</v>
      </c>
      <c r="F2706">
        <v>0.066529492455418</v>
      </c>
      <c r="G2706">
        <v>-0.018927444794952</v>
      </c>
      <c r="H2706">
        <v>0.6631016042780751</v>
      </c>
      <c r="I2706">
        <v>0.001610305958132</v>
      </c>
    </row>
    <row r="2707" spans="1:9">
      <c r="A2707" s="1" t="s">
        <v>2719</v>
      </c>
      <c r="B2707">
        <f>HYPERLINK("https://www.suredividend.com/sure-analysis-research-database/","Severn Bancorp Inc")</f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2720</v>
      </c>
      <c r="B2708">
        <f>HYPERLINK("https://www.suredividend.com/sure-analysis-research-database/","Savara Inc")</f>
        <v>0</v>
      </c>
      <c r="C2708">
        <v>0.145454545454545</v>
      </c>
      <c r="D2708">
        <v>-0.03076923076923</v>
      </c>
      <c r="E2708">
        <v>-0.023255813953488</v>
      </c>
      <c r="F2708">
        <v>0.016129032258064</v>
      </c>
      <c r="G2708">
        <v>-0.28</v>
      </c>
      <c r="H2708">
        <v>-0.4449339207048451</v>
      </c>
      <c r="I2708">
        <v>8</v>
      </c>
    </row>
    <row r="2709" spans="1:9">
      <c r="A2709" s="1" t="s">
        <v>2721</v>
      </c>
      <c r="B2709">
        <f>HYPERLINK("https://www.suredividend.com/sure-analysis-research-database/","Servotronics, Inc.")</f>
        <v>0</v>
      </c>
      <c r="C2709">
        <v>-0.192999040774053</v>
      </c>
      <c r="D2709">
        <v>-0.199310344827586</v>
      </c>
      <c r="E2709">
        <v>-0.014431239388794</v>
      </c>
      <c r="F2709">
        <v>-0.08438485804416401</v>
      </c>
      <c r="G2709">
        <v>0.5216251638269981</v>
      </c>
      <c r="H2709">
        <v>0.632911392405063</v>
      </c>
      <c r="I2709">
        <v>0.13853667147186</v>
      </c>
    </row>
    <row r="2710" spans="1:9">
      <c r="A2710" s="1" t="s">
        <v>2722</v>
      </c>
      <c r="B2710">
        <f>HYPERLINK("https://www.suredividend.com/sure-analysis-research-database/","ShockWave Medical Inc")</f>
        <v>0</v>
      </c>
      <c r="C2710">
        <v>0.256952769120115</v>
      </c>
      <c r="D2710">
        <v>0.255898910049107</v>
      </c>
      <c r="E2710">
        <v>0.08332472362847301</v>
      </c>
      <c r="F2710">
        <v>0.175965905904783</v>
      </c>
      <c r="G2710">
        <v>0.516670282780068</v>
      </c>
      <c r="H2710">
        <v>4.619239013933548</v>
      </c>
      <c r="I2710">
        <v>5.875737704918033</v>
      </c>
    </row>
    <row r="2711" spans="1:9">
      <c r="A2711" s="1" t="s">
        <v>2723</v>
      </c>
      <c r="B2711">
        <f>HYPERLINK("https://www.suredividend.com/sure-analysis-research-database/","Switch Inc")</f>
        <v>0</v>
      </c>
      <c r="C2711">
        <v>0.123222748815165</v>
      </c>
      <c r="D2711">
        <v>0.198352411290416</v>
      </c>
      <c r="E2711">
        <v>0.223983886794401</v>
      </c>
      <c r="F2711">
        <v>0.07784933898204201</v>
      </c>
      <c r="G2711">
        <v>0.753028397808287</v>
      </c>
      <c r="H2711">
        <v>0.8785554451280111</v>
      </c>
      <c r="I2711">
        <v>0.5314567479036291</v>
      </c>
    </row>
    <row r="2712" spans="1:9">
      <c r="A2712" s="1" t="s">
        <v>2724</v>
      </c>
      <c r="B2712">
        <f>HYPERLINK("https://www.suredividend.com/sure-analysis-SWK/","Stanley Black &amp; Decker Inc")</f>
        <v>0</v>
      </c>
      <c r="C2712">
        <v>-0.054447439353099</v>
      </c>
      <c r="D2712">
        <v>-0.26805578883785</v>
      </c>
      <c r="E2712">
        <v>-0.220473460154538</v>
      </c>
      <c r="F2712">
        <v>-0.252417310119484</v>
      </c>
      <c r="G2712">
        <v>-0.30534825408848</v>
      </c>
      <c r="H2712">
        <v>0.360260651998367</v>
      </c>
      <c r="I2712">
        <v>0.174925981002907</v>
      </c>
    </row>
    <row r="2713" spans="1:9">
      <c r="A2713" s="1" t="s">
        <v>2725</v>
      </c>
      <c r="B2713">
        <f>HYPERLINK("https://www.suredividend.com/sure-analysis-SWKS/","Skyworks Solutions, Inc.")</f>
        <v>0</v>
      </c>
      <c r="C2713">
        <v>-0.101777676050965</v>
      </c>
      <c r="D2713">
        <v>-0.240506002473371</v>
      </c>
      <c r="E2713">
        <v>-0.261019119474747</v>
      </c>
      <c r="F2713">
        <v>-0.238009309839537</v>
      </c>
      <c r="G2713">
        <v>-0.371033566068187</v>
      </c>
      <c r="H2713">
        <v>0.273409292978239</v>
      </c>
      <c r="I2713">
        <v>0.30498928673961</v>
      </c>
    </row>
    <row r="2714" spans="1:9">
      <c r="A2714" s="1" t="s">
        <v>2726</v>
      </c>
      <c r="B2714">
        <f>HYPERLINK("https://www.suredividend.com/sure-analysis-research-database/","Schweitzer-Mauduit International, Inc.")</f>
        <v>0</v>
      </c>
      <c r="C2714">
        <v>-0.122401073105298</v>
      </c>
      <c r="D2714">
        <v>-0.169525356926386</v>
      </c>
      <c r="E2714">
        <v>-0.261093480004065</v>
      </c>
      <c r="F2714">
        <v>-0.111474775322289</v>
      </c>
      <c r="G2714">
        <v>-0.446889094605847</v>
      </c>
      <c r="H2714">
        <v>0.09849518332738601</v>
      </c>
      <c r="I2714">
        <v>-0.194387494381953</v>
      </c>
    </row>
    <row r="2715" spans="1:9">
      <c r="A2715" s="1" t="s">
        <v>2727</v>
      </c>
      <c r="B2715">
        <f>HYPERLINK("https://www.suredividend.com/sure-analysis-research-database/","Southwestern Energy Company")</f>
        <v>0</v>
      </c>
      <c r="C2715">
        <v>0.5599999999999991</v>
      </c>
      <c r="D2715">
        <v>0.6612576064908721</v>
      </c>
      <c r="E2715">
        <v>0.602739726027397</v>
      </c>
      <c r="F2715">
        <v>0.7575107296137331</v>
      </c>
      <c r="G2715">
        <v>0.9782608695652171</v>
      </c>
      <c r="H2715">
        <v>2.426778242677824</v>
      </c>
      <c r="I2715">
        <v>0.09491978609625601</v>
      </c>
    </row>
    <row r="2716" spans="1:9">
      <c r="A2716" s="1" t="s">
        <v>2728</v>
      </c>
      <c r="B2716">
        <f>HYPERLINK("https://www.suredividend.com/sure-analysis-SWX/","Southwest Gas Holdings Inc")</f>
        <v>0</v>
      </c>
      <c r="C2716">
        <v>0.071336925840389</v>
      </c>
      <c r="D2716">
        <v>0.28173443997415</v>
      </c>
      <c r="E2716">
        <v>0.235545230573455</v>
      </c>
      <c r="F2716">
        <v>0.202689992611018</v>
      </c>
      <c r="G2716">
        <v>0.193662012099587</v>
      </c>
      <c r="H2716">
        <v>0.176039774087688</v>
      </c>
      <c r="I2716">
        <v>0.153437589356879</v>
      </c>
    </row>
    <row r="2717" spans="1:9">
      <c r="A2717" s="1" t="s">
        <v>2729</v>
      </c>
      <c r="B2717">
        <f>HYPERLINK("https://www.suredividend.com/sure-analysis-research-database/","SunCoke Energy Inc")</f>
        <v>0</v>
      </c>
      <c r="C2717">
        <v>0.170343137254902</v>
      </c>
      <c r="D2717">
        <v>0.285104894163874</v>
      </c>
      <c r="E2717">
        <v>0.410072792239431</v>
      </c>
      <c r="F2717">
        <v>0.460601982136302</v>
      </c>
      <c r="G2717">
        <v>0.480367689231294</v>
      </c>
      <c r="H2717">
        <v>2.394228035257321</v>
      </c>
      <c r="I2717">
        <v>0.261092330445806</v>
      </c>
    </row>
    <row r="2718" spans="1:9">
      <c r="A2718" s="1" t="s">
        <v>2730</v>
      </c>
      <c r="B2718">
        <f>HYPERLINK("https://www.suredividend.com/sure-analysis-research-database/","Standex International Corp.")</f>
        <v>0</v>
      </c>
      <c r="C2718">
        <v>-0.07856605193827601</v>
      </c>
      <c r="D2718">
        <v>-0.09371486213231001</v>
      </c>
      <c r="E2718">
        <v>-0.068528278484648</v>
      </c>
      <c r="F2718">
        <v>-0.112878971798374</v>
      </c>
      <c r="G2718">
        <v>0.028842901057523</v>
      </c>
      <c r="H2718">
        <v>1.271251379959737</v>
      </c>
      <c r="I2718">
        <v>0.1455877966181</v>
      </c>
    </row>
    <row r="2719" spans="1:9">
      <c r="A2719" s="1" t="s">
        <v>2731</v>
      </c>
      <c r="B2719">
        <f>HYPERLINK("https://www.suredividend.com/sure-analysis-research-database/","Sensient Technologies Corp.")</f>
        <v>0</v>
      </c>
      <c r="C2719">
        <v>0.029341990260956</v>
      </c>
      <c r="D2719">
        <v>-0.09955665944695401</v>
      </c>
      <c r="E2719">
        <v>-0.135190931463566</v>
      </c>
      <c r="F2719">
        <v>-0.172088828722612</v>
      </c>
      <c r="G2719">
        <v>0.034491845408469</v>
      </c>
      <c r="H2719">
        <v>0.969906594312504</v>
      </c>
      <c r="I2719">
        <v>0.160981229113533</v>
      </c>
    </row>
    <row r="2720" spans="1:9">
      <c r="A2720" s="1" t="s">
        <v>2732</v>
      </c>
      <c r="B2720">
        <f>HYPERLINK("https://www.suredividend.com/sure-analysis-research-database/","Stock Yards Bancorp Inc")</f>
        <v>0</v>
      </c>
      <c r="C2720">
        <v>-0.05416089419513</v>
      </c>
      <c r="D2720">
        <v>-0.192797075746461</v>
      </c>
      <c r="E2720">
        <v>-0.156959688902609</v>
      </c>
      <c r="F2720">
        <v>-0.179276737625032</v>
      </c>
      <c r="G2720">
        <v>0.027864265163756</v>
      </c>
      <c r="H2720">
        <v>1.039427896683583</v>
      </c>
      <c r="I2720">
        <v>0.533928161815305</v>
      </c>
    </row>
    <row r="2721" spans="1:9">
      <c r="A2721" s="1" t="s">
        <v>2733</v>
      </c>
      <c r="B2721">
        <f>HYPERLINK("https://www.suredividend.com/sure-analysis-research-database/","Synlogic Inc")</f>
        <v>0</v>
      </c>
      <c r="C2721">
        <v>-0.07476635514018601</v>
      </c>
      <c r="D2721">
        <v>-0.03414634146341401</v>
      </c>
      <c r="E2721">
        <v>-0.266666666666666</v>
      </c>
      <c r="F2721">
        <v>-0.181818181818181</v>
      </c>
      <c r="G2721">
        <v>-0.417647058823529</v>
      </c>
      <c r="H2721">
        <v>0.058823529411764</v>
      </c>
      <c r="I2721">
        <v>-0.8640109890109891</v>
      </c>
    </row>
    <row r="2722" spans="1:9">
      <c r="A2722" s="1" t="s">
        <v>2734</v>
      </c>
      <c r="B2722">
        <f>HYPERLINK("https://www.suredividend.com/sure-analysis-SYF/","Synchrony Financial")</f>
        <v>0</v>
      </c>
      <c r="C2722">
        <v>0.0007963897000260001</v>
      </c>
      <c r="D2722">
        <v>-0.221500624657986</v>
      </c>
      <c r="E2722">
        <v>-0.241366265147521</v>
      </c>
      <c r="F2722">
        <v>-0.183238405560044</v>
      </c>
      <c r="G2722">
        <v>-0.07145144208270701</v>
      </c>
      <c r="H2722">
        <v>1.81028699217294</v>
      </c>
      <c r="I2722">
        <v>0.318117294957589</v>
      </c>
    </row>
    <row r="2723" spans="1:9">
      <c r="A2723" s="1" t="s">
        <v>2735</v>
      </c>
      <c r="B2723">
        <f>HYPERLINK("https://www.suredividend.com/sure-analysis-SYK/","Stryker Corp.")</f>
        <v>0</v>
      </c>
      <c r="C2723">
        <v>0.0007935218027280001</v>
      </c>
      <c r="D2723">
        <v>-0.016279687810701</v>
      </c>
      <c r="E2723">
        <v>-0.012307098896478</v>
      </c>
      <c r="F2723">
        <v>-0.018891493598051</v>
      </c>
      <c r="G2723">
        <v>0.027892937311099</v>
      </c>
      <c r="H2723">
        <v>0.5291493734110311</v>
      </c>
      <c r="I2723">
        <v>1.130361518360834</v>
      </c>
    </row>
    <row r="2724" spans="1:9">
      <c r="A2724" s="1" t="s">
        <v>2736</v>
      </c>
      <c r="B2724">
        <f>HYPERLINK("https://www.suredividend.com/sure-analysis-research-database/","Sykes Enterprises, Inc.")</f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 t="s">
        <v>2737</v>
      </c>
      <c r="B2725">
        <f>HYPERLINK("https://www.suredividend.com/sure-analysis-research-database/","Synthetic Biologics Inc")</f>
        <v>0</v>
      </c>
      <c r="C2725">
        <v>0.051170170567235</v>
      </c>
      <c r="D2725">
        <v>0.005311077389984001</v>
      </c>
      <c r="E2725">
        <v>-0.390384172992868</v>
      </c>
      <c r="F2725">
        <v>-0.026451138868479</v>
      </c>
      <c r="G2725">
        <v>-0.500471253534401</v>
      </c>
      <c r="H2725">
        <v>-0.248866213151927</v>
      </c>
      <c r="I2725">
        <v>-0.9848571428571421</v>
      </c>
    </row>
    <row r="2726" spans="1:9">
      <c r="A2726" s="1" t="s">
        <v>2738</v>
      </c>
      <c r="B2726">
        <f>HYPERLINK("https://www.suredividend.com/sure-analysis-research-database/","Synaptics Inc")</f>
        <v>0</v>
      </c>
      <c r="C2726">
        <v>-0.333275170127377</v>
      </c>
      <c r="D2726">
        <v>-0.377611271735146</v>
      </c>
      <c r="E2726">
        <v>-0.119280857439207</v>
      </c>
      <c r="F2726">
        <v>-0.472073503505923</v>
      </c>
      <c r="G2726">
        <v>0.138897168405365</v>
      </c>
      <c r="H2726">
        <v>1.512576031563373</v>
      </c>
      <c r="I2726">
        <v>2.05618876224755</v>
      </c>
    </row>
    <row r="2727" spans="1:9">
      <c r="A2727" s="1" t="s">
        <v>2739</v>
      </c>
      <c r="B2727">
        <f>HYPERLINK("https://www.suredividend.com/sure-analysis-research-database/","Synacor Inc")</f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 t="s">
        <v>2740</v>
      </c>
      <c r="B2728">
        <f>HYPERLINK("https://www.suredividend.com/sure-analysis-research-database/","Syneos Health Inc")</f>
        <v>0</v>
      </c>
      <c r="C2728">
        <v>0.009412650602409001</v>
      </c>
      <c r="D2728">
        <v>-0.106234026002889</v>
      </c>
      <c r="E2728">
        <v>-0.08300079808459601</v>
      </c>
      <c r="F2728">
        <v>-0.216692637319828</v>
      </c>
      <c r="G2728">
        <v>-0.067478260869565</v>
      </c>
      <c r="H2728">
        <v>0.6586925139203961</v>
      </c>
      <c r="I2728">
        <v>0.8726426076833521</v>
      </c>
    </row>
    <row r="2729" spans="1:9">
      <c r="A2729" s="1" t="s">
        <v>2741</v>
      </c>
      <c r="B2729">
        <f>HYPERLINK("https://www.suredividend.com/sure-analysis-research-database/","Synalloy Corp.")</f>
        <v>0</v>
      </c>
      <c r="C2729">
        <v>-0.154007333682556</v>
      </c>
      <c r="D2729">
        <v>-0.06647398843930601</v>
      </c>
      <c r="E2729">
        <v>0.502325581395348</v>
      </c>
      <c r="F2729">
        <v>-0.017041996348143</v>
      </c>
      <c r="G2729">
        <v>0.619859578736208</v>
      </c>
      <c r="H2729">
        <v>0.9695121951219511</v>
      </c>
      <c r="I2729">
        <v>0.370118687061498</v>
      </c>
    </row>
    <row r="2730" spans="1:9">
      <c r="A2730" s="1" t="s">
        <v>2742</v>
      </c>
      <c r="B2730">
        <f>HYPERLINK("https://www.suredividend.com/sure-analysis-research-database/","Sypris Solutions, Inc.")</f>
        <v>0</v>
      </c>
      <c r="C2730">
        <v>0</v>
      </c>
      <c r="D2730">
        <v>0.026315789473684</v>
      </c>
      <c r="E2730">
        <v>-0.4207920792079201</v>
      </c>
      <c r="F2730">
        <v>-0.048780487804878</v>
      </c>
      <c r="G2730">
        <v>-0.167259786476868</v>
      </c>
      <c r="H2730">
        <v>3</v>
      </c>
      <c r="I2730">
        <v>1.25</v>
      </c>
    </row>
    <row r="2731" spans="1:9">
      <c r="A2731" s="1" t="s">
        <v>2743</v>
      </c>
      <c r="B2731">
        <f>HYPERLINK("https://www.suredividend.com/sure-analysis-research-database/","Syros Pharmaceuticals Inc.")</f>
        <v>0</v>
      </c>
      <c r="C2731">
        <v>-0.176090909090909</v>
      </c>
      <c r="D2731">
        <v>-0.663085501858736</v>
      </c>
      <c r="E2731">
        <v>-0.7999337748344371</v>
      </c>
      <c r="F2731">
        <v>-0.7219938650306741</v>
      </c>
      <c r="G2731">
        <v>-0.854292604501607</v>
      </c>
      <c r="H2731">
        <v>-0.896185567010309</v>
      </c>
      <c r="I2731">
        <v>-0.9377968428277281</v>
      </c>
    </row>
    <row r="2732" spans="1:9">
      <c r="A2732" s="1" t="s">
        <v>2744</v>
      </c>
      <c r="B2732">
        <f>HYPERLINK("https://www.suredividend.com/sure-analysis-SYY/","Sysco Corp.")</f>
        <v>0</v>
      </c>
      <c r="C2732">
        <v>0.0834332791219</v>
      </c>
      <c r="D2732">
        <v>0.08737164111568001</v>
      </c>
      <c r="E2732">
        <v>0.06145409490952301</v>
      </c>
      <c r="F2732">
        <v>0.111048148424802</v>
      </c>
      <c r="G2732">
        <v>0.09628138609004801</v>
      </c>
      <c r="H2732">
        <v>0.9839024951132571</v>
      </c>
      <c r="I2732">
        <v>0.8596079023096901</v>
      </c>
    </row>
    <row r="2733" spans="1:9">
      <c r="A2733" s="1" t="s">
        <v>2745</v>
      </c>
      <c r="B2733">
        <f>HYPERLINK("https://www.suredividend.com/sure-analysis-T/","AT&amp;T, Inc.")</f>
        <v>0</v>
      </c>
      <c r="C2733">
        <v>-0.145269235816456</v>
      </c>
      <c r="D2733">
        <v>-0.270743140357686</v>
      </c>
      <c r="E2733">
        <v>-0.213074085410055</v>
      </c>
      <c r="F2733">
        <v>-0.177886233591383</v>
      </c>
      <c r="G2733">
        <v>-0.311634919907983</v>
      </c>
      <c r="H2733">
        <v>-0.266912779878744</v>
      </c>
      <c r="I2733">
        <v>-0.346352755420856</v>
      </c>
    </row>
    <row r="2734" spans="1:9">
      <c r="A2734" s="1" t="s">
        <v>2746</v>
      </c>
      <c r="B2734">
        <f>HYPERLINK("https://www.suredividend.com/sure-analysis-research-database/","Del Taco Restaurants Inc")</f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2747</v>
      </c>
      <c r="B2735">
        <f>HYPERLINK("https://www.suredividend.com/sure-analysis-research-database/","Transact Technologies Inc.")</f>
        <v>0</v>
      </c>
      <c r="C2735">
        <v>0.192686357243319</v>
      </c>
      <c r="D2735">
        <v>-0.130051191563137</v>
      </c>
      <c r="E2735">
        <v>-0.398581560283687</v>
      </c>
      <c r="F2735">
        <v>-0.222018348623853</v>
      </c>
      <c r="G2735">
        <v>-0.287394957983193</v>
      </c>
      <c r="H2735">
        <v>1.349030470914127</v>
      </c>
      <c r="I2735">
        <v>0.124236036537671</v>
      </c>
    </row>
    <row r="2736" spans="1:9">
      <c r="A2736" s="1" t="s">
        <v>2748</v>
      </c>
      <c r="B2736">
        <f>HYPERLINK("https://www.suredividend.com/sure-analysis-research-database/","Taitron Components Inc.")</f>
        <v>0</v>
      </c>
      <c r="C2736">
        <v>-0.034574468085106</v>
      </c>
      <c r="D2736">
        <v>-0.060510378383974</v>
      </c>
      <c r="E2736">
        <v>-0.09295352323838001</v>
      </c>
      <c r="F2736">
        <v>-0.088489353153877</v>
      </c>
      <c r="G2736">
        <v>-0.135631964949042</v>
      </c>
      <c r="H2736">
        <v>0.699279093717816</v>
      </c>
      <c r="I2736">
        <v>3.019933554817276</v>
      </c>
    </row>
    <row r="2737" spans="1:9">
      <c r="A2737" s="1" t="s">
        <v>2749</v>
      </c>
      <c r="B2737">
        <f>HYPERLINK("https://www.suredividend.com/sure-analysis-research-database/","Talos Energy Inc")</f>
        <v>0</v>
      </c>
      <c r="C2737">
        <v>0.403940886699507</v>
      </c>
      <c r="D2737">
        <v>0.7639257294429701</v>
      </c>
      <c r="E2737">
        <v>0.5909090909090911</v>
      </c>
      <c r="F2737">
        <v>1.035714285714285</v>
      </c>
      <c r="G2737">
        <v>0.6906779661016941</v>
      </c>
      <c r="H2737">
        <v>2.171701112877583</v>
      </c>
      <c r="I2737">
        <v>-0.4511691884456671</v>
      </c>
    </row>
    <row r="2738" spans="1:9">
      <c r="A2738" s="1" t="s">
        <v>2750</v>
      </c>
      <c r="B2738">
        <f>HYPERLINK("https://www.suredividend.com/sure-analysis-TAP/","Molson Coors Beverage Company")</f>
        <v>0</v>
      </c>
      <c r="C2738">
        <v>0.066756186456934</v>
      </c>
      <c r="D2738">
        <v>0.083893049128948</v>
      </c>
      <c r="E2738">
        <v>0.237681056201981</v>
      </c>
      <c r="F2738">
        <v>0.208768516807773</v>
      </c>
      <c r="G2738">
        <v>0.06364055414123501</v>
      </c>
      <c r="H2738">
        <v>0.317416622049967</v>
      </c>
      <c r="I2738">
        <v>-0.351477048631641</v>
      </c>
    </row>
    <row r="2739" spans="1:9">
      <c r="A2739" s="1" t="s">
        <v>2751</v>
      </c>
      <c r="B2739">
        <f>HYPERLINK("https://www.suredividend.com/sure-analysis-research-database/","Carrols Restaurant Group Inc.")</f>
        <v>0</v>
      </c>
      <c r="C2739">
        <v>-0.07834101382488401</v>
      </c>
      <c r="D2739">
        <v>-0.288256227758007</v>
      </c>
      <c r="E2739">
        <v>-0.4609164420485171</v>
      </c>
      <c r="F2739">
        <v>-0.324324324324324</v>
      </c>
      <c r="G2739">
        <v>-0.611974467919989</v>
      </c>
      <c r="H2739">
        <v>-0.24000607995136</v>
      </c>
      <c r="I2739">
        <v>-0.775333909976297</v>
      </c>
    </row>
    <row r="2740" spans="1:9">
      <c r="A2740" s="1" t="s">
        <v>2752</v>
      </c>
      <c r="B2740">
        <f>HYPERLINK("https://www.suredividend.com/sure-analysis-research-database/","TransAtlantic Petroleum Ltd")</f>
        <v>0</v>
      </c>
      <c r="C2740">
        <v>0.172545281220209</v>
      </c>
      <c r="D2740">
        <v>-0.088888888888889</v>
      </c>
      <c r="E2740">
        <v>-0.321004692243996</v>
      </c>
      <c r="F2740">
        <v>-0.496211345484333</v>
      </c>
      <c r="G2740">
        <v>-0.470398277717976</v>
      </c>
      <c r="H2740">
        <v>-0.761165048543689</v>
      </c>
      <c r="I2740">
        <v>-0.7915254237288131</v>
      </c>
    </row>
    <row r="2741" spans="1:9">
      <c r="A2741" s="1" t="s">
        <v>2753</v>
      </c>
      <c r="B2741">
        <f>HYPERLINK("https://www.suredividend.com/sure-analysis-research-database/","Taylor Devices Inc.")</f>
        <v>0</v>
      </c>
      <c r="C2741">
        <v>-0.045226130653266</v>
      </c>
      <c r="D2741">
        <v>-0.10377358490566</v>
      </c>
      <c r="E2741">
        <v>-0.187339606501283</v>
      </c>
      <c r="F2741">
        <v>-0.130291489673355</v>
      </c>
      <c r="G2741">
        <v>-0.208992506244796</v>
      </c>
      <c r="H2741">
        <v>-0.04904904904904901</v>
      </c>
      <c r="I2741">
        <v>-0.321428571428571</v>
      </c>
    </row>
    <row r="2742" spans="1:9">
      <c r="A2742" s="1" t="s">
        <v>2754</v>
      </c>
      <c r="B2742">
        <f>HYPERLINK("https://www.suredividend.com/sure-analysis-research-database/","Bancorp Inc. (The)")</f>
        <v>0</v>
      </c>
      <c r="C2742">
        <v>-0.151647612642905</v>
      </c>
      <c r="D2742">
        <v>-0.21450809464508</v>
      </c>
      <c r="E2742">
        <v>-0.153923541247484</v>
      </c>
      <c r="F2742">
        <v>-0.003160806005531</v>
      </c>
      <c r="G2742">
        <v>0.10126582278481</v>
      </c>
      <c r="H2742">
        <v>3.537769784172662</v>
      </c>
      <c r="I2742">
        <v>4.148979591836734</v>
      </c>
    </row>
    <row r="2743" spans="1:9">
      <c r="A2743" s="1" t="s">
        <v>2755</v>
      </c>
      <c r="B2743">
        <f>HYPERLINK("https://www.suredividend.com/sure-analysis-research-database/","TrueBlue Inc")</f>
        <v>0</v>
      </c>
      <c r="C2743">
        <v>-0.013282069206571</v>
      </c>
      <c r="D2743">
        <v>-0.03651877133105801</v>
      </c>
      <c r="E2743">
        <v>-0.09082125603864701</v>
      </c>
      <c r="F2743">
        <v>0.020238525478857</v>
      </c>
      <c r="G2743">
        <v>0.226857887874837</v>
      </c>
      <c r="H2743">
        <v>1.048621190130624</v>
      </c>
      <c r="I2743">
        <v>0.107058823529411</v>
      </c>
    </row>
    <row r="2744" spans="1:9">
      <c r="A2744" s="1" t="s">
        <v>2756</v>
      </c>
      <c r="B2744">
        <f>HYPERLINK("https://www.suredividend.com/sure-analysis-research-database/","Translate Bio Inc")</f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 t="s">
        <v>2757</v>
      </c>
      <c r="B2745">
        <f>HYPERLINK("https://www.suredividend.com/sure-analysis-research-database/","Triumph Bancorp Inc")</f>
        <v>0</v>
      </c>
      <c r="C2745">
        <v>-0.244313647246608</v>
      </c>
      <c r="D2745">
        <v>-0.36817082325465</v>
      </c>
      <c r="E2745">
        <v>-0.295348837209302</v>
      </c>
      <c r="F2745">
        <v>-0.3638730265367821</v>
      </c>
      <c r="G2745">
        <v>-0.214863184079602</v>
      </c>
      <c r="H2745">
        <v>2.217926932880204</v>
      </c>
      <c r="I2745">
        <v>2.15625</v>
      </c>
    </row>
    <row r="2746" spans="1:9">
      <c r="A2746" s="1" t="s">
        <v>2758</v>
      </c>
      <c r="B2746">
        <f>HYPERLINK("https://www.suredividend.com/sure-analysis-research-database/","Territorial Bancorp Inc")</f>
        <v>0</v>
      </c>
      <c r="C2746">
        <v>-0.057258064516129</v>
      </c>
      <c r="D2746">
        <v>-0.06068580382073401</v>
      </c>
      <c r="E2746">
        <v>-0.040332312643149</v>
      </c>
      <c r="F2746">
        <v>-0.06552515248167401</v>
      </c>
      <c r="G2746">
        <v>-0.07739175729641801</v>
      </c>
      <c r="H2746">
        <v>0.084541342920097</v>
      </c>
      <c r="I2746">
        <v>-0.06448192385411</v>
      </c>
    </row>
    <row r="2747" spans="1:9">
      <c r="A2747" s="1" t="s">
        <v>2759</v>
      </c>
      <c r="B2747">
        <f>HYPERLINK("https://www.suredividend.com/sure-analysis-research-database/","Theravance Biopharma Inc")</f>
        <v>0</v>
      </c>
      <c r="C2747">
        <v>-0.006006006006006001</v>
      </c>
      <c r="D2747">
        <v>0.005060728744939001</v>
      </c>
      <c r="E2747">
        <v>0.242803504380475</v>
      </c>
      <c r="F2747">
        <v>-0.101357466063348</v>
      </c>
      <c r="G2747">
        <v>-0.542607093505297</v>
      </c>
      <c r="H2747">
        <v>-0.6192484662576681</v>
      </c>
      <c r="I2747">
        <v>-0.737579281183932</v>
      </c>
    </row>
    <row r="2748" spans="1:9">
      <c r="A2748" s="1" t="s">
        <v>2760</v>
      </c>
      <c r="B2748">
        <f>HYPERLINK("https://www.suredividend.com/sure-analysis-research-database/","Texas Capital Bancshares, Inc.")</f>
        <v>0</v>
      </c>
      <c r="C2748">
        <v>-0.128466238445871</v>
      </c>
      <c r="D2748">
        <v>-0.167962907568052</v>
      </c>
      <c r="E2748">
        <v>-0.076067098488623</v>
      </c>
      <c r="F2748">
        <v>-0.07668049792531101</v>
      </c>
      <c r="G2748">
        <v>-0.152498476538695</v>
      </c>
      <c r="H2748">
        <v>1.494618834080717</v>
      </c>
      <c r="I2748">
        <v>-0.285420680796403</v>
      </c>
    </row>
    <row r="2749" spans="1:9">
      <c r="A2749" s="1" t="s">
        <v>2761</v>
      </c>
      <c r="B2749">
        <f>HYPERLINK("https://www.suredividend.com/sure-analysis-research-database/","Trico Bancshares")</f>
        <v>0</v>
      </c>
      <c r="C2749">
        <v>-0.102712728958961</v>
      </c>
      <c r="D2749">
        <v>-0.133316910397957</v>
      </c>
      <c r="E2749">
        <v>-0.09848629559399701</v>
      </c>
      <c r="F2749">
        <v>-0.093776563235428</v>
      </c>
      <c r="G2749">
        <v>-0.158880332796494</v>
      </c>
      <c r="H2749">
        <v>0.480348092187052</v>
      </c>
      <c r="I2749">
        <v>0.30867478924249</v>
      </c>
    </row>
    <row r="2750" spans="1:9">
      <c r="A2750" s="1" t="s">
        <v>2762</v>
      </c>
      <c r="B2750">
        <f>HYPERLINK("https://www.suredividend.com/sure-analysis-research-database/","Tricida Inc")</f>
        <v>0</v>
      </c>
      <c r="C2750">
        <v>0.193865030674846</v>
      </c>
      <c r="D2750">
        <v>0.092031425364758</v>
      </c>
      <c r="E2750">
        <v>1.039832285115304</v>
      </c>
      <c r="F2750">
        <v>0.017782426778242</v>
      </c>
      <c r="G2750">
        <v>1.079059829059829</v>
      </c>
      <c r="H2750">
        <v>-0.6372110365398951</v>
      </c>
      <c r="I2750">
        <v>-0.6257692307692301</v>
      </c>
    </row>
    <row r="2751" spans="1:9">
      <c r="A2751" s="1" t="s">
        <v>2763</v>
      </c>
      <c r="B2751">
        <f>HYPERLINK("https://www.suredividend.com/sure-analysis-research-database/","TCF Financial Corp")</f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 t="s">
        <v>2764</v>
      </c>
      <c r="B2752">
        <f>HYPERLINK("https://www.suredividend.com/sure-analysis-research-database/","Community Financial Corp")</f>
        <v>0</v>
      </c>
      <c r="C2752">
        <v>-0.023278365665785</v>
      </c>
      <c r="D2752">
        <v>-0.006214970857787001</v>
      </c>
      <c r="E2752">
        <v>0.057954693117338</v>
      </c>
      <c r="F2752">
        <v>0.003051761885572</v>
      </c>
      <c r="G2752">
        <v>0.150711391689437</v>
      </c>
      <c r="H2752">
        <v>1.196727393325501</v>
      </c>
      <c r="I2752">
        <v>0.245395097451847</v>
      </c>
    </row>
    <row r="2753" spans="1:9">
      <c r="A2753" s="1" t="s">
        <v>2765</v>
      </c>
      <c r="B2753">
        <f>HYPERLINK("https://www.suredividend.com/sure-analysis-research-database/","Transcontinental Realty Investors, Inc.")</f>
        <v>0</v>
      </c>
      <c r="C2753">
        <v>-0.004683840749414</v>
      </c>
      <c r="D2753">
        <v>-0.05227948463825501</v>
      </c>
      <c r="E2753">
        <v>-0.009836914315299001</v>
      </c>
      <c r="F2753">
        <v>-0.021739130434782</v>
      </c>
      <c r="G2753">
        <v>0.8433734939759031</v>
      </c>
      <c r="H2753">
        <v>1.17206132879046</v>
      </c>
      <c r="I2753">
        <v>0.8567961165048541</v>
      </c>
    </row>
    <row r="2754" spans="1:9">
      <c r="A2754" s="1" t="s">
        <v>2766</v>
      </c>
      <c r="B2754">
        <f>HYPERLINK("https://www.suredividend.com/sure-analysis-research-database/","Tactile Systems Technology Inc")</f>
        <v>0</v>
      </c>
      <c r="C2754">
        <v>0.08342857142857101</v>
      </c>
      <c r="D2754">
        <v>0.054505005561735</v>
      </c>
      <c r="E2754">
        <v>-0.465915492957746</v>
      </c>
      <c r="F2754">
        <v>-0.003678402522333</v>
      </c>
      <c r="G2754">
        <v>-0.651662686018739</v>
      </c>
      <c r="H2754">
        <v>-0.5922580645161291</v>
      </c>
      <c r="I2754">
        <v>0.09279538904899101</v>
      </c>
    </row>
    <row r="2755" spans="1:9">
      <c r="A2755" s="1" t="s">
        <v>2767</v>
      </c>
      <c r="B2755">
        <f>HYPERLINK("https://www.suredividend.com/sure-analysis-research-database/","Taubman Centers, Inc.")</f>
        <v>0</v>
      </c>
      <c r="C2755">
        <v>0.005143792377834001</v>
      </c>
      <c r="D2755">
        <v>0.288669064748201</v>
      </c>
      <c r="E2755">
        <v>0.116623376623376</v>
      </c>
      <c r="F2755">
        <v>0.402788609317335</v>
      </c>
      <c r="G2755">
        <v>0.432269542533308</v>
      </c>
      <c r="H2755">
        <v>0.007995498135946001</v>
      </c>
      <c r="I2755">
        <v>-0.319763412480656</v>
      </c>
    </row>
    <row r="2756" spans="1:9">
      <c r="A2756" s="1" t="s">
        <v>2768</v>
      </c>
      <c r="B2756">
        <f>HYPERLINK("https://www.suredividend.com/sure-analysis-research-database/","TRACON Pharmaceuticals Inc")</f>
        <v>0</v>
      </c>
      <c r="C2756">
        <v>0.037190082644628</v>
      </c>
      <c r="D2756">
        <v>0.06355932203389801</v>
      </c>
      <c r="E2756">
        <v>-0.335978835978836</v>
      </c>
      <c r="F2756">
        <v>-0.09386281588447601</v>
      </c>
      <c r="G2756">
        <v>-0.6885856079404461</v>
      </c>
      <c r="H2756">
        <v>0.105726872246695</v>
      </c>
      <c r="I2756">
        <v>-0.931232876712328</v>
      </c>
    </row>
    <row r="2757" spans="1:9">
      <c r="A2757" s="1" t="s">
        <v>2769</v>
      </c>
      <c r="B2757">
        <f>HYPERLINK("https://www.suredividend.com/sure-analysis-research-database/","Container Store Group Inc")</f>
        <v>0</v>
      </c>
      <c r="C2757">
        <v>-0.002409638554217</v>
      </c>
      <c r="D2757">
        <v>-0.218867924528301</v>
      </c>
      <c r="E2757">
        <v>-0.181818181818181</v>
      </c>
      <c r="F2757">
        <v>-0.170340681362725</v>
      </c>
      <c r="G2757">
        <v>-0.454185893210283</v>
      </c>
      <c r="H2757">
        <v>2.98076923076923</v>
      </c>
      <c r="I2757">
        <v>1.054590570719602</v>
      </c>
    </row>
    <row r="2758" spans="1:9">
      <c r="A2758" s="1" t="s">
        <v>2770</v>
      </c>
      <c r="B2758">
        <f>HYPERLINK("https://www.suredividend.com/sure-analysis-research-database/","Teradata Corp")</f>
        <v>0</v>
      </c>
      <c r="C2758">
        <v>-0.026842778014486</v>
      </c>
      <c r="D2758">
        <v>0.042922374429223</v>
      </c>
      <c r="E2758">
        <v>-0.205288796102992</v>
      </c>
      <c r="F2758">
        <v>0.07558276430421401</v>
      </c>
      <c r="G2758">
        <v>0.153826723920181</v>
      </c>
      <c r="H2758">
        <v>0.9869508481948671</v>
      </c>
      <c r="I2758">
        <v>0.50065703022339</v>
      </c>
    </row>
    <row r="2759" spans="1:9">
      <c r="A2759" s="1" t="s">
        <v>2771</v>
      </c>
      <c r="B2759">
        <f>HYPERLINK("https://www.suredividend.com/sure-analysis-research-database/","Transdigm Group Incorporated")</f>
        <v>0</v>
      </c>
      <c r="C2759">
        <v>-0.02670731707317</v>
      </c>
      <c r="D2759">
        <v>-0.010691375623663</v>
      </c>
      <c r="E2759">
        <v>-0.001548157067571</v>
      </c>
      <c r="F2759">
        <v>0.003457597284214</v>
      </c>
      <c r="G2759">
        <v>0.033992453319082</v>
      </c>
      <c r="H2759">
        <v>1.121900963775341</v>
      </c>
      <c r="I2759">
        <v>2.322993650463204</v>
      </c>
    </row>
    <row r="2760" spans="1:9">
      <c r="A2760" s="1" t="s">
        <v>2772</v>
      </c>
      <c r="B2760">
        <f>HYPERLINK("https://www.suredividend.com/sure-analysis-research-database/","Teladoc Health Inc")</f>
        <v>0</v>
      </c>
      <c r="C2760">
        <v>0.07327515231351901</v>
      </c>
      <c r="D2760">
        <v>-0.180847052909387</v>
      </c>
      <c r="E2760">
        <v>-0.51861152141802</v>
      </c>
      <c r="F2760">
        <v>-0.290132868656066</v>
      </c>
      <c r="G2760">
        <v>-0.657127827459231</v>
      </c>
      <c r="H2760">
        <v>-0.625939741750358</v>
      </c>
      <c r="I2760">
        <v>1.638866396761134</v>
      </c>
    </row>
    <row r="2761" spans="1:9">
      <c r="A2761" s="1" t="s">
        <v>2773</v>
      </c>
      <c r="B2761">
        <f>HYPERLINK("https://www.suredividend.com/sure-analysis-TDS/","Telephone And Data Systems, Inc.")</f>
        <v>0</v>
      </c>
      <c r="C2761">
        <v>0.087598944591029</v>
      </c>
      <c r="D2761">
        <v>0.009151402088811001</v>
      </c>
      <c r="E2761">
        <v>0.080641778523489</v>
      </c>
      <c r="F2761">
        <v>0.032689301318795</v>
      </c>
      <c r="G2761">
        <v>-0.100973618090452</v>
      </c>
      <c r="H2761">
        <v>0.187047873565866</v>
      </c>
      <c r="I2761">
        <v>-0.09840942098724301</v>
      </c>
    </row>
    <row r="2762" spans="1:9">
      <c r="A2762" s="1" t="s">
        <v>2774</v>
      </c>
      <c r="B2762">
        <f>HYPERLINK("https://www.suredividend.com/sure-analysis-research-database/","Tidewater Inc.")</f>
        <v>0</v>
      </c>
      <c r="C2762">
        <v>0.181208053691275</v>
      </c>
      <c r="D2762">
        <v>0.872340425531914</v>
      </c>
      <c r="E2762">
        <v>0.8318654923939151</v>
      </c>
      <c r="F2762">
        <v>1.136321195144724</v>
      </c>
      <c r="G2762">
        <v>0.8058405682715071</v>
      </c>
      <c r="H2762">
        <v>3.603621730382293</v>
      </c>
      <c r="I2762">
        <v>-0.382789317507418</v>
      </c>
    </row>
    <row r="2763" spans="1:9">
      <c r="A2763" s="1" t="s">
        <v>2775</v>
      </c>
      <c r="B2763">
        <f>HYPERLINK("https://www.suredividend.com/sure-analysis-research-database/","Teledyne Technologies Inc")</f>
        <v>0</v>
      </c>
      <c r="C2763">
        <v>0.120668331272023</v>
      </c>
      <c r="D2763">
        <v>0.142123287671232</v>
      </c>
      <c r="E2763">
        <v>0.118423810521903</v>
      </c>
      <c r="F2763">
        <v>0.09922406097644701</v>
      </c>
      <c r="G2763">
        <v>0.118788584740827</v>
      </c>
      <c r="H2763">
        <v>0.570592275239559</v>
      </c>
      <c r="I2763">
        <v>2.937684486716956</v>
      </c>
    </row>
    <row r="2764" spans="1:9">
      <c r="A2764" s="1" t="s">
        <v>2776</v>
      </c>
      <c r="B2764">
        <f>HYPERLINK("https://www.suredividend.com/sure-analysis-research-database/","Tech Data Corp.")</f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 t="s">
        <v>2777</v>
      </c>
      <c r="B2765">
        <f>HYPERLINK("https://www.suredividend.com/sure-analysis-research-database/","Bio-Techne Corp")</f>
        <v>0</v>
      </c>
      <c r="C2765">
        <v>-0.012611591327759</v>
      </c>
      <c r="D2765">
        <v>0.072507103358613</v>
      </c>
      <c r="E2765">
        <v>-0.159346032017961</v>
      </c>
      <c r="F2765">
        <v>-0.191255781994995</v>
      </c>
      <c r="G2765">
        <v>0.001767373743956</v>
      </c>
      <c r="H2765">
        <v>0.9865255711474831</v>
      </c>
      <c r="I2765">
        <v>3.320650825933826</v>
      </c>
    </row>
    <row r="2766" spans="1:9">
      <c r="A2766" s="1" t="s">
        <v>2778</v>
      </c>
      <c r="B2766">
        <f>HYPERLINK("https://www.suredividend.com/sure-analysis-research-database/","TE Connectivity Ltd")</f>
        <v>0</v>
      </c>
      <c r="C2766">
        <v>-0.07978075517661301</v>
      </c>
      <c r="D2766">
        <v>-0.245458738989771</v>
      </c>
      <c r="E2766">
        <v>-0.174125702604633</v>
      </c>
      <c r="F2766">
        <v>-0.248264783928985</v>
      </c>
      <c r="G2766">
        <v>-0.08154690356394401</v>
      </c>
      <c r="H2766">
        <v>0.9621783946108271</v>
      </c>
      <c r="I2766">
        <v>0.850103081107306</v>
      </c>
    </row>
    <row r="2767" spans="1:9">
      <c r="A2767" s="1" t="s">
        <v>2779</v>
      </c>
      <c r="B2767">
        <f>HYPERLINK("https://www.suredividend.com/sure-analysis-research-database/","Tellurian Inc")</f>
        <v>0</v>
      </c>
      <c r="C2767">
        <v>0.6506666666666661</v>
      </c>
      <c r="D2767">
        <v>0.9465408805031441</v>
      </c>
      <c r="E2767">
        <v>0.6462765957446811</v>
      </c>
      <c r="F2767">
        <v>1.009740259740259</v>
      </c>
      <c r="G2767">
        <v>2.598837209302325</v>
      </c>
      <c r="H2767">
        <v>3.453237410071943</v>
      </c>
      <c r="I2767">
        <v>-0.4507542147293691</v>
      </c>
    </row>
    <row r="2768" spans="1:9">
      <c r="A2768" s="1" t="s">
        <v>2780</v>
      </c>
      <c r="B2768">
        <f>HYPERLINK("https://www.suredividend.com/sure-analysis-research-database/","Tenneco, Inc.")</f>
        <v>0</v>
      </c>
      <c r="C2768">
        <v>0.005571030640668001</v>
      </c>
      <c r="D2768">
        <v>0.391673091750192</v>
      </c>
      <c r="E2768">
        <v>0.243112947658402</v>
      </c>
      <c r="F2768">
        <v>0.5973451327433621</v>
      </c>
      <c r="G2768">
        <v>0.6682070240295751</v>
      </c>
      <c r="H2768">
        <v>4</v>
      </c>
      <c r="I2768">
        <v>-0.6726241217076501</v>
      </c>
    </row>
    <row r="2769" spans="1:9">
      <c r="A2769" s="1" t="s">
        <v>2781</v>
      </c>
      <c r="B2769">
        <f>HYPERLINK("https://www.suredividend.com/sure-analysis-research-database/","Tenable Holdings Inc")</f>
        <v>0</v>
      </c>
      <c r="C2769">
        <v>0.210839785586658</v>
      </c>
      <c r="D2769">
        <v>0.245710784313725</v>
      </c>
      <c r="E2769">
        <v>0.199410029498525</v>
      </c>
      <c r="F2769">
        <v>0.107499546032322</v>
      </c>
      <c r="G2769">
        <v>0.472121650977552</v>
      </c>
      <c r="H2769">
        <v>1.721552878179384</v>
      </c>
      <c r="I2769">
        <v>1.016198347107438</v>
      </c>
    </row>
    <row r="2770" spans="1:9">
      <c r="A2770" s="1" t="s">
        <v>2782</v>
      </c>
      <c r="B2770">
        <f>HYPERLINK("https://www.suredividend.com/sure-analysis-research-database/","Tenax Therapeutics Inc")</f>
        <v>0</v>
      </c>
      <c r="C2770">
        <v>0.213980516151085</v>
      </c>
      <c r="D2770">
        <v>-0.08324728962312801</v>
      </c>
      <c r="E2770">
        <v>-0.589421965317919</v>
      </c>
      <c r="F2770">
        <v>-0.31701923076923</v>
      </c>
      <c r="G2770">
        <v>-0.609725274725274</v>
      </c>
      <c r="H2770">
        <v>0.181666943936117</v>
      </c>
      <c r="I2770">
        <v>-0.925482584976919</v>
      </c>
    </row>
    <row r="2771" spans="1:9">
      <c r="A2771" s="1" t="s">
        <v>2783</v>
      </c>
      <c r="B2771">
        <f>HYPERLINK("https://www.suredividend.com/sure-analysis-TER/","Teradyne, Inc.")</f>
        <v>0</v>
      </c>
      <c r="C2771">
        <v>-0.09190578158458201</v>
      </c>
      <c r="D2771">
        <v>-0.355180089771193</v>
      </c>
      <c r="E2771">
        <v>-0.067862625353222</v>
      </c>
      <c r="F2771">
        <v>-0.3510793920883341</v>
      </c>
      <c r="G2771">
        <v>-0.178570626113272</v>
      </c>
      <c r="H2771">
        <v>0.6701902082302781</v>
      </c>
      <c r="I2771">
        <v>2.504133105497476</v>
      </c>
    </row>
    <row r="2772" spans="1:9">
      <c r="A2772" s="1" t="s">
        <v>2784</v>
      </c>
      <c r="B2772">
        <f>HYPERLINK("https://www.suredividend.com/sure-analysis-research-database/","Tessco Technologies, Inc.")</f>
        <v>0</v>
      </c>
      <c r="C2772">
        <v>0.059322033898304</v>
      </c>
      <c r="D2772">
        <v>-0.039938556067588</v>
      </c>
      <c r="E2772">
        <v>0.206563706563706</v>
      </c>
      <c r="F2772">
        <v>-0.009493018906797001</v>
      </c>
      <c r="G2772">
        <v>-0.198717948717948</v>
      </c>
      <c r="H2772">
        <v>0.183712121212121</v>
      </c>
      <c r="I2772">
        <v>-0.474158021824545</v>
      </c>
    </row>
    <row r="2773" spans="1:9">
      <c r="A2773" s="1" t="s">
        <v>2785</v>
      </c>
      <c r="B2773">
        <f>HYPERLINK("https://www.suredividend.com/sure-analysis-research-database/","Pareteum Corp")</f>
        <v>0</v>
      </c>
      <c r="C2773">
        <v>-0.657142857142857</v>
      </c>
      <c r="D2773">
        <v>-0.6000000000000001</v>
      </c>
      <c r="E2773">
        <v>-0.9055118110236221</v>
      </c>
      <c r="F2773">
        <v>0.411764705882352</v>
      </c>
      <c r="G2773">
        <v>-0.972093023255814</v>
      </c>
      <c r="H2773">
        <v>-0.9560439560439561</v>
      </c>
      <c r="I2773">
        <v>-0.9560439560439561</v>
      </c>
    </row>
    <row r="2774" spans="1:9">
      <c r="A2774" s="1" t="s">
        <v>2786</v>
      </c>
      <c r="B2774">
        <f>HYPERLINK("https://www.suredividend.com/sure-analysis-research-database/","Terex Corp.")</f>
        <v>0</v>
      </c>
      <c r="C2774">
        <v>-0.111536498213374</v>
      </c>
      <c r="D2774">
        <v>-0.247478263125354</v>
      </c>
      <c r="E2774">
        <v>-0.191082151289249</v>
      </c>
      <c r="F2774">
        <v>-0.205015187156005</v>
      </c>
      <c r="G2774">
        <v>-0.248253447214693</v>
      </c>
      <c r="H2774">
        <v>1.540486494770875</v>
      </c>
      <c r="I2774">
        <v>0.179588143800639</v>
      </c>
    </row>
    <row r="2775" spans="1:9">
      <c r="A2775" s="1" t="s">
        <v>2787</v>
      </c>
      <c r="B2775">
        <f>HYPERLINK("https://www.suredividend.com/sure-analysis-research-database/","TFS Financial Corporation")</f>
        <v>0</v>
      </c>
      <c r="C2775">
        <v>-0.075857916917519</v>
      </c>
      <c r="D2775">
        <v>-0.140638558736095</v>
      </c>
      <c r="E2775">
        <v>-0.212525714754754</v>
      </c>
      <c r="F2775">
        <v>-0.126689727367893</v>
      </c>
      <c r="G2775">
        <v>-0.195905666900648</v>
      </c>
      <c r="H2775">
        <v>0.262688580688679</v>
      </c>
      <c r="I2775">
        <v>0.247338739822203</v>
      </c>
    </row>
    <row r="2776" spans="1:9">
      <c r="A2776" s="1" t="s">
        <v>2788</v>
      </c>
      <c r="B2776">
        <f>HYPERLINK("https://www.suredividend.com/sure-analysis-research-database/","Teleflex Incorporated")</f>
        <v>0</v>
      </c>
      <c r="C2776">
        <v>-0.013191838649155</v>
      </c>
      <c r="D2776">
        <v>0.034392585511313</v>
      </c>
      <c r="E2776">
        <v>-0.071331619196857</v>
      </c>
      <c r="F2776">
        <v>0.025795736770733</v>
      </c>
      <c r="G2776">
        <v>-0.218819438497753</v>
      </c>
      <c r="H2776">
        <v>0.027501899361466</v>
      </c>
      <c r="I2776">
        <v>0.7646950891862491</v>
      </c>
    </row>
    <row r="2777" spans="1:9">
      <c r="A2777" s="1" t="s">
        <v>2789</v>
      </c>
      <c r="B2777">
        <f>HYPERLINK("https://www.suredividend.com/sure-analysis-research-database/","Tredegar Corp.")</f>
        <v>0</v>
      </c>
      <c r="C2777">
        <v>0.024439733744648</v>
      </c>
      <c r="D2777">
        <v>0.06263742845164601</v>
      </c>
      <c r="E2777">
        <v>-5.6357532184e-05</v>
      </c>
      <c r="F2777">
        <v>0.06084030168179901</v>
      </c>
      <c r="G2777">
        <v>-0.167163998953925</v>
      </c>
      <c r="H2777">
        <v>0.176949974887943</v>
      </c>
      <c r="I2777">
        <v>0.222741816391828</v>
      </c>
    </row>
    <row r="2778" spans="1:9">
      <c r="A2778" s="1" t="s">
        <v>2790</v>
      </c>
      <c r="B2778">
        <f>HYPERLINK("https://www.suredividend.com/sure-analysis-research-database/","Tecogen Inc")</f>
        <v>0</v>
      </c>
      <c r="C2778">
        <v>0.04166666666666601</v>
      </c>
      <c r="D2778">
        <v>0.271186440677966</v>
      </c>
      <c r="E2778">
        <v>-0.148211243611584</v>
      </c>
      <c r="F2778">
        <v>0.25</v>
      </c>
      <c r="G2778">
        <v>-0.142857142857142</v>
      </c>
      <c r="H2778">
        <v>1.083333333333333</v>
      </c>
      <c r="I2778">
        <v>1.083333333333333</v>
      </c>
    </row>
    <row r="2779" spans="1:9">
      <c r="A2779" s="1" t="s">
        <v>2791</v>
      </c>
      <c r="B2779">
        <f>HYPERLINK("https://www.suredividend.com/sure-analysis-research-database/","Triumph Group Inc.")</f>
        <v>0</v>
      </c>
      <c r="C2779">
        <v>0.013535031847133</v>
      </c>
      <c r="D2779">
        <v>0.2003771805752</v>
      </c>
      <c r="E2779">
        <v>0.261020307082714</v>
      </c>
      <c r="F2779">
        <v>0.373988127361036</v>
      </c>
      <c r="G2779">
        <v>0.454857142857142</v>
      </c>
      <c r="H2779">
        <v>3.367066895368782</v>
      </c>
      <c r="I2779">
        <v>0.039684419434666</v>
      </c>
    </row>
    <row r="2780" spans="1:9">
      <c r="A2780" s="1" t="s">
        <v>2792</v>
      </c>
      <c r="B2780">
        <f>HYPERLINK("https://www.suredividend.com/sure-analysis-research-database/","Tecnoglass Inc")</f>
        <v>0</v>
      </c>
      <c r="C2780">
        <v>-0.039067809795203</v>
      </c>
      <c r="D2780">
        <v>0.057717007746977</v>
      </c>
      <c r="E2780">
        <v>-0.112812991411636</v>
      </c>
      <c r="F2780">
        <v>-0.101809010994898</v>
      </c>
      <c r="G2780">
        <v>0.9652995260504761</v>
      </c>
      <c r="H2780">
        <v>6.439457334854825</v>
      </c>
      <c r="I2780">
        <v>1.73075267315904</v>
      </c>
    </row>
    <row r="2781" spans="1:9">
      <c r="A2781" s="1" t="s">
        <v>2793</v>
      </c>
      <c r="B2781">
        <f>HYPERLINK("https://www.suredividend.com/sure-analysis-research-database/","TEGNA Inc")</f>
        <v>0</v>
      </c>
      <c r="C2781">
        <v>0.000892060660124</v>
      </c>
      <c r="D2781">
        <v>0.160913831636454</v>
      </c>
      <c r="E2781">
        <v>0.152725909107253</v>
      </c>
      <c r="F2781">
        <v>0.214082053335209</v>
      </c>
      <c r="G2781">
        <v>0.068311981375951</v>
      </c>
      <c r="H2781">
        <v>1.216011771328125</v>
      </c>
      <c r="I2781">
        <v>0.5213043625639801</v>
      </c>
    </row>
    <row r="2782" spans="1:9">
      <c r="A2782" s="1" t="s">
        <v>2794</v>
      </c>
      <c r="B2782">
        <f>HYPERLINK("https://www.suredividend.com/sure-analysis-TGT/","Target Corp")</f>
        <v>0</v>
      </c>
      <c r="C2782">
        <v>0.100236560137297</v>
      </c>
      <c r="D2782">
        <v>0.07600730523678001</v>
      </c>
      <c r="E2782">
        <v>-0.027138009824593</v>
      </c>
      <c r="F2782">
        <v>0.029329378023817</v>
      </c>
      <c r="G2782">
        <v>0.1538783349127</v>
      </c>
      <c r="H2782">
        <v>1.23346277122637</v>
      </c>
      <c r="I2782">
        <v>3.950670699000473</v>
      </c>
    </row>
    <row r="2783" spans="1:9">
      <c r="A2783" s="1" t="s">
        <v>2795</v>
      </c>
      <c r="B2783">
        <f>HYPERLINK("https://www.suredividend.com/sure-analysis-research-database/","TG Therapeutics Inc")</f>
        <v>0</v>
      </c>
      <c r="C2783">
        <v>0.004540295119182</v>
      </c>
      <c r="D2783">
        <v>-0.435946462715105</v>
      </c>
      <c r="E2783">
        <v>-0.734314019813869</v>
      </c>
      <c r="F2783">
        <v>-0.534210526315789</v>
      </c>
      <c r="G2783">
        <v>-0.8023671281822241</v>
      </c>
      <c r="H2783">
        <v>-0.153919694072657</v>
      </c>
      <c r="I2783">
        <v>-0.106060606060606</v>
      </c>
    </row>
    <row r="2784" spans="1:9">
      <c r="A2784" s="1" t="s">
        <v>2796</v>
      </c>
      <c r="B2784">
        <f>HYPERLINK("https://www.suredividend.com/sure-analysis-research-database/","Target Hospitality Corp")</f>
        <v>0</v>
      </c>
      <c r="C2784">
        <v>0.026223776223776</v>
      </c>
      <c r="D2784">
        <v>0.672364672364672</v>
      </c>
      <c r="E2784">
        <v>0.582210242587601</v>
      </c>
      <c r="F2784">
        <v>0.648876404494382</v>
      </c>
      <c r="G2784">
        <v>1.103942652329749</v>
      </c>
      <c r="H2784">
        <v>2.939597315436241</v>
      </c>
      <c r="I2784">
        <v>-0.402848423194303</v>
      </c>
    </row>
    <row r="2785" spans="1:9">
      <c r="A2785" s="1" t="s">
        <v>2797</v>
      </c>
      <c r="B2785">
        <f>HYPERLINK("https://www.suredividend.com/sure-analysis-research-database/","Tenet Healthcare Corp.")</f>
        <v>0</v>
      </c>
      <c r="C2785">
        <v>-0.030233884768967</v>
      </c>
      <c r="D2785">
        <v>0.048864758144126</v>
      </c>
      <c r="E2785">
        <v>0.337319068596601</v>
      </c>
      <c r="F2785">
        <v>0.04051903537764701</v>
      </c>
      <c r="G2785">
        <v>0.561925762587284</v>
      </c>
      <c r="H2785">
        <v>3.381443298969072</v>
      </c>
      <c r="I2785">
        <v>3.862700228832952</v>
      </c>
    </row>
    <row r="2786" spans="1:9">
      <c r="A2786" s="1" t="s">
        <v>2798</v>
      </c>
      <c r="B2786">
        <f>HYPERLINK("https://www.suredividend.com/sure-analysis-THFF/","First Financial Corp. - Indiana")</f>
        <v>0</v>
      </c>
      <c r="C2786">
        <v>-0.051739321884632</v>
      </c>
      <c r="D2786">
        <v>-0.054653204565408</v>
      </c>
      <c r="E2786">
        <v>0.036350467885647</v>
      </c>
      <c r="F2786">
        <v>-0.03778917149782701</v>
      </c>
      <c r="G2786">
        <v>-0.022906235750243</v>
      </c>
      <c r="H2786">
        <v>0.498206813066784</v>
      </c>
      <c r="I2786">
        <v>0.102196972605018</v>
      </c>
    </row>
    <row r="2787" spans="1:9">
      <c r="A2787" s="1" t="s">
        <v>2799</v>
      </c>
      <c r="B2787">
        <f>HYPERLINK("https://www.suredividend.com/sure-analysis-THG/","Hanover Insurance Group Inc")</f>
        <v>0</v>
      </c>
      <c r="C2787">
        <v>0.045173825549926</v>
      </c>
      <c r="D2787">
        <v>0.08881245563280801</v>
      </c>
      <c r="E2787">
        <v>0.133726597412646</v>
      </c>
      <c r="F2787">
        <v>0.155440589395906</v>
      </c>
      <c r="G2787">
        <v>0.147278507913342</v>
      </c>
      <c r="H2787">
        <v>0.6465413012726751</v>
      </c>
      <c r="I2787">
        <v>1.030143492946659</v>
      </c>
    </row>
    <row r="2788" spans="1:9">
      <c r="A2788" s="1" t="s">
        <v>2800</v>
      </c>
      <c r="B2788">
        <f>HYPERLINK("https://www.suredividend.com/sure-analysis-THO/","Thor Industries, Inc.")</f>
        <v>0</v>
      </c>
      <c r="C2788">
        <v>-0.04194643331951901</v>
      </c>
      <c r="D2788">
        <v>-0.195568638138635</v>
      </c>
      <c r="E2788">
        <v>-0.249624061561033</v>
      </c>
      <c r="F2788">
        <v>-0.225026255517534</v>
      </c>
      <c r="G2788">
        <v>-0.419590963642986</v>
      </c>
      <c r="H2788">
        <v>0.6656844840834361</v>
      </c>
      <c r="I2788">
        <v>-0.015251960816901</v>
      </c>
    </row>
    <row r="2789" spans="1:9">
      <c r="A2789" s="1" t="s">
        <v>2801</v>
      </c>
      <c r="B2789">
        <f>HYPERLINK("https://www.suredividend.com/sure-analysis-research-database/","Thermon Group Holdings Inc")</f>
        <v>0</v>
      </c>
      <c r="C2789">
        <v>-0.08582949308755701</v>
      </c>
      <c r="D2789">
        <v>-0.09675583380762601</v>
      </c>
      <c r="E2789">
        <v>-0.061502069781194</v>
      </c>
      <c r="F2789">
        <v>-0.06261075014766601</v>
      </c>
      <c r="G2789">
        <v>-0.194824961948249</v>
      </c>
      <c r="H2789">
        <v>0.106694560669456</v>
      </c>
      <c r="I2789">
        <v>-0.1907190209077</v>
      </c>
    </row>
    <row r="2790" spans="1:9">
      <c r="A2790" s="1" t="s">
        <v>2802</v>
      </c>
      <c r="B2790">
        <f>HYPERLINK("https://www.suredividend.com/sure-analysis-research-database/","Gentherm Inc")</f>
        <v>0</v>
      </c>
      <c r="C2790">
        <v>-0.06798866855524001</v>
      </c>
      <c r="D2790">
        <v>-0.299147900182592</v>
      </c>
      <c r="E2790">
        <v>-0.203940546145869</v>
      </c>
      <c r="F2790">
        <v>-0.204948216340621</v>
      </c>
      <c r="G2790">
        <v>-0.104239595488136</v>
      </c>
      <c r="H2790">
        <v>1.029074889867841</v>
      </c>
      <c r="I2790">
        <v>0.9939393939393941</v>
      </c>
    </row>
    <row r="2791" spans="1:9">
      <c r="A2791" s="1" t="s">
        <v>2803</v>
      </c>
      <c r="B2791">
        <f>HYPERLINK("https://www.suredividend.com/sure-analysis-research-database/","Treehouse Foods Inc")</f>
        <v>0</v>
      </c>
      <c r="C2791">
        <v>0.012916791829378</v>
      </c>
      <c r="D2791">
        <v>-0.228021978021978</v>
      </c>
      <c r="E2791">
        <v>-0.148054573016675</v>
      </c>
      <c r="F2791">
        <v>-0.168023686158401</v>
      </c>
      <c r="G2791">
        <v>-0.34140625</v>
      </c>
      <c r="H2791">
        <v>-0.318650232370175</v>
      </c>
      <c r="I2791">
        <v>-0.616382252559727</v>
      </c>
    </row>
    <row r="2792" spans="1:9">
      <c r="A2792" s="1" t="s">
        <v>2804</v>
      </c>
      <c r="B2792">
        <f>HYPERLINK("https://www.suredividend.com/sure-analysis-research-database/","Tiffany &amp; Co.")</f>
        <v>0</v>
      </c>
      <c r="C2792">
        <v>0.001523693432881</v>
      </c>
      <c r="D2792">
        <v>0.128559262667747</v>
      </c>
      <c r="E2792">
        <v>0.079729648705942</v>
      </c>
      <c r="F2792">
        <v>7.607455306200001e-05</v>
      </c>
      <c r="G2792">
        <v>0.002980865847303</v>
      </c>
      <c r="H2792">
        <v>0.6643287232803451</v>
      </c>
      <c r="I2792">
        <v>1.009173176177863</v>
      </c>
    </row>
    <row r="2793" spans="1:9">
      <c r="A2793" s="1" t="s">
        <v>2805</v>
      </c>
      <c r="B2793">
        <f>HYPERLINK("https://www.suredividend.com/sure-analysis-research-database/","Interface Inc.")</f>
        <v>0</v>
      </c>
      <c r="C2793">
        <v>-0.071473898423766</v>
      </c>
      <c r="D2793">
        <v>-0.139812556168956</v>
      </c>
      <c r="E2793">
        <v>-0.156841965823287</v>
      </c>
      <c r="F2793">
        <v>-0.201294993819918</v>
      </c>
      <c r="G2793">
        <v>-0.001176932130247</v>
      </c>
      <c r="H2793">
        <v>0.5693574633857681</v>
      </c>
      <c r="I2793">
        <v>-0.276659336663086</v>
      </c>
    </row>
    <row r="2794" spans="1:9">
      <c r="A2794" s="1" t="s">
        <v>2806</v>
      </c>
      <c r="B2794">
        <f>HYPERLINK("https://www.suredividend.com/sure-analysis-research-database/","Tiptree Inc")</f>
        <v>0</v>
      </c>
      <c r="C2794">
        <v>-0.06953331757132901</v>
      </c>
      <c r="D2794">
        <v>-0.112714366754425</v>
      </c>
      <c r="E2794">
        <v>-0.231302375401676</v>
      </c>
      <c r="F2794">
        <v>-0.115281695758428</v>
      </c>
      <c r="G2794">
        <v>0.223867421050519</v>
      </c>
      <c r="H2794">
        <v>1.521442595845819</v>
      </c>
      <c r="I2794">
        <v>0.8182902110408961</v>
      </c>
    </row>
    <row r="2795" spans="1:9">
      <c r="A2795" s="1" t="s">
        <v>2807</v>
      </c>
      <c r="B2795">
        <f>HYPERLINK("https://www.suredividend.com/sure-analysis-research-database/","Team, Inc.")</f>
        <v>0</v>
      </c>
      <c r="C2795">
        <v>0.7894736842105261</v>
      </c>
      <c r="D2795">
        <v>1.472727272727273</v>
      </c>
      <c r="E2795">
        <v>-0.255474452554744</v>
      </c>
      <c r="F2795">
        <v>0.871559633027522</v>
      </c>
      <c r="G2795">
        <v>-0.8133577310155531</v>
      </c>
      <c r="H2795">
        <v>-0.635714285714285</v>
      </c>
      <c r="I2795">
        <v>-0.9207766990291261</v>
      </c>
    </row>
    <row r="2796" spans="1:9">
      <c r="A2796" s="1" t="s">
        <v>2808</v>
      </c>
      <c r="B2796">
        <f>HYPERLINK("https://www.suredividend.com/sure-analysis-research-database/","Titan Machinery Inc")</f>
        <v>0</v>
      </c>
      <c r="C2796">
        <v>-0.106588478785788</v>
      </c>
      <c r="D2796">
        <v>-0.239130434782608</v>
      </c>
      <c r="E2796">
        <v>-0.053016453382084</v>
      </c>
      <c r="F2796">
        <v>-0.23122588305135</v>
      </c>
      <c r="G2796">
        <v>-0.013333333333333</v>
      </c>
      <c r="H2796">
        <v>2.036342321219226</v>
      </c>
      <c r="I2796">
        <v>0.7571234735413831</v>
      </c>
    </row>
    <row r="2797" spans="1:9">
      <c r="A2797" s="1" t="s">
        <v>2809</v>
      </c>
      <c r="B2797">
        <f>HYPERLINK("https://www.suredividend.com/sure-analysis-TJX/","TJX Companies, Inc.")</f>
        <v>0</v>
      </c>
      <c r="C2797">
        <v>0.002718260313399</v>
      </c>
      <c r="D2797">
        <v>-0.115730576319177</v>
      </c>
      <c r="E2797">
        <v>-0.018223377274008</v>
      </c>
      <c r="F2797">
        <v>-0.170939108776067</v>
      </c>
      <c r="G2797">
        <v>-0.09075750875386901</v>
      </c>
      <c r="H2797">
        <v>0.375213266608479</v>
      </c>
      <c r="I2797">
        <v>0.747648575210757</v>
      </c>
    </row>
    <row r="2798" spans="1:9">
      <c r="A2798" s="1" t="s">
        <v>2810</v>
      </c>
      <c r="B2798">
        <f>HYPERLINK("https://www.suredividend.com/sure-analysis-research-database/","Timken Co.")</f>
        <v>0</v>
      </c>
      <c r="C2798">
        <v>-0.058748403575989</v>
      </c>
      <c r="D2798">
        <v>-0.198535178949858</v>
      </c>
      <c r="E2798">
        <v>-0.174830655544981</v>
      </c>
      <c r="F2798">
        <v>-0.145327641315928</v>
      </c>
      <c r="G2798">
        <v>-0.280734392631675</v>
      </c>
      <c r="H2798">
        <v>0.819483533303708</v>
      </c>
      <c r="I2798">
        <v>0.532778212503997</v>
      </c>
    </row>
    <row r="2799" spans="1:9">
      <c r="A2799" s="1" t="s">
        <v>2811</v>
      </c>
      <c r="B2799">
        <f>HYPERLINK("https://www.suredividend.com/sure-analysis-research-database/","Tandy Leather Factory, Inc.")</f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2812</v>
      </c>
      <c r="B2800">
        <f>HYPERLINK("https://www.suredividend.com/sure-analysis-research-database/","Teligent Inc")</f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2813</v>
      </c>
      <c r="B2801">
        <f>HYPERLINK("https://www.suredividend.com/sure-analysis-research-database/","Tillys Inc")</f>
        <v>0</v>
      </c>
      <c r="C2801">
        <v>-0.07098765432098701</v>
      </c>
      <c r="D2801">
        <v>-0.30324074074074</v>
      </c>
      <c r="E2801">
        <v>-0.302460314394963</v>
      </c>
      <c r="F2801">
        <v>-0.439478584729981</v>
      </c>
      <c r="G2801">
        <v>-0.154082512084535</v>
      </c>
      <c r="H2801">
        <v>1.239749981397425</v>
      </c>
      <c r="I2801">
        <v>0.5710632078918521</v>
      </c>
    </row>
    <row r="2802" spans="1:9">
      <c r="A2802" s="1" t="s">
        <v>2814</v>
      </c>
      <c r="B2802">
        <f>HYPERLINK("https://www.suredividend.com/sure-analysis-research-database/","Transmedics Group Inc")</f>
        <v>0</v>
      </c>
      <c r="C2802">
        <v>0.221644120707596</v>
      </c>
      <c r="D2802">
        <v>0.422168382798304</v>
      </c>
      <c r="E2802">
        <v>-0.11563088512241</v>
      </c>
      <c r="F2802">
        <v>0.225469728601252</v>
      </c>
      <c r="G2802">
        <v>-0.13133555308916</v>
      </c>
      <c r="H2802">
        <v>0.496494582536647</v>
      </c>
      <c r="I2802">
        <v>0.050089445438282</v>
      </c>
    </row>
    <row r="2803" spans="1:9">
      <c r="A2803" s="1" t="s">
        <v>2815</v>
      </c>
      <c r="B2803">
        <f>HYPERLINK("https://www.suredividend.com/sure-analysis-research-database/","Taylor Morrison Home Corp.")</f>
        <v>0</v>
      </c>
      <c r="C2803">
        <v>-0.144451530612244</v>
      </c>
      <c r="D2803">
        <v>-0.181762732540408</v>
      </c>
      <c r="E2803">
        <v>-0.004821958456973001</v>
      </c>
      <c r="F2803">
        <v>-0.232551487414187</v>
      </c>
      <c r="G2803">
        <v>-0.17088998763906</v>
      </c>
      <c r="H2803">
        <v>1.370141342756183</v>
      </c>
      <c r="I2803">
        <v>0.7456083279115161</v>
      </c>
    </row>
    <row r="2804" spans="1:9">
      <c r="A2804" s="1" t="s">
        <v>2816</v>
      </c>
      <c r="B2804">
        <f>HYPERLINK("https://www.suredividend.com/sure-analysis-TMO/","Thermo Fisher Scientific Inc.")</f>
        <v>0</v>
      </c>
      <c r="C2804">
        <v>0.011287885521287</v>
      </c>
      <c r="D2804">
        <v>-0.043008274639298</v>
      </c>
      <c r="E2804">
        <v>-0.022222481939302</v>
      </c>
      <c r="F2804">
        <v>-0.146905715011925</v>
      </c>
      <c r="G2804">
        <v>0.156437846191936</v>
      </c>
      <c r="H2804">
        <v>0.7372939196545071</v>
      </c>
      <c r="I2804">
        <v>2.787298801831537</v>
      </c>
    </row>
    <row r="2805" spans="1:9">
      <c r="A2805" s="1" t="s">
        <v>2817</v>
      </c>
      <c r="B2805">
        <f>HYPERLINK("https://www.suredividend.com/sure-analysis-TMP/","Tompkins Financial Corp")</f>
        <v>0</v>
      </c>
      <c r="C2805">
        <v>-0.048478852337373</v>
      </c>
      <c r="D2805">
        <v>-0.09830513241812201</v>
      </c>
      <c r="E2805">
        <v>-0.047327775459589</v>
      </c>
      <c r="F2805">
        <v>-0.072844489968066</v>
      </c>
      <c r="G2805">
        <v>-0.008414429670756</v>
      </c>
      <c r="H2805">
        <v>0.242986592740144</v>
      </c>
      <c r="I2805">
        <v>0.114981972477596</v>
      </c>
    </row>
    <row r="2806" spans="1:9">
      <c r="A2806" s="1" t="s">
        <v>2818</v>
      </c>
      <c r="B2806">
        <f>HYPERLINK("https://www.suredividend.com/sure-analysis-research-database/","TimkenSteel Corp")</f>
        <v>0</v>
      </c>
      <c r="C2806">
        <v>0.005767524401064</v>
      </c>
      <c r="D2806">
        <v>0.409825870646766</v>
      </c>
      <c r="E2806">
        <v>0.7252663622526631</v>
      </c>
      <c r="F2806">
        <v>0.373939393939394</v>
      </c>
      <c r="G2806">
        <v>1.029543419874664</v>
      </c>
      <c r="H2806">
        <v>7.154676258992806</v>
      </c>
      <c r="I2806">
        <v>0.280067758328628</v>
      </c>
    </row>
    <row r="2807" spans="1:9">
      <c r="A2807" s="1" t="s">
        <v>2819</v>
      </c>
      <c r="B2807">
        <f>HYPERLINK("https://www.suredividend.com/sure-analysis-research-database/","T-Mobile US Inc")</f>
        <v>0</v>
      </c>
      <c r="C2807">
        <v>0.04070131496556</v>
      </c>
      <c r="D2807">
        <v>0.225211942499078</v>
      </c>
      <c r="E2807">
        <v>0.130996937733923</v>
      </c>
      <c r="F2807">
        <v>0.146404552509053</v>
      </c>
      <c r="G2807">
        <v>-0.000676437429537</v>
      </c>
      <c r="H2807">
        <v>0.492224071540562</v>
      </c>
      <c r="I2807">
        <v>1.103421381936457</v>
      </c>
    </row>
    <row r="2808" spans="1:9">
      <c r="A2808" s="1" t="s">
        <v>2820</v>
      </c>
      <c r="B2808">
        <f>HYPERLINK("https://www.suredividend.com/sure-analysis-research-database/","Telenav Inc")</f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2821</v>
      </c>
      <c r="B2809">
        <f>HYPERLINK("https://www.suredividend.com/sure-analysis-TNC/","Tennant Co.")</f>
        <v>0</v>
      </c>
      <c r="C2809">
        <v>-0.137985246099891</v>
      </c>
      <c r="D2809">
        <v>-0.117579334916276</v>
      </c>
      <c r="E2809">
        <v>-0.06960230980885501</v>
      </c>
      <c r="F2809">
        <v>-0.117579334916276</v>
      </c>
      <c r="G2809">
        <v>-0.106863170134546</v>
      </c>
      <c r="H2809">
        <v>0.222746376190067</v>
      </c>
      <c r="I2809">
        <v>0.078145915735817</v>
      </c>
    </row>
    <row r="2810" spans="1:9">
      <c r="A2810" s="1" t="s">
        <v>2822</v>
      </c>
      <c r="B2810">
        <f>HYPERLINK("https://www.suredividend.com/sure-analysis-research-database/","Tandem Diabetes Care Inc")</f>
        <v>0</v>
      </c>
      <c r="C2810">
        <v>0.05420970838285</v>
      </c>
      <c r="D2810">
        <v>-0.045048029148724</v>
      </c>
      <c r="E2810">
        <v>-0.08001595532508901</v>
      </c>
      <c r="F2810">
        <v>-0.233855965984586</v>
      </c>
      <c r="G2810">
        <v>0.252661307842711</v>
      </c>
      <c r="H2810">
        <v>0.604563795742312</v>
      </c>
      <c r="I2810">
        <v>120.3766971897695</v>
      </c>
    </row>
    <row r="2811" spans="1:9">
      <c r="A2811" s="1" t="s">
        <v>2823</v>
      </c>
      <c r="B2811">
        <f>HYPERLINK("https://www.suredividend.com/sure-analysis-research-database/","TriNet Group Inc")</f>
        <v>0</v>
      </c>
      <c r="C2811">
        <v>0.066666666666666</v>
      </c>
      <c r="D2811">
        <v>0.118881118881118</v>
      </c>
      <c r="E2811">
        <v>-0.027355623100303</v>
      </c>
      <c r="F2811">
        <v>0.007768213310938001</v>
      </c>
      <c r="G2811">
        <v>0.138114997036159</v>
      </c>
      <c r="H2811">
        <v>1.215043839409321</v>
      </c>
      <c r="I2811">
        <v>2.458213256484149</v>
      </c>
    </row>
    <row r="2812" spans="1:9">
      <c r="A2812" s="1" t="s">
        <v>2824</v>
      </c>
      <c r="B2812">
        <f>HYPERLINK("https://www.suredividend.com/sure-analysis-research-database/","Tonix Pharmaceuticals Holding Corp")</f>
        <v>0</v>
      </c>
      <c r="C2812">
        <v>-0.193908193908193</v>
      </c>
      <c r="D2812">
        <v>-0.343006993006992</v>
      </c>
      <c r="E2812">
        <v>-0.670350877192982</v>
      </c>
      <c r="F2812">
        <v>-0.474699468828627</v>
      </c>
      <c r="G2812">
        <v>-0.8082653061224491</v>
      </c>
      <c r="H2812">
        <v>-0.7507627006234241</v>
      </c>
      <c r="I2812">
        <v>-0.9996077244258871</v>
      </c>
    </row>
    <row r="2813" spans="1:9">
      <c r="A2813" s="1" t="s">
        <v>2825</v>
      </c>
      <c r="B2813">
        <f>HYPERLINK("https://www.suredividend.com/sure-analysis-research-database/","Toll Brothers Inc.")</f>
        <v>0</v>
      </c>
      <c r="C2813">
        <v>-0.09200659071872601</v>
      </c>
      <c r="D2813">
        <v>-0.301921303644581</v>
      </c>
      <c r="E2813">
        <v>-0.206452854570199</v>
      </c>
      <c r="F2813">
        <v>-0.357729773633819</v>
      </c>
      <c r="G2813">
        <v>-0.239142791709984</v>
      </c>
      <c r="H2813">
        <v>1.195096445445816</v>
      </c>
      <c r="I2813">
        <v>0.347137260393056</v>
      </c>
    </row>
    <row r="2814" spans="1:9">
      <c r="A2814" s="1" t="s">
        <v>2826</v>
      </c>
      <c r="B2814">
        <f>HYPERLINK("https://www.suredividend.com/sure-analysis-research-database/","Townebank Portsmouth VA")</f>
        <v>0</v>
      </c>
      <c r="C2814">
        <v>-0.072100273344728</v>
      </c>
      <c r="D2814">
        <v>-0.151180120222643</v>
      </c>
      <c r="E2814">
        <v>-0.07941951668730701</v>
      </c>
      <c r="F2814">
        <v>-0.076213207060165</v>
      </c>
      <c r="G2814">
        <v>-0.038643289902604</v>
      </c>
      <c r="H2814">
        <v>0.780187659658085</v>
      </c>
      <c r="I2814">
        <v>0.073687797217818</v>
      </c>
    </row>
    <row r="2815" spans="1:9">
      <c r="A2815" s="1" t="s">
        <v>2827</v>
      </c>
      <c r="B2815">
        <f>HYPERLINK("https://www.suredividend.com/sure-analysis-research-database/","Turning Point Brands Inc")</f>
        <v>0</v>
      </c>
      <c r="C2815">
        <v>0.026150281363786</v>
      </c>
      <c r="D2815">
        <v>-0.155246599867564</v>
      </c>
      <c r="E2815">
        <v>-0.351066658014222</v>
      </c>
      <c r="F2815">
        <v>-0.17783005482017</v>
      </c>
      <c r="G2815">
        <v>-0.3739422653596191</v>
      </c>
      <c r="H2815">
        <v>0.4943215780035861</v>
      </c>
      <c r="I2815">
        <v>0.982794460967731</v>
      </c>
    </row>
    <row r="2816" spans="1:9">
      <c r="A2816" s="1" t="s">
        <v>2828</v>
      </c>
      <c r="B2816">
        <f>HYPERLINK("https://www.suredividend.com/sure-analysis-research-database/","Tutor Perini Corp")</f>
        <v>0</v>
      </c>
      <c r="C2816">
        <v>-0.008653846153846</v>
      </c>
      <c r="D2816">
        <v>-0.174539631705364</v>
      </c>
      <c r="E2816">
        <v>-0.209961685823754</v>
      </c>
      <c r="F2816">
        <v>-0.166531932093775</v>
      </c>
      <c r="G2816">
        <v>-0.410183066361556</v>
      </c>
      <c r="H2816">
        <v>0.821554770318021</v>
      </c>
      <c r="I2816">
        <v>-0.6674193548387091</v>
      </c>
    </row>
    <row r="2817" spans="1:9">
      <c r="A2817" s="1" t="s">
        <v>2829</v>
      </c>
      <c r="B2817">
        <f>HYPERLINK("https://www.suredividend.com/sure-analysis-research-database/","Tribune Publishing Co")</f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 t="s">
        <v>2830</v>
      </c>
      <c r="B2818">
        <f>HYPERLINK("https://www.suredividend.com/sure-analysis-research-database/","Tri Pointe Homes Inc.")</f>
        <v>0</v>
      </c>
      <c r="C2818">
        <v>-0.122466960352422</v>
      </c>
      <c r="D2818">
        <v>-0.238823079862437</v>
      </c>
      <c r="E2818">
        <v>-0.151256923732424</v>
      </c>
      <c r="F2818">
        <v>-0.285765507350304</v>
      </c>
      <c r="G2818">
        <v>-0.123625164980202</v>
      </c>
      <c r="H2818">
        <v>1.059979317476732</v>
      </c>
      <c r="I2818">
        <v>0.6462809917355371</v>
      </c>
    </row>
    <row r="2819" spans="1:9">
      <c r="A2819" s="1" t="s">
        <v>2831</v>
      </c>
      <c r="B2819">
        <f>HYPERLINK("https://www.suredividend.com/sure-analysis-research-database/","Trinity Place Holdings Inc")</f>
        <v>0</v>
      </c>
      <c r="C2819">
        <v>-0.117318435754189</v>
      </c>
      <c r="D2819">
        <v>-0.136612021857923</v>
      </c>
      <c r="E2819">
        <v>-0.318965517241379</v>
      </c>
      <c r="F2819">
        <v>-0.141304347826086</v>
      </c>
      <c r="G2819">
        <v>-0.24401913875598</v>
      </c>
      <c r="H2819">
        <v>0.153284671532846</v>
      </c>
      <c r="I2819">
        <v>-0.7768361581920901</v>
      </c>
    </row>
    <row r="2820" spans="1:9">
      <c r="A2820" s="1" t="s">
        <v>2832</v>
      </c>
      <c r="B2820">
        <f>HYPERLINK("https://www.suredividend.com/sure-analysis-research-database/","TPI Composites Inc")</f>
        <v>0</v>
      </c>
      <c r="C2820">
        <v>-0.08333333333333301</v>
      </c>
      <c r="D2820">
        <v>-0.022779043280182</v>
      </c>
      <c r="E2820">
        <v>-0.637260428410372</v>
      </c>
      <c r="F2820">
        <v>-0.139705882352941</v>
      </c>
      <c r="G2820">
        <v>-0.7409941638156571</v>
      </c>
      <c r="H2820">
        <v>-0.043122676579925</v>
      </c>
      <c r="I2820">
        <v>-0.338983050847457</v>
      </c>
    </row>
    <row r="2821" spans="1:9">
      <c r="A2821" s="1" t="s">
        <v>2833</v>
      </c>
      <c r="B2821">
        <f>HYPERLINK("https://www.suredividend.com/sure-analysis-TPR/","Tapestry Inc")</f>
        <v>0</v>
      </c>
      <c r="C2821">
        <v>-0.08958445763626501</v>
      </c>
      <c r="D2821">
        <v>-0.11531805548272</v>
      </c>
      <c r="E2821">
        <v>-0.128446884081368</v>
      </c>
      <c r="F2821">
        <v>-0.16390984896356</v>
      </c>
      <c r="G2821">
        <v>-0.261672855864273</v>
      </c>
      <c r="H2821">
        <v>1.385598732960009</v>
      </c>
      <c r="I2821">
        <v>-0.137547608701209</v>
      </c>
    </row>
    <row r="2822" spans="1:9">
      <c r="A2822" s="1" t="s">
        <v>2834</v>
      </c>
      <c r="B2822">
        <f>HYPERLINK("https://www.suredividend.com/sure-analysis-research-database/","Turning Point Therapeutics Inc")</f>
        <v>0</v>
      </c>
      <c r="C2822">
        <v>0.193759071117561</v>
      </c>
      <c r="D2822">
        <v>-0.14188836724048</v>
      </c>
      <c r="E2822">
        <v>-0.29745889387145</v>
      </c>
      <c r="F2822">
        <v>-0.3102725366876311</v>
      </c>
      <c r="G2822">
        <v>-0.5495002053950431</v>
      </c>
      <c r="H2822">
        <v>-0.306492411467116</v>
      </c>
      <c r="I2822">
        <v>0.138408304498269</v>
      </c>
    </row>
    <row r="2823" spans="1:9">
      <c r="A2823" s="1" t="s">
        <v>2835</v>
      </c>
      <c r="B2823">
        <f>HYPERLINK("https://www.suredividend.com/sure-analysis-research-database/","Tempur Sealy International Inc")</f>
        <v>0</v>
      </c>
      <c r="C2823">
        <v>-0.12423500611995</v>
      </c>
      <c r="D2823">
        <v>-0.31792345585449</v>
      </c>
      <c r="E2823">
        <v>-0.355159959534146</v>
      </c>
      <c r="F2823">
        <v>-0.389568923043453</v>
      </c>
      <c r="G2823">
        <v>-0.268872142036019</v>
      </c>
      <c r="H2823">
        <v>1.836527978750817</v>
      </c>
      <c r="I2823">
        <v>1.81582054309327</v>
      </c>
    </row>
    <row r="2824" spans="1:9">
      <c r="A2824" s="1" t="s">
        <v>2836</v>
      </c>
      <c r="B2824">
        <f>HYPERLINK("https://www.suredividend.com/sure-analysis-TR/","Tootsie Roll Industries, Inc.")</f>
        <v>0</v>
      </c>
      <c r="C2824">
        <v>0.08783985658798901</v>
      </c>
      <c r="D2824">
        <v>0.07575171142317701</v>
      </c>
      <c r="E2824">
        <v>0.198016576785261</v>
      </c>
      <c r="F2824">
        <v>0.037747679959869</v>
      </c>
      <c r="G2824">
        <v>0.144011612927551</v>
      </c>
      <c r="H2824">
        <v>0.101797494401743</v>
      </c>
      <c r="I2824">
        <v>0.15091494735378</v>
      </c>
    </row>
    <row r="2825" spans="1:9">
      <c r="A2825" s="1" t="s">
        <v>2837</v>
      </c>
      <c r="B2825">
        <f>HYPERLINK("https://www.suredividend.com/sure-analysis-research-database/","Tejon Ranch Co.")</f>
        <v>0</v>
      </c>
      <c r="C2825">
        <v>0.079302587176602</v>
      </c>
      <c r="D2825">
        <v>0.06492785793562701</v>
      </c>
      <c r="E2825">
        <v>0.059050772626931</v>
      </c>
      <c r="F2825">
        <v>0.005765199161425</v>
      </c>
      <c r="G2825">
        <v>0.216867469879518</v>
      </c>
      <c r="H2825">
        <v>0.416236162361623</v>
      </c>
      <c r="I2825">
        <v>-0.142920946851272</v>
      </c>
    </row>
    <row r="2826" spans="1:9">
      <c r="A2826" s="1" t="s">
        <v>2838</v>
      </c>
      <c r="B2826">
        <f>HYPERLINK("https://www.suredividend.com/sure-analysis-research-database/","Torchlight Energy Resources Inc")</f>
        <v>0</v>
      </c>
      <c r="C2826">
        <v>1.07112970711297</v>
      </c>
      <c r="D2826">
        <v>1.675675675675675</v>
      </c>
      <c r="E2826">
        <v>6.969731122202544</v>
      </c>
      <c r="F2826">
        <v>0</v>
      </c>
      <c r="G2826">
        <v>13.14285714285714</v>
      </c>
      <c r="H2826">
        <v>2.561151079136691</v>
      </c>
      <c r="I2826">
        <v>7.30536912751678</v>
      </c>
    </row>
    <row r="2827" spans="1:9">
      <c r="A2827" s="1" t="s">
        <v>2839</v>
      </c>
      <c r="B2827">
        <f>HYPERLINK("https://www.suredividend.com/sure-analysis-research-database/","Trecora Resources")</f>
        <v>0</v>
      </c>
      <c r="C2827">
        <v>-0.011764705882352</v>
      </c>
      <c r="D2827">
        <v>0.012048192771084</v>
      </c>
      <c r="E2827">
        <v>0.05793450881612001</v>
      </c>
      <c r="F2827">
        <v>0.039603960396039</v>
      </c>
      <c r="G2827">
        <v>0.07692307692307701</v>
      </c>
      <c r="H2827">
        <v>0.621621621621621</v>
      </c>
      <c r="I2827">
        <v>-0.246636771300448</v>
      </c>
    </row>
    <row r="2828" spans="1:9">
      <c r="A2828" s="1" t="s">
        <v>2840</v>
      </c>
      <c r="B2828">
        <f>HYPERLINK("https://www.suredividend.com/sure-analysis-research-database/","LendingTree Inc.")</f>
        <v>0</v>
      </c>
      <c r="C2828">
        <v>-0.034031899109792</v>
      </c>
      <c r="D2828">
        <v>-0.246237337192474</v>
      </c>
      <c r="E2828">
        <v>-0.324185805112235</v>
      </c>
      <c r="F2828">
        <v>-0.150326264274061</v>
      </c>
      <c r="G2828">
        <v>-0.551532633029102</v>
      </c>
      <c r="H2828">
        <v>-0.457899666944213</v>
      </c>
      <c r="I2828">
        <v>-0.108133561643835</v>
      </c>
    </row>
    <row r="2829" spans="1:9">
      <c r="A2829" s="1" t="s">
        <v>2841</v>
      </c>
      <c r="B2829">
        <f>HYPERLINK("https://www.suredividend.com/sure-analysis-research-database/","TREX Co., Inc.")</f>
        <v>0</v>
      </c>
      <c r="C2829">
        <v>-0.20138797957313</v>
      </c>
      <c r="D2829">
        <v>-0.4297335203366051</v>
      </c>
      <c r="E2829">
        <v>-0.346862283144142</v>
      </c>
      <c r="F2829">
        <v>-0.548322594978893</v>
      </c>
      <c r="G2829">
        <v>-0.419032196608877</v>
      </c>
      <c r="H2829">
        <v>0.5329898202840261</v>
      </c>
      <c r="I2829">
        <v>2.665815176558978</v>
      </c>
    </row>
    <row r="2830" spans="1:9">
      <c r="A2830" s="1" t="s">
        <v>2842</v>
      </c>
      <c r="B2830">
        <f>HYPERLINK("https://www.suredividend.com/sure-analysis-TRGP/","Targa Resources Corp")</f>
        <v>0</v>
      </c>
      <c r="C2830">
        <v>0.197502664839348</v>
      </c>
      <c r="D2830">
        <v>0.369323939836113</v>
      </c>
      <c r="E2830">
        <v>0.422799897957891</v>
      </c>
      <c r="F2830">
        <v>0.514541641228504</v>
      </c>
      <c r="G2830">
        <v>1.387066615671347</v>
      </c>
      <c r="H2830">
        <v>9.620568573164968</v>
      </c>
      <c r="I2830">
        <v>0.784255713066996</v>
      </c>
    </row>
    <row r="2831" spans="1:9">
      <c r="A2831" s="1" t="s">
        <v>2843</v>
      </c>
      <c r="B2831">
        <f>HYPERLINK("https://www.suredividend.com/sure-analysis-research-database/","Tabula Rasa HealthCare Inc")</f>
        <v>0</v>
      </c>
      <c r="C2831">
        <v>-0.01330376940133</v>
      </c>
      <c r="D2831">
        <v>-0.703728362183754</v>
      </c>
      <c r="E2831">
        <v>-0.8254901960784311</v>
      </c>
      <c r="F2831">
        <v>-0.703333333333333</v>
      </c>
      <c r="G2831">
        <v>-0.8989325459913691</v>
      </c>
      <c r="H2831">
        <v>-0.9213224893917961</v>
      </c>
      <c r="I2831">
        <v>-0.6669161676646701</v>
      </c>
    </row>
    <row r="2832" spans="1:9">
      <c r="A2832" s="1" t="s">
        <v>2844</v>
      </c>
      <c r="B2832">
        <f>HYPERLINK("https://www.suredividend.com/sure-analysis-research-database/","TripAdvisor Inc.")</f>
        <v>0</v>
      </c>
      <c r="C2832">
        <v>0.053809897879025</v>
      </c>
      <c r="D2832">
        <v>-0.07354972375690601</v>
      </c>
      <c r="E2832">
        <v>-0.291336502905441</v>
      </c>
      <c r="F2832">
        <v>-0.015774027879677</v>
      </c>
      <c r="G2832">
        <v>-0.4897299353366291</v>
      </c>
      <c r="H2832">
        <v>0.4553837808516411</v>
      </c>
      <c r="I2832">
        <v>-0.270535393851072</v>
      </c>
    </row>
    <row r="2833" spans="1:9">
      <c r="A2833" s="1" t="s">
        <v>2845</v>
      </c>
      <c r="B2833">
        <f>HYPERLINK("https://www.suredividend.com/sure-analysis-research-database/","Trimble Inc")</f>
        <v>0</v>
      </c>
      <c r="C2833">
        <v>-0.011718177823348</v>
      </c>
      <c r="D2833">
        <v>-0.111301369863013</v>
      </c>
      <c r="E2833">
        <v>-0.205581066760862</v>
      </c>
      <c r="F2833">
        <v>-0.226172726230072</v>
      </c>
      <c r="G2833">
        <v>-0.176893985604489</v>
      </c>
      <c r="H2833">
        <v>1.152839821314613</v>
      </c>
      <c r="I2833">
        <v>1.215036112934996</v>
      </c>
    </row>
    <row r="2834" spans="1:9">
      <c r="A2834" s="1" t="s">
        <v>2846</v>
      </c>
      <c r="B2834">
        <f>HYPERLINK("https://www.suredividend.com/sure-analysis-research-database/","Trustmark Corp.")</f>
        <v>0</v>
      </c>
      <c r="C2834">
        <v>-0.07757009345794301</v>
      </c>
      <c r="D2834">
        <v>-0.153937149616828</v>
      </c>
      <c r="E2834">
        <v>-0.09070808689403501</v>
      </c>
      <c r="F2834">
        <v>-0.08121375355676701</v>
      </c>
      <c r="G2834">
        <v>-0.08576121725598601</v>
      </c>
      <c r="H2834">
        <v>0.363630083678347</v>
      </c>
      <c r="I2834">
        <v>0.120076260511353</v>
      </c>
    </row>
    <row r="2835" spans="1:9">
      <c r="A2835" s="1" t="s">
        <v>2847</v>
      </c>
      <c r="B2835">
        <f>HYPERLINK("https://www.suredividend.com/sure-analysis-research-database/","Trinity Industries, Inc.")</f>
        <v>0</v>
      </c>
      <c r="C2835">
        <v>-0.023432692544367</v>
      </c>
      <c r="D2835">
        <v>0.036398010794996</v>
      </c>
      <c r="E2835">
        <v>0.10061584553928</v>
      </c>
      <c r="F2835">
        <v>0.06672581718456901</v>
      </c>
      <c r="G2835">
        <v>0.135213433716625</v>
      </c>
      <c r="H2835">
        <v>1.147147959735901</v>
      </c>
      <c r="I2835">
        <v>1.018518989595787</v>
      </c>
    </row>
    <row r="2836" spans="1:9">
      <c r="A2836" s="1" t="s">
        <v>2848</v>
      </c>
      <c r="B2836">
        <f>HYPERLINK("https://www.suredividend.com/sure-analysis-research-database/","Terreno Realty Corp")</f>
        <v>0</v>
      </c>
      <c r="C2836">
        <v>0.05143757116073201</v>
      </c>
      <c r="D2836">
        <v>-0.043421697528828</v>
      </c>
      <c r="E2836">
        <v>0.090383779122474</v>
      </c>
      <c r="F2836">
        <v>-0.128547748444003</v>
      </c>
      <c r="G2836">
        <v>0.223716644333052</v>
      </c>
      <c r="H2836">
        <v>0.4474206873340411</v>
      </c>
      <c r="I2836">
        <v>1.775307752627294</v>
      </c>
    </row>
    <row r="2837" spans="1:9">
      <c r="A2837" s="1" t="s">
        <v>2849</v>
      </c>
      <c r="B2837">
        <f>HYPERLINK("https://www.suredividend.com/sure-analysis-research-database/","Transcat Inc")</f>
        <v>0</v>
      </c>
      <c r="C2837">
        <v>-0.022440746343923</v>
      </c>
      <c r="D2837">
        <v>-0.176070555732653</v>
      </c>
      <c r="E2837">
        <v>0.09535245091114501</v>
      </c>
      <c r="F2837">
        <v>-0.161094882613869</v>
      </c>
      <c r="G2837">
        <v>0.5830951408738261</v>
      </c>
      <c r="H2837">
        <v>2.198844884488449</v>
      </c>
      <c r="I2837">
        <v>5.408264462809918</v>
      </c>
    </row>
    <row r="2838" spans="1:9">
      <c r="A2838" s="1" t="s">
        <v>2850</v>
      </c>
      <c r="B2838">
        <f>HYPERLINK("https://www.suredividend.com/sure-analysis-TROW/","T. Rowe Price Group Inc.")</f>
        <v>0</v>
      </c>
      <c r="C2838">
        <v>-0.042645539097485</v>
      </c>
      <c r="D2838">
        <v>-0.198754078737288</v>
      </c>
      <c r="E2838">
        <v>-0.29417608924995</v>
      </c>
      <c r="F2838">
        <v>-0.287052272059129</v>
      </c>
      <c r="G2838">
        <v>-0.186234860489875</v>
      </c>
      <c r="H2838">
        <v>0.4934532452193051</v>
      </c>
      <c r="I2838">
        <v>1.297847008631809</v>
      </c>
    </row>
    <row r="2839" spans="1:9">
      <c r="A2839" s="1" t="s">
        <v>2851</v>
      </c>
      <c r="B2839">
        <f>HYPERLINK("https://www.suredividend.com/sure-analysis-research-database/","Tronox Holdings plc")</f>
        <v>0</v>
      </c>
      <c r="C2839">
        <v>-0.06737760542898601</v>
      </c>
      <c r="D2839">
        <v>-0.232141503071034</v>
      </c>
      <c r="E2839">
        <v>-0.23177052138984</v>
      </c>
      <c r="F2839">
        <v>-0.194115873069061</v>
      </c>
      <c r="G2839">
        <v>-0.017926415941851</v>
      </c>
      <c r="H2839">
        <v>3.07488986784141</v>
      </c>
      <c r="I2839">
        <v>0.322345858047134</v>
      </c>
    </row>
    <row r="2840" spans="1:9">
      <c r="A2840" s="1" t="s">
        <v>2852</v>
      </c>
      <c r="B2840">
        <f>HYPERLINK("https://www.suredividend.com/sure-analysis-research-database/","Trimas Corporation")</f>
        <v>0</v>
      </c>
      <c r="C2840">
        <v>-0.030650154798761</v>
      </c>
      <c r="D2840">
        <v>-0.11367895419212</v>
      </c>
      <c r="E2840">
        <v>-0.001381034851196</v>
      </c>
      <c r="F2840">
        <v>-0.152725836043925</v>
      </c>
      <c r="G2840">
        <v>0.005013834588396</v>
      </c>
      <c r="H2840">
        <v>0.39371736604778</v>
      </c>
      <c r="I2840">
        <v>0.577210790116615</v>
      </c>
    </row>
    <row r="2841" spans="1:9">
      <c r="A2841" s="1" t="s">
        <v>2853</v>
      </c>
      <c r="B2841">
        <f>HYPERLINK("https://www.suredividend.com/sure-analysis-TRST/","Trustco Bank Corp.")</f>
        <v>0</v>
      </c>
      <c r="C2841">
        <v>-0.08121827411167501</v>
      </c>
      <c r="D2841">
        <v>-0.12476071009014</v>
      </c>
      <c r="E2841">
        <v>-0.035359694525344</v>
      </c>
      <c r="F2841">
        <v>-0.06669052768231601</v>
      </c>
      <c r="G2841">
        <v>-0.150837433801472</v>
      </c>
      <c r="H2841">
        <v>0.335231094351412</v>
      </c>
      <c r="I2841">
        <v>-0.0239740149338</v>
      </c>
    </row>
    <row r="2842" spans="1:9">
      <c r="A2842" s="1" t="s">
        <v>2854</v>
      </c>
      <c r="B2842">
        <f>HYPERLINK("https://www.suredividend.com/sure-analysis-research-database/","Trio-Tech International")</f>
        <v>0</v>
      </c>
      <c r="C2842">
        <v>-0.024390243902438</v>
      </c>
      <c r="D2842">
        <v>-0.257540603248259</v>
      </c>
      <c r="E2842">
        <v>0.410126470717842</v>
      </c>
      <c r="F2842">
        <v>-0.5234549516008931</v>
      </c>
      <c r="G2842">
        <v>0.4222222222222221</v>
      </c>
      <c r="H2842">
        <v>1.285714285714286</v>
      </c>
      <c r="I2842">
        <v>0.5311004784688991</v>
      </c>
    </row>
    <row r="2843" spans="1:9">
      <c r="A2843" s="1" t="s">
        <v>2855</v>
      </c>
      <c r="B2843">
        <f>HYPERLINK("https://www.suredividend.com/sure-analysis-TRTN/","Triton International Ltd")</f>
        <v>0</v>
      </c>
      <c r="C2843">
        <v>-0.06295399515738401</v>
      </c>
      <c r="D2843">
        <v>-0.05184531848626001</v>
      </c>
      <c r="E2843">
        <v>0.164273062647367</v>
      </c>
      <c r="F2843">
        <v>0.038356472204008</v>
      </c>
      <c r="G2843">
        <v>0.1424712583236</v>
      </c>
      <c r="H2843">
        <v>1.496200470053253</v>
      </c>
      <c r="I2843">
        <v>2.04424778761062</v>
      </c>
    </row>
    <row r="2844" spans="1:9">
      <c r="A2844" s="1" t="s">
        <v>2856</v>
      </c>
      <c r="B2844">
        <f>HYPERLINK("https://www.suredividend.com/sure-analysis-research-database/","TPG RE Finance Trust Inc")</f>
        <v>0</v>
      </c>
      <c r="C2844">
        <v>0.011511507143418</v>
      </c>
      <c r="D2844">
        <v>-0.106908933992941</v>
      </c>
      <c r="E2844">
        <v>-0.061401661780664</v>
      </c>
      <c r="F2844">
        <v>-0.040213322733445</v>
      </c>
      <c r="G2844">
        <v>0.046331070345225</v>
      </c>
      <c r="H2844">
        <v>1.281002145204778</v>
      </c>
      <c r="I2844">
        <v>0.027655367482111</v>
      </c>
    </row>
    <row r="2845" spans="1:9">
      <c r="A2845" s="1" t="s">
        <v>2857</v>
      </c>
      <c r="B2845">
        <f>HYPERLINK("https://www.suredividend.com/sure-analysis-research-database/","TransUnion")</f>
        <v>0</v>
      </c>
      <c r="C2845">
        <v>-0.09038834951456301</v>
      </c>
      <c r="D2845">
        <v>-0.135522469587811</v>
      </c>
      <c r="E2845">
        <v>-0.189282503333642</v>
      </c>
      <c r="F2845">
        <v>-0.209080755817929</v>
      </c>
      <c r="G2845">
        <v>-0.024164149567753</v>
      </c>
      <c r="H2845">
        <v>0.334381582714139</v>
      </c>
      <c r="I2845">
        <v>1.50539506301594</v>
      </c>
    </row>
    <row r="2846" spans="1:9">
      <c r="A2846" s="1" t="s">
        <v>2858</v>
      </c>
      <c r="B2846">
        <f>HYPERLINK("https://www.suredividend.com/sure-analysis-research-database/","Trupanion Inc")</f>
        <v>0</v>
      </c>
      <c r="C2846">
        <v>-0.002092565238798</v>
      </c>
      <c r="D2846">
        <v>-0.191402353879912</v>
      </c>
      <c r="E2846">
        <v>-0.110684510750329</v>
      </c>
      <c r="F2846">
        <v>-0.38597288495039</v>
      </c>
      <c r="G2846">
        <v>-0.001478014533809</v>
      </c>
      <c r="H2846">
        <v>1.480722154222766</v>
      </c>
      <c r="I2846">
        <v>4.606500691562932</v>
      </c>
    </row>
    <row r="2847" spans="1:9">
      <c r="A2847" s="1" t="s">
        <v>2859</v>
      </c>
      <c r="B2847">
        <f>HYPERLINK("https://www.suredividend.com/sure-analysis-TRV/","Travelers Companies Inc.")</f>
        <v>0</v>
      </c>
      <c r="C2847">
        <v>0.02760890177924</v>
      </c>
      <c r="D2847">
        <v>0.134780428856337</v>
      </c>
      <c r="E2847">
        <v>0.196826823887686</v>
      </c>
      <c r="F2847">
        <v>0.183964301137181</v>
      </c>
      <c r="G2847">
        <v>0.207853935162421</v>
      </c>
      <c r="H2847">
        <v>0.936830154166382</v>
      </c>
      <c r="I2847">
        <v>0.720059078016965</v>
      </c>
    </row>
    <row r="2848" spans="1:9">
      <c r="A2848" s="1" t="s">
        <v>2860</v>
      </c>
      <c r="B2848">
        <f>HYPERLINK("https://www.suredividend.com/sure-analysis-research-database/","Trevena Inc")</f>
        <v>0</v>
      </c>
      <c r="C2848">
        <v>-0.064282374941561</v>
      </c>
      <c r="D2848">
        <v>-0.3293684034176571</v>
      </c>
      <c r="E2848">
        <v>-0.648859649122806</v>
      </c>
      <c r="F2848">
        <v>-0.312789699570815</v>
      </c>
      <c r="G2848">
        <v>-0.784784946236559</v>
      </c>
      <c r="H2848">
        <v>-0.389134747443918</v>
      </c>
      <c r="I2848">
        <v>-0.8794277108433731</v>
      </c>
    </row>
    <row r="2849" spans="1:9">
      <c r="A2849" s="1" t="s">
        <v>2861</v>
      </c>
      <c r="B2849">
        <f>HYPERLINK("https://www.suredividend.com/sure-analysis-research-database/","TransEnterix Inc")</f>
        <v>0</v>
      </c>
      <c r="C2849">
        <v>0.278996865203761</v>
      </c>
      <c r="D2849">
        <v>7.053691275167784</v>
      </c>
      <c r="E2849">
        <v>10.46711635750422</v>
      </c>
      <c r="F2849">
        <v>5.528</v>
      </c>
      <c r="G2849">
        <v>2.578947368421053</v>
      </c>
      <c r="H2849">
        <v>-0.878823878823878</v>
      </c>
      <c r="I2849">
        <v>-0.9110917411200691</v>
      </c>
    </row>
    <row r="2850" spans="1:9">
      <c r="A2850" s="1" t="s">
        <v>2862</v>
      </c>
      <c r="B2850">
        <f>HYPERLINK("https://www.suredividend.com/sure-analysis-research-database/","Timberland Bancorp, Inc.")</f>
        <v>0</v>
      </c>
      <c r="C2850">
        <v>-0.07861970828886501</v>
      </c>
      <c r="D2850">
        <v>-0.109518865135085</v>
      </c>
      <c r="E2850">
        <v>-0.08676121097579001</v>
      </c>
      <c r="F2850">
        <v>-0.057441481308955</v>
      </c>
      <c r="G2850">
        <v>-0.03507268622352</v>
      </c>
      <c r="H2850">
        <v>0.8334855338699281</v>
      </c>
      <c r="I2850">
        <v>0.3401565758223331</v>
      </c>
    </row>
    <row r="2851" spans="1:9">
      <c r="A2851" s="1" t="s">
        <v>2863</v>
      </c>
      <c r="B2851">
        <f>HYPERLINK("https://www.suredividend.com/sure-analysis-research-database/","Tristate Capital Holdings Inc")</f>
        <v>0</v>
      </c>
      <c r="C2851">
        <v>0.070053644682865</v>
      </c>
      <c r="D2851">
        <v>0.049195544554455</v>
      </c>
      <c r="E2851">
        <v>0.54698905109489</v>
      </c>
      <c r="F2851">
        <v>0.120621282220753</v>
      </c>
      <c r="G2851">
        <v>0.4170497283744251</v>
      </c>
      <c r="H2851">
        <v>2.506721820062048</v>
      </c>
      <c r="I2851">
        <v>0.5004424778761051</v>
      </c>
    </row>
    <row r="2852" spans="1:9">
      <c r="A2852" s="1" t="s">
        <v>2864</v>
      </c>
      <c r="B2852">
        <f>HYPERLINK("https://www.suredividend.com/sure-analysis-TSCO/","Tractor Supply Co.")</f>
        <v>0</v>
      </c>
      <c r="C2852">
        <v>0.004887284255019</v>
      </c>
      <c r="D2852">
        <v>0.032619613393152</v>
      </c>
      <c r="E2852">
        <v>0.164554636813356</v>
      </c>
      <c r="F2852">
        <v>-0.03935233414695601</v>
      </c>
      <c r="G2852">
        <v>0.275675748187207</v>
      </c>
      <c r="H2852">
        <v>1.563284706210038</v>
      </c>
      <c r="I2852">
        <v>2.840969102943626</v>
      </c>
    </row>
    <row r="2853" spans="1:9">
      <c r="A2853" s="1" t="s">
        <v>2865</v>
      </c>
      <c r="B2853">
        <f>HYPERLINK("https://www.suredividend.com/sure-analysis-research-database/","Trinseo PLC")</f>
        <v>0</v>
      </c>
      <c r="C2853">
        <v>0.05908961918517201</v>
      </c>
      <c r="D2853">
        <v>-0.119770059509246</v>
      </c>
      <c r="E2853">
        <v>-0.078353752930249</v>
      </c>
      <c r="F2853">
        <v>-0.034783313582515</v>
      </c>
      <c r="G2853">
        <v>-0.08501610964438</v>
      </c>
      <c r="H2853">
        <v>-0.08501610964438</v>
      </c>
      <c r="I2853">
        <v>-0.08501610964438</v>
      </c>
    </row>
    <row r="2854" spans="1:9">
      <c r="A2854" s="1" t="s">
        <v>2866</v>
      </c>
      <c r="B2854">
        <f>HYPERLINK("https://www.suredividend.com/sure-analysis-research-database/","Tesla Inc")</f>
        <v>0</v>
      </c>
      <c r="C2854">
        <v>0.172298061245135</v>
      </c>
      <c r="D2854">
        <v>-0.06155619706367101</v>
      </c>
      <c r="E2854">
        <v>0.168404445867881</v>
      </c>
      <c r="F2854">
        <v>-0.067923314218664</v>
      </c>
      <c r="G2854">
        <v>0.3314769255724671</v>
      </c>
      <c r="H2854">
        <v>5.608875350572322</v>
      </c>
      <c r="I2854">
        <v>15.20065789473684</v>
      </c>
    </row>
    <row r="2855" spans="1:9">
      <c r="A2855" s="1" t="s">
        <v>2867</v>
      </c>
      <c r="B2855">
        <f>HYPERLINK("https://www.suredividend.com/sure-analysis-TSN/","Tyson Foods, Inc.")</f>
        <v>0</v>
      </c>
      <c r="C2855">
        <v>0.094359091951387</v>
      </c>
      <c r="D2855">
        <v>0.02306477838241</v>
      </c>
      <c r="E2855">
        <v>0.210649146394054</v>
      </c>
      <c r="F2855">
        <v>0.100534298160049</v>
      </c>
      <c r="G2855">
        <v>0.236222817992254</v>
      </c>
      <c r="H2855">
        <v>0.645945060440413</v>
      </c>
      <c r="I2855">
        <v>0.6627732165472501</v>
      </c>
    </row>
    <row r="2856" spans="1:9">
      <c r="A2856" s="1" t="s">
        <v>2868</v>
      </c>
      <c r="B2856">
        <f>HYPERLINK("https://www.suredividend.com/sure-analysis-research-database/","Townsquare Media Inc")</f>
        <v>0</v>
      </c>
      <c r="C2856">
        <v>-0.03249390739236301</v>
      </c>
      <c r="D2856">
        <v>-0.03170731707317</v>
      </c>
      <c r="E2856">
        <v>-0.11646884272997</v>
      </c>
      <c r="F2856">
        <v>-0.106526631657914</v>
      </c>
      <c r="G2856">
        <v>0.217791411042944</v>
      </c>
      <c r="H2856">
        <v>1.822274881516588</v>
      </c>
      <c r="I2856">
        <v>0.19189392044033</v>
      </c>
    </row>
    <row r="2857" spans="1:9">
      <c r="A2857" s="1" t="s">
        <v>2869</v>
      </c>
      <c r="B2857">
        <f>HYPERLINK("https://www.suredividend.com/sure-analysis-TTC/","Toro Co.")</f>
        <v>0</v>
      </c>
      <c r="C2857">
        <v>-0.009636387607745</v>
      </c>
      <c r="D2857">
        <v>-0.151633548019494</v>
      </c>
      <c r="E2857">
        <v>-0.138404943476553</v>
      </c>
      <c r="F2857">
        <v>-0.162587402052454</v>
      </c>
      <c r="G2857">
        <v>-0.252174505769682</v>
      </c>
      <c r="H2857">
        <v>0.339190350377038</v>
      </c>
      <c r="I2857">
        <v>0.459825899391418</v>
      </c>
    </row>
    <row r="2858" spans="1:9">
      <c r="A2858" s="1" t="s">
        <v>2870</v>
      </c>
      <c r="B2858">
        <f>HYPERLINK("https://www.suredividend.com/sure-analysis-research-database/","Trade Desk Inc")</f>
        <v>0</v>
      </c>
      <c r="C2858">
        <v>0.054219864035814</v>
      </c>
      <c r="D2858">
        <v>-0.157546044786007</v>
      </c>
      <c r="E2858">
        <v>-0.189650777466224</v>
      </c>
      <c r="F2858">
        <v>-0.306198166739415</v>
      </c>
      <c r="G2858">
        <v>-0.115544055866232</v>
      </c>
      <c r="H2858">
        <v>1.880442169165948</v>
      </c>
      <c r="I2858">
        <v>16.25373134328358</v>
      </c>
    </row>
    <row r="2859" spans="1:9">
      <c r="A2859" s="1" t="s">
        <v>2871</v>
      </c>
      <c r="B2859">
        <f>HYPERLINK("https://www.suredividend.com/sure-analysis-research-database/","TTEC Holdings Inc")</f>
        <v>0</v>
      </c>
      <c r="C2859">
        <v>-0.002544013409843</v>
      </c>
      <c r="D2859">
        <v>-0.03857725161061201</v>
      </c>
      <c r="E2859">
        <v>-0.122454994415425</v>
      </c>
      <c r="F2859">
        <v>-0.103556997843604</v>
      </c>
      <c r="G2859">
        <v>-0.256128253113678</v>
      </c>
      <c r="H2859">
        <v>1.466558251002641</v>
      </c>
      <c r="I2859">
        <v>2.078208390397241</v>
      </c>
    </row>
    <row r="2860" spans="1:9">
      <c r="A2860" s="1" t="s">
        <v>2872</v>
      </c>
      <c r="B2860">
        <f>HYPERLINK("https://www.suredividend.com/sure-analysis-research-database/","Tetra Tech, Inc.")</f>
        <v>0</v>
      </c>
      <c r="C2860">
        <v>-0.089395052657359</v>
      </c>
      <c r="D2860">
        <v>0.007410618725698001</v>
      </c>
      <c r="E2860">
        <v>-0.08022660366622901</v>
      </c>
      <c r="F2860">
        <v>-0.122995308331544</v>
      </c>
      <c r="G2860">
        <v>0.103596483807437</v>
      </c>
      <c r="H2860">
        <v>0.9818287940854291</v>
      </c>
      <c r="I2860">
        <v>2.816092661873457</v>
      </c>
    </row>
    <row r="2861" spans="1:9">
      <c r="A2861" s="1" t="s">
        <v>2873</v>
      </c>
      <c r="B2861">
        <f>HYPERLINK("https://www.suredividend.com/sure-analysis-research-database/","Techtarget Inc.")</f>
        <v>0</v>
      </c>
      <c r="C2861">
        <v>-0.04383702939659601</v>
      </c>
      <c r="D2861">
        <v>-0.127529411764705</v>
      </c>
      <c r="E2861">
        <v>-0.148075818495117</v>
      </c>
      <c r="F2861">
        <v>-0.224754338281413</v>
      </c>
      <c r="G2861">
        <v>-0.0112</v>
      </c>
      <c r="H2861">
        <v>2.49317004239284</v>
      </c>
      <c r="I2861">
        <v>7.23085460599334</v>
      </c>
    </row>
    <row r="2862" spans="1:9">
      <c r="A2862" s="1" t="s">
        <v>2874</v>
      </c>
      <c r="B2862">
        <f>HYPERLINK("https://www.suredividend.com/sure-analysis-research-database/","Tetra Technologies, Inc.")</f>
        <v>0</v>
      </c>
      <c r="C2862">
        <v>0.38235294117647</v>
      </c>
      <c r="D2862">
        <v>0.321875</v>
      </c>
      <c r="E2862">
        <v>0.219020172910662</v>
      </c>
      <c r="F2862">
        <v>0.48943661971831</v>
      </c>
      <c r="G2862">
        <v>0.678571428571428</v>
      </c>
      <c r="H2862">
        <v>18.21853702862336</v>
      </c>
      <c r="I2862">
        <v>0.09020618556701</v>
      </c>
    </row>
    <row r="2863" spans="1:9">
      <c r="A2863" s="1" t="s">
        <v>2875</v>
      </c>
      <c r="B2863">
        <f>HYPERLINK("https://www.suredividend.com/sure-analysis-research-database/","TTM Technologies Inc")</f>
        <v>0</v>
      </c>
      <c r="C2863">
        <v>0.008902077151335001</v>
      </c>
      <c r="D2863">
        <v>-0.110529758011772</v>
      </c>
      <c r="E2863">
        <v>0.007407407407407001</v>
      </c>
      <c r="F2863">
        <v>-0.08724832214765101</v>
      </c>
      <c r="G2863">
        <v>-0.09844216108717201</v>
      </c>
      <c r="H2863">
        <v>0.334641805691854</v>
      </c>
      <c r="I2863">
        <v>-0.125964010282776</v>
      </c>
    </row>
    <row r="2864" spans="1:9">
      <c r="A2864" s="1" t="s">
        <v>2876</v>
      </c>
      <c r="B2864">
        <f>HYPERLINK("https://www.suredividend.com/sure-analysis-research-database/","Titan Pharmaceuticals, Inc. (de)")</f>
        <v>0</v>
      </c>
      <c r="C2864">
        <v>-0.117475922953451</v>
      </c>
      <c r="D2864">
        <v>-0.129009900990099</v>
      </c>
      <c r="E2864">
        <v>-0.5057865168539321</v>
      </c>
      <c r="F2864">
        <v>-0.137549019607843</v>
      </c>
      <c r="G2864">
        <v>-0.615851528384279</v>
      </c>
      <c r="H2864">
        <v>-0.875272933503473</v>
      </c>
      <c r="I2864">
        <v>-0.9984234767025091</v>
      </c>
    </row>
    <row r="2865" spans="1:9">
      <c r="A2865" s="1" t="s">
        <v>2877</v>
      </c>
      <c r="B2865">
        <f>HYPERLINK("https://www.suredividend.com/sure-analysis-research-database/","T2 Biosystems Inc")</f>
        <v>0</v>
      </c>
      <c r="C2865">
        <v>0.243023845763571</v>
      </c>
      <c r="D2865">
        <v>0.178167828805001</v>
      </c>
      <c r="E2865">
        <v>-0.407711833675812</v>
      </c>
      <c r="F2865">
        <v>-0.050755521115846</v>
      </c>
      <c r="G2865">
        <v>-0.6230769230769231</v>
      </c>
      <c r="H2865">
        <v>-0.244410177332305</v>
      </c>
      <c r="I2865">
        <v>-0.9012096774193541</v>
      </c>
    </row>
    <row r="2866" spans="1:9">
      <c r="A2866" s="1" t="s">
        <v>2878</v>
      </c>
      <c r="B2866">
        <f>HYPERLINK("https://www.suredividend.com/sure-analysis-research-database/","Tile Shop Holdings, Inc.")</f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2879</v>
      </c>
      <c r="B2867">
        <f>HYPERLINK("https://www.suredividend.com/sure-analysis-research-database/","Take-Two Interactive Software, Inc.")</f>
        <v>0</v>
      </c>
      <c r="C2867">
        <v>-0.072787149674037</v>
      </c>
      <c r="D2867">
        <v>-0.095818586970769</v>
      </c>
      <c r="E2867">
        <v>-0.191135084427767</v>
      </c>
      <c r="F2867">
        <v>-0.223722709880711</v>
      </c>
      <c r="G2867">
        <v>-0.228411633109619</v>
      </c>
      <c r="H2867">
        <v>0.08784103453713901</v>
      </c>
      <c r="I2867">
        <v>1.398053189640188</v>
      </c>
    </row>
    <row r="2868" spans="1:9">
      <c r="A2868" s="1" t="s">
        <v>2880</v>
      </c>
      <c r="B2868">
        <f>HYPERLINK("https://www.suredividend.com/sure-analysis-research-database/","Tupperware Brands Corporation")</f>
        <v>0</v>
      </c>
      <c r="C2868">
        <v>0.07605177993527501</v>
      </c>
      <c r="D2868">
        <v>0.3720770288858321</v>
      </c>
      <c r="E2868">
        <v>-0.15142492556359</v>
      </c>
      <c r="F2868">
        <v>0.304774362328319</v>
      </c>
      <c r="G2868">
        <v>-0.274017467248908</v>
      </c>
      <c r="H2868">
        <v>8.876237623762377</v>
      </c>
      <c r="I2868">
        <v>-0.6377199784266331</v>
      </c>
    </row>
    <row r="2869" spans="1:9">
      <c r="A2869" s="1" t="s">
        <v>2881</v>
      </c>
      <c r="B2869">
        <f>HYPERLINK("https://www.suredividend.com/sure-analysis-research-database/","Mammoth Energy Services Inc")</f>
        <v>0</v>
      </c>
      <c r="C2869">
        <v>0.406593406593406</v>
      </c>
      <c r="D2869">
        <v>0.261083743842364</v>
      </c>
      <c r="E2869">
        <v>-0.242603550295857</v>
      </c>
      <c r="F2869">
        <v>0.406593406593406</v>
      </c>
      <c r="G2869">
        <v>-0.459915611814346</v>
      </c>
      <c r="H2869">
        <v>3.266666666666666</v>
      </c>
      <c r="I2869">
        <v>-0.8667873905939401</v>
      </c>
    </row>
    <row r="2870" spans="1:9">
      <c r="A2870" s="1" t="s">
        <v>2882</v>
      </c>
      <c r="B2870">
        <f>HYPERLINK("https://www.suredividend.com/sure-analysis-research-database/","Tivity Health Inc")</f>
        <v>0</v>
      </c>
      <c r="C2870">
        <v>0.068211920529801</v>
      </c>
      <c r="D2870">
        <v>0.285771223595057</v>
      </c>
      <c r="E2870">
        <v>0.325935059597205</v>
      </c>
      <c r="F2870">
        <v>0.220121028744326</v>
      </c>
      <c r="G2870">
        <v>0.366949152542372</v>
      </c>
      <c r="H2870">
        <v>4.178170144462278</v>
      </c>
      <c r="I2870">
        <v>0.143971631205673</v>
      </c>
    </row>
    <row r="2871" spans="1:9">
      <c r="A2871" s="1" t="s">
        <v>2883</v>
      </c>
      <c r="B2871">
        <f>HYPERLINK("https://www.suredividend.com/sure-analysis-research-database/","Tradeweb Markets Inc")</f>
        <v>0</v>
      </c>
      <c r="C2871">
        <v>-0.019901635594189</v>
      </c>
      <c r="D2871">
        <v>-0.06473815069405101</v>
      </c>
      <c r="E2871">
        <v>0.028311260662324</v>
      </c>
      <c r="F2871">
        <v>-0.143470877110211</v>
      </c>
      <c r="G2871">
        <v>0.078982691450488</v>
      </c>
      <c r="H2871">
        <v>0.6261319730679601</v>
      </c>
      <c r="I2871">
        <v>1.426908120753477</v>
      </c>
    </row>
    <row r="2872" spans="1:9">
      <c r="A2872" s="1" t="s">
        <v>2884</v>
      </c>
      <c r="B2872">
        <f>HYPERLINK("https://www.suredividend.com/sure-analysis-research-database/","Titan International, Inc.")</f>
        <v>0</v>
      </c>
      <c r="C2872">
        <v>0.029840388619014</v>
      </c>
      <c r="D2872">
        <v>0.338142470694319</v>
      </c>
      <c r="E2872">
        <v>1.087201125175808</v>
      </c>
      <c r="F2872">
        <v>0.3540145985401451</v>
      </c>
      <c r="G2872">
        <v>0.4635108481262321</v>
      </c>
      <c r="H2872">
        <v>11.47058823529412</v>
      </c>
      <c r="I2872">
        <v>0.6741877256317681</v>
      </c>
    </row>
    <row r="2873" spans="1:9">
      <c r="A2873" s="1" t="s">
        <v>2885</v>
      </c>
      <c r="B2873">
        <f>HYPERLINK("https://www.suredividend.com/sure-analysis-research-database/","Twin Disc Incorporated")</f>
        <v>0</v>
      </c>
      <c r="C2873">
        <v>-0.0146373918829</v>
      </c>
      <c r="D2873">
        <v>0.189558232931726</v>
      </c>
      <c r="E2873">
        <v>0.315275310834813</v>
      </c>
      <c r="F2873">
        <v>0.351277372262773</v>
      </c>
      <c r="G2873">
        <v>0.444878048780487</v>
      </c>
      <c r="H2873">
        <v>1.831739961759082</v>
      </c>
      <c r="I2873">
        <v>-0.215987294865007</v>
      </c>
    </row>
    <row r="2874" spans="1:9">
      <c r="A2874" s="1" t="s">
        <v>2886</v>
      </c>
      <c r="B2874">
        <f>HYPERLINK("https://www.suredividend.com/sure-analysis-research-database/","Twilio Inc")</f>
        <v>0</v>
      </c>
      <c r="C2874">
        <v>-0.048580748143521</v>
      </c>
      <c r="D2874">
        <v>-0.362846253950548</v>
      </c>
      <c r="E2874">
        <v>-0.6119838102516201</v>
      </c>
      <c r="F2874">
        <v>-0.479418242576137</v>
      </c>
      <c r="G2874">
        <v>-0.6441439102896891</v>
      </c>
      <c r="H2874">
        <v>0.322879475055486</v>
      </c>
      <c r="I2874">
        <v>3.525916143941896</v>
      </c>
    </row>
    <row r="2875" spans="1:9">
      <c r="A2875" s="1" t="s">
        <v>2887</v>
      </c>
      <c r="B2875">
        <f>HYPERLINK("https://www.suredividend.com/sure-analysis-research-database/","Hostess Brands Inc")</f>
        <v>0</v>
      </c>
      <c r="C2875">
        <v>0.104679208876024</v>
      </c>
      <c r="D2875">
        <v>0.129191321499013</v>
      </c>
      <c r="E2875">
        <v>0.258933479934029</v>
      </c>
      <c r="F2875">
        <v>0.121449559255631</v>
      </c>
      <c r="G2875">
        <v>0.5488670950287451</v>
      </c>
      <c r="H2875">
        <v>0.9572649572649571</v>
      </c>
      <c r="I2875">
        <v>0.4604591836734691</v>
      </c>
    </row>
    <row r="2876" spans="1:9">
      <c r="A2876" s="1" t="s">
        <v>2888</v>
      </c>
      <c r="B2876">
        <f>HYPERLINK("https://www.suredividend.com/sure-analysis-TWO/","Two Harbors Investment Corp")</f>
        <v>0</v>
      </c>
      <c r="C2876">
        <v>-0.016136133070459</v>
      </c>
      <c r="D2876">
        <v>-0.09505449039595701</v>
      </c>
      <c r="E2876">
        <v>-0.180889547576931</v>
      </c>
      <c r="F2876">
        <v>-0.080928369631298</v>
      </c>
      <c r="G2876">
        <v>-0.243104743112105</v>
      </c>
      <c r="H2876">
        <v>0.6294182913298461</v>
      </c>
      <c r="I2876">
        <v>0.112361495844875</v>
      </c>
    </row>
    <row r="2877" spans="1:9">
      <c r="A2877" s="1" t="s">
        <v>2889</v>
      </c>
      <c r="B2877">
        <f>HYPERLINK("https://www.suredividend.com/sure-analysis-research-database/","2U Inc")</f>
        <v>0</v>
      </c>
      <c r="C2877">
        <v>0.013698630136986</v>
      </c>
      <c r="D2877">
        <v>-0.279367011564211</v>
      </c>
      <c r="E2877">
        <v>-0.649911295091661</v>
      </c>
      <c r="F2877">
        <v>-0.410064773293472</v>
      </c>
      <c r="G2877">
        <v>-0.702587289625722</v>
      </c>
      <c r="H2877">
        <v>-0.47656940760389</v>
      </c>
      <c r="I2877">
        <v>-0.716339242932438</v>
      </c>
    </row>
    <row r="2878" spans="1:9">
      <c r="A2878" s="1" t="s">
        <v>2890</v>
      </c>
      <c r="B2878">
        <f>HYPERLINK("https://www.suredividend.com/sure-analysis-research-database/","Twist Bioscience Corp")</f>
        <v>0</v>
      </c>
      <c r="C2878">
        <v>-0.070696050621863</v>
      </c>
      <c r="D2878">
        <v>-0.288030758943497</v>
      </c>
      <c r="E2878">
        <v>-0.622429078014184</v>
      </c>
      <c r="F2878">
        <v>-0.449670500064607</v>
      </c>
      <c r="G2878">
        <v>-0.685078379177758</v>
      </c>
      <c r="H2878">
        <v>0.427278820375335</v>
      </c>
      <c r="I2878">
        <v>2.042142857142857</v>
      </c>
    </row>
    <row r="2879" spans="1:9">
      <c r="A2879" s="1" t="s">
        <v>2891</v>
      </c>
      <c r="B2879">
        <f>HYPERLINK("https://www.suredividend.com/sure-analysis-research-database/","Twitter Inc")</f>
        <v>0</v>
      </c>
      <c r="C2879">
        <v>0.274526434831778</v>
      </c>
      <c r="D2879">
        <v>0.172736732570239</v>
      </c>
      <c r="E2879">
        <v>-0.281822526684722</v>
      </c>
      <c r="F2879">
        <v>0.043035631652012</v>
      </c>
      <c r="G2879">
        <v>-0.357102110667427</v>
      </c>
      <c r="H2879">
        <v>0.6979284369114871</v>
      </c>
      <c r="I2879">
        <v>2.152447552447552</v>
      </c>
    </row>
    <row r="2880" spans="1:9">
      <c r="A2880" s="1" t="s">
        <v>2892</v>
      </c>
      <c r="B2880">
        <f>HYPERLINK("https://www.suredividend.com/sure-analysis-research-database/","TherapeuticsMD Inc")</f>
        <v>0</v>
      </c>
      <c r="C2880">
        <v>-0.205205479452054</v>
      </c>
      <c r="D2880">
        <v>-0.159617612977983</v>
      </c>
      <c r="E2880">
        <v>-0.597474677396975</v>
      </c>
      <c r="F2880">
        <v>-0.183966244725738</v>
      </c>
      <c r="G2880">
        <v>-0.755189873417721</v>
      </c>
      <c r="H2880">
        <v>-0.689732620320855</v>
      </c>
      <c r="I2880">
        <v>-0.9473502722323041</v>
      </c>
    </row>
    <row r="2881" spans="1:9">
      <c r="A2881" s="1" t="s">
        <v>2893</v>
      </c>
      <c r="B2881">
        <f>HYPERLINK("https://www.suredividend.com/sure-analysis-TXN/","Texas Instruments Inc.")</f>
        <v>0</v>
      </c>
      <c r="C2881">
        <v>-0.015142063176997</v>
      </c>
      <c r="D2881">
        <v>-0.065236944617738</v>
      </c>
      <c r="E2881">
        <v>-0.09546571327523601</v>
      </c>
      <c r="F2881">
        <v>-0.07247819661475301</v>
      </c>
      <c r="G2881">
        <v>-0.073392282786631</v>
      </c>
      <c r="H2881">
        <v>0.6416735124874381</v>
      </c>
      <c r="I2881">
        <v>1.542658268251472</v>
      </c>
    </row>
    <row r="2882" spans="1:9">
      <c r="A2882" s="1" t="s">
        <v>2894</v>
      </c>
      <c r="B2882">
        <f>HYPERLINK("https://www.suredividend.com/sure-analysis-research-database/","Texas Roadhouse Inc")</f>
        <v>0</v>
      </c>
      <c r="C2882">
        <v>-0.005226692597544</v>
      </c>
      <c r="D2882">
        <v>-0.05633944106791301</v>
      </c>
      <c r="E2882">
        <v>-0.071577263625999</v>
      </c>
      <c r="F2882">
        <v>-0.07737367155449601</v>
      </c>
      <c r="G2882">
        <v>-0.160176092109718</v>
      </c>
      <c r="H2882">
        <v>0.9730180618906641</v>
      </c>
      <c r="I2882">
        <v>0.988782721113563</v>
      </c>
    </row>
    <row r="2883" spans="1:9">
      <c r="A2883" s="1" t="s">
        <v>2895</v>
      </c>
      <c r="B2883">
        <f>HYPERLINK("https://www.suredividend.com/sure-analysis-TXT/","Textron Inc.")</f>
        <v>0</v>
      </c>
      <c r="C2883">
        <v>-0.06700190269094801</v>
      </c>
      <c r="D2883">
        <v>-0.104231446238881</v>
      </c>
      <c r="E2883">
        <v>-0.07115758254723301</v>
      </c>
      <c r="F2883">
        <v>-0.110497810256808</v>
      </c>
      <c r="G2883">
        <v>0.17402003957294</v>
      </c>
      <c r="H2883">
        <v>1.784334720430893</v>
      </c>
      <c r="I2883">
        <v>0.486609685375788</v>
      </c>
    </row>
    <row r="2884" spans="1:9">
      <c r="A2884" s="1" t="s">
        <v>2896</v>
      </c>
      <c r="B2884">
        <f>HYPERLINK("https://www.suredividend.com/sure-analysis-research-database/","Tyler Technologies, Inc.")</f>
        <v>0</v>
      </c>
      <c r="C2884">
        <v>-0.024670537499698</v>
      </c>
      <c r="D2884">
        <v>-0.157516856738533</v>
      </c>
      <c r="E2884">
        <v>-0.196095952976686</v>
      </c>
      <c r="F2884">
        <v>-0.247457942187935</v>
      </c>
      <c r="G2884">
        <v>-0.09676483712628201</v>
      </c>
      <c r="H2884">
        <v>0.239908116385911</v>
      </c>
      <c r="I2884">
        <v>1.623995333160487</v>
      </c>
    </row>
    <row r="2885" spans="1:9">
      <c r="A2885" s="1" t="s">
        <v>2897</v>
      </c>
      <c r="B2885">
        <f>HYPERLINK("https://www.suredividend.com/sure-analysis-research-database/","Tyme Technologies Inc")</f>
        <v>0</v>
      </c>
      <c r="C2885">
        <v>0.171477079796264</v>
      </c>
      <c r="D2885">
        <v>-0.443009363900548</v>
      </c>
      <c r="E2885">
        <v>-0.6501014198782961</v>
      </c>
      <c r="F2885">
        <v>-0.427955562924888</v>
      </c>
      <c r="G2885">
        <v>-0.7745098039215681</v>
      </c>
      <c r="H2885">
        <v>-0.702586206896551</v>
      </c>
      <c r="I2885">
        <v>7.625</v>
      </c>
    </row>
    <row r="2886" spans="1:9">
      <c r="A2886" s="1" t="s">
        <v>2898</v>
      </c>
      <c r="B2886">
        <f>HYPERLINK("https://www.suredividend.com/sure-analysis-research-database/","Travelzoo")</f>
        <v>0</v>
      </c>
      <c r="C2886">
        <v>0.078039927404718</v>
      </c>
      <c r="D2886">
        <v>-0.400605449041372</v>
      </c>
      <c r="E2886">
        <v>-0.47940403155127</v>
      </c>
      <c r="F2886">
        <v>-0.3694267515923561</v>
      </c>
      <c r="G2886">
        <v>-0.6221374045801521</v>
      </c>
      <c r="H2886">
        <v>0.250526315789473</v>
      </c>
      <c r="I2886">
        <v>-0.387628865979381</v>
      </c>
    </row>
    <row r="2887" spans="1:9">
      <c r="A2887" s="1" t="s">
        <v>2899</v>
      </c>
      <c r="B2887">
        <f>HYPERLINK("https://www.suredividend.com/sure-analysis-research-database/","Under Armour Inc")</f>
        <v>0</v>
      </c>
      <c r="C2887">
        <v>-0.020408163265306</v>
      </c>
      <c r="D2887">
        <v>-0.08034610630407901</v>
      </c>
      <c r="E2887">
        <v>-0.163575042158515</v>
      </c>
      <c r="F2887">
        <v>-0.175166297117516</v>
      </c>
      <c r="G2887">
        <v>-0.192182410423452</v>
      </c>
      <c r="H2887">
        <v>0.7799043062200951</v>
      </c>
      <c r="I2887">
        <v>-0.162162162162162</v>
      </c>
    </row>
    <row r="2888" spans="1:9">
      <c r="A2888" s="1" t="s">
        <v>2900</v>
      </c>
      <c r="B2888">
        <f>HYPERLINK("https://www.suredividend.com/sure-analysis-research-database/","Under Armour Inc")</f>
        <v>0</v>
      </c>
      <c r="C2888">
        <v>-0.054738081224249</v>
      </c>
      <c r="D2888">
        <v>-0.148462354188759</v>
      </c>
      <c r="E2888">
        <v>-0.216967333008288</v>
      </c>
      <c r="F2888">
        <v>-0.242095327984898</v>
      </c>
      <c r="G2888">
        <v>-0.271655328798186</v>
      </c>
      <c r="H2888">
        <v>0.719486081370449</v>
      </c>
      <c r="I2888">
        <v>-0.166147455867082</v>
      </c>
    </row>
    <row r="2889" spans="1:9">
      <c r="A2889" s="1" t="s">
        <v>2901</v>
      </c>
      <c r="B2889">
        <f>HYPERLINK("https://www.suredividend.com/sure-analysis-research-database/","United Airlines Holdings Inc")</f>
        <v>0</v>
      </c>
      <c r="C2889">
        <v>0.09565428502063601</v>
      </c>
      <c r="D2889">
        <v>-0.034445870774497</v>
      </c>
      <c r="E2889">
        <v>-0.05979166666666601</v>
      </c>
      <c r="F2889">
        <v>0.030835998172681</v>
      </c>
      <c r="G2889">
        <v>-0.192231967066404</v>
      </c>
      <c r="H2889">
        <v>0.599787309464728</v>
      </c>
      <c r="I2889">
        <v>-0.346604893586216</v>
      </c>
    </row>
    <row r="2890" spans="1:9">
      <c r="A2890" s="1" t="s">
        <v>2902</v>
      </c>
      <c r="B2890">
        <f>HYPERLINK("https://www.suredividend.com/sure-analysis-research-database/","United States Antimony Corp.")</f>
        <v>0</v>
      </c>
      <c r="C2890">
        <v>0.03103448275862</v>
      </c>
      <c r="D2890">
        <v>0.037135278514588</v>
      </c>
      <c r="E2890">
        <v>-0.4062609508235011</v>
      </c>
      <c r="F2890">
        <v>0.021092808356769</v>
      </c>
      <c r="G2890">
        <v>-0.4649473684210521</v>
      </c>
      <c r="H2890">
        <v>0.373783783783783</v>
      </c>
      <c r="I2890">
        <v>0.129555555555555</v>
      </c>
    </row>
    <row r="2891" spans="1:9">
      <c r="A2891" s="1" t="s">
        <v>2903</v>
      </c>
      <c r="B2891">
        <f>HYPERLINK("https://www.suredividend.com/sure-analysis-UBA/","Urstadt Biddle Properties, Inc.")</f>
        <v>0</v>
      </c>
      <c r="C2891">
        <v>-0.042879620288233</v>
      </c>
      <c r="D2891">
        <v>-0.106101067699052</v>
      </c>
      <c r="E2891">
        <v>-0.053639173446076</v>
      </c>
      <c r="F2891">
        <v>-0.119838484833918</v>
      </c>
      <c r="G2891">
        <v>0.06538347404618701</v>
      </c>
      <c r="H2891">
        <v>0.6380536594530271</v>
      </c>
      <c r="I2891">
        <v>0.12961237823198</v>
      </c>
    </row>
    <row r="2892" spans="1:9">
      <c r="A2892" s="1" t="s">
        <v>2904</v>
      </c>
      <c r="B2892">
        <f>HYPERLINK("https://www.suredividend.com/sure-analysis-research-database/","United Bancorp, Inc. (Martins Ferry, OH)")</f>
        <v>0</v>
      </c>
      <c r="C2892">
        <v>0.148036253776435</v>
      </c>
      <c r="D2892">
        <v>0.084437747565722</v>
      </c>
      <c r="E2892">
        <v>0.281437368062534</v>
      </c>
      <c r="F2892">
        <v>0.150469270360278</v>
      </c>
      <c r="G2892">
        <v>0.335010293632</v>
      </c>
      <c r="H2892">
        <v>1.199914319126518</v>
      </c>
      <c r="I2892">
        <v>0.9313064780085181</v>
      </c>
    </row>
    <row r="2893" spans="1:9">
      <c r="A2893" s="1" t="s">
        <v>2905</v>
      </c>
      <c r="B2893">
        <f>HYPERLINK("https://www.suredividend.com/sure-analysis-research-database/","Uber Technologies Inc")</f>
        <v>0</v>
      </c>
      <c r="C2893">
        <v>0.002146580803434</v>
      </c>
      <c r="D2893">
        <v>-0.212719826547819</v>
      </c>
      <c r="E2893">
        <v>-0.324234904880066</v>
      </c>
      <c r="F2893">
        <v>-0.220605771523968</v>
      </c>
      <c r="G2893">
        <v>-0.458492129246064</v>
      </c>
      <c r="H2893">
        <v>0.209027007029226</v>
      </c>
      <c r="I2893">
        <v>-0.213856146259321</v>
      </c>
    </row>
    <row r="2894" spans="1:9">
      <c r="A2894" s="1" t="s">
        <v>2906</v>
      </c>
      <c r="B2894">
        <f>HYPERLINK("https://www.suredividend.com/sure-analysis-research-database/","United Security Bancshares (CA)")</f>
        <v>0</v>
      </c>
      <c r="C2894">
        <v>-0.028411600176652</v>
      </c>
      <c r="D2894">
        <v>-0.030753980394796</v>
      </c>
      <c r="E2894">
        <v>0.023189716426587</v>
      </c>
      <c r="F2894">
        <v>-0.011655477075897</v>
      </c>
      <c r="G2894">
        <v>0.068926889179814</v>
      </c>
      <c r="H2894">
        <v>0.312192454893384</v>
      </c>
      <c r="I2894">
        <v>0.38478485129299</v>
      </c>
    </row>
    <row r="2895" spans="1:9">
      <c r="A2895" s="1" t="s">
        <v>2907</v>
      </c>
      <c r="B2895">
        <f>HYPERLINK("https://www.suredividend.com/sure-analysis-research-database/","United Bancshares Inc. (OH)")</f>
        <v>0</v>
      </c>
      <c r="C2895">
        <v>0.05553841406973101</v>
      </c>
      <c r="D2895">
        <v>0.07593165113521601</v>
      </c>
      <c r="E2895">
        <v>0.166330847933777</v>
      </c>
      <c r="F2895">
        <v>0.126997199802338</v>
      </c>
      <c r="G2895">
        <v>0.267393784917236</v>
      </c>
      <c r="H2895">
        <v>1.759160234540718</v>
      </c>
      <c r="I2895">
        <v>0.8256920392142211</v>
      </c>
    </row>
    <row r="2896" spans="1:9">
      <c r="A2896" s="1" t="s">
        <v>2908</v>
      </c>
      <c r="B2896">
        <f>HYPERLINK("https://www.suredividend.com/sure-analysis-UBSI/","United Bankshares, Inc.")</f>
        <v>0</v>
      </c>
      <c r="C2896">
        <v>-0.059713813979086</v>
      </c>
      <c r="D2896">
        <v>-0.120956580348736</v>
      </c>
      <c r="E2896">
        <v>-0.03778462370254301</v>
      </c>
      <c r="F2896">
        <v>-0.048268946884661</v>
      </c>
      <c r="G2896">
        <v>-0.09671995939601501</v>
      </c>
      <c r="H2896">
        <v>0.608908560128072</v>
      </c>
      <c r="I2896">
        <v>0.08272363455463201</v>
      </c>
    </row>
    <row r="2897" spans="1:9">
      <c r="A2897" s="1" t="s">
        <v>2909</v>
      </c>
      <c r="B2897">
        <f>HYPERLINK("https://www.suredividend.com/sure-analysis-research-database/","United Community Banks Inc")</f>
        <v>0</v>
      </c>
      <c r="C2897">
        <v>-0.187221785807803</v>
      </c>
      <c r="D2897">
        <v>-0.201500273969783</v>
      </c>
      <c r="E2897">
        <v>-0.075414484775913</v>
      </c>
      <c r="F2897">
        <v>-0.131515036205526</v>
      </c>
      <c r="G2897">
        <v>-0.06014297696078501</v>
      </c>
      <c r="H2897">
        <v>0.9105300736144961</v>
      </c>
      <c r="I2897">
        <v>0.36715395016759</v>
      </c>
    </row>
    <row r="2898" spans="1:9">
      <c r="A2898" s="1" t="s">
        <v>2910</v>
      </c>
      <c r="B2898">
        <f>HYPERLINK("https://www.suredividend.com/sure-analysis-research-database/","Ultra Clean Hldgs Inc")</f>
        <v>0</v>
      </c>
      <c r="C2898">
        <v>-0.211632796075683</v>
      </c>
      <c r="D2898">
        <v>-0.440669539277427</v>
      </c>
      <c r="E2898">
        <v>-0.243443174176193</v>
      </c>
      <c r="F2898">
        <v>-0.411610878661087</v>
      </c>
      <c r="G2898">
        <v>-0.371859296482412</v>
      </c>
      <c r="H2898">
        <v>1.108057464084946</v>
      </c>
      <c r="I2898">
        <v>1.226253298153034</v>
      </c>
    </row>
    <row r="2899" spans="1:9">
      <c r="A2899" s="1" t="s">
        <v>2911</v>
      </c>
      <c r="B2899">
        <f>HYPERLINK("https://www.suredividend.com/sure-analysis-UDR/","UDR Inc")</f>
        <v>0</v>
      </c>
      <c r="C2899">
        <v>0.01671092778845</v>
      </c>
      <c r="D2899">
        <v>-0.010712414201895</v>
      </c>
      <c r="E2899">
        <v>0.081003955670952</v>
      </c>
      <c r="F2899">
        <v>-0.028015043990844</v>
      </c>
      <c r="G2899">
        <v>0.313250648870805</v>
      </c>
      <c r="H2899">
        <v>0.693569260453186</v>
      </c>
      <c r="I2899">
        <v>0.898431601401898</v>
      </c>
    </row>
    <row r="2900" spans="1:9">
      <c r="A2900" s="1" t="s">
        <v>2912</v>
      </c>
      <c r="B2900">
        <f>HYPERLINK("https://www.suredividend.com/sure-analysis-UE/","Urban Edge Properties")</f>
        <v>0</v>
      </c>
      <c r="C2900">
        <v>0.026752273943285</v>
      </c>
      <c r="D2900">
        <v>-0.006224689542314</v>
      </c>
      <c r="E2900">
        <v>0.05698580036793401</v>
      </c>
      <c r="F2900">
        <v>0.018880346599838</v>
      </c>
      <c r="G2900">
        <v>0.10912033290949</v>
      </c>
      <c r="H2900">
        <v>1.479616492873848</v>
      </c>
      <c r="I2900">
        <v>-0.117997177958662</v>
      </c>
    </row>
    <row r="2901" spans="1:9">
      <c r="A2901" s="1" t="s">
        <v>2913</v>
      </c>
      <c r="B2901">
        <f>HYPERLINK("https://www.suredividend.com/sure-analysis-research-database/","Uranium Energy Corp")</f>
        <v>0</v>
      </c>
      <c r="C2901">
        <v>0.6243654822335021</v>
      </c>
      <c r="D2901">
        <v>0.9277108433734941</v>
      </c>
      <c r="E2901">
        <v>0.8768328445747801</v>
      </c>
      <c r="F2901">
        <v>0.910447761194029</v>
      </c>
      <c r="G2901">
        <v>1.327272727272727</v>
      </c>
      <c r="H2901">
        <v>7.282645269833052</v>
      </c>
      <c r="I2901">
        <v>3.444444444444444</v>
      </c>
    </row>
    <row r="2902" spans="1:9">
      <c r="A2902" s="1" t="s">
        <v>2914</v>
      </c>
      <c r="B2902">
        <f>HYPERLINK("https://www.suredividend.com/sure-analysis-research-database/","Universal Electronics Inc.")</f>
        <v>0</v>
      </c>
      <c r="C2902">
        <v>-0.087912087912087</v>
      </c>
      <c r="D2902">
        <v>-0.237171304569823</v>
      </c>
      <c r="E2902">
        <v>-0.345454545454545</v>
      </c>
      <c r="F2902">
        <v>-0.266748466257668</v>
      </c>
      <c r="G2902">
        <v>-0.471431098531753</v>
      </c>
      <c r="H2902">
        <v>-0.231876606683804</v>
      </c>
      <c r="I2902">
        <v>-0.5540298507462681</v>
      </c>
    </row>
    <row r="2903" spans="1:9">
      <c r="A2903" s="1" t="s">
        <v>2915</v>
      </c>
      <c r="B2903">
        <f>HYPERLINK("https://www.suredividend.com/sure-analysis-research-database/","Unique Fabricating Inc")</f>
        <v>0</v>
      </c>
      <c r="C2903">
        <v>-0.037923497267759</v>
      </c>
      <c r="D2903">
        <v>-0.09842277755018401</v>
      </c>
      <c r="E2903">
        <v>-0.446352201257861</v>
      </c>
      <c r="F2903">
        <v>-0.101734693877551</v>
      </c>
      <c r="G2903">
        <v>-0.6633652007648181</v>
      </c>
      <c r="H2903">
        <v>-0.5012464589235121</v>
      </c>
      <c r="I2903">
        <v>-0.815533878859633</v>
      </c>
    </row>
    <row r="2904" spans="1:9">
      <c r="A2904" s="1" t="s">
        <v>2916</v>
      </c>
      <c r="B2904">
        <f>HYPERLINK("https://www.suredividend.com/sure-analysis-research-database/","United Fire Group Inc")</f>
        <v>0</v>
      </c>
      <c r="C2904">
        <v>0.047062986553432</v>
      </c>
      <c r="D2904">
        <v>0.17174197125094</v>
      </c>
      <c r="E2904">
        <v>0.361035472475713</v>
      </c>
      <c r="F2904">
        <v>0.282901725132127</v>
      </c>
      <c r="G2904">
        <v>-0.106255606667895</v>
      </c>
      <c r="H2904">
        <v>0.072082027499501</v>
      </c>
      <c r="I2904">
        <v>-0.162344868194582</v>
      </c>
    </row>
    <row r="2905" spans="1:9">
      <c r="A2905" s="1" t="s">
        <v>2917</v>
      </c>
      <c r="B2905">
        <f>HYPERLINK("https://www.suredividend.com/sure-analysis-research-database/","UNIFI, Inc.")</f>
        <v>0</v>
      </c>
      <c r="C2905">
        <v>-0.056933483652761</v>
      </c>
      <c r="D2905">
        <v>-0.25478841870824</v>
      </c>
      <c r="E2905">
        <v>-0.273556231003039</v>
      </c>
      <c r="F2905">
        <v>-0.277321814254859</v>
      </c>
      <c r="G2905">
        <v>-0.405261286882332</v>
      </c>
      <c r="H2905">
        <v>0.795064377682403</v>
      </c>
      <c r="I2905">
        <v>-0.372468117029257</v>
      </c>
    </row>
    <row r="2906" spans="1:9">
      <c r="A2906" s="1" t="s">
        <v>2918</v>
      </c>
      <c r="B2906">
        <f>HYPERLINK("https://www.suredividend.com/sure-analysis-research-database/","UFP Industries Inc")</f>
        <v>0</v>
      </c>
      <c r="C2906">
        <v>-0.163544997715852</v>
      </c>
      <c r="D2906">
        <v>-0.17140322930997</v>
      </c>
      <c r="E2906">
        <v>-0.020970794879746</v>
      </c>
      <c r="F2906">
        <v>-0.202111723968132</v>
      </c>
      <c r="G2906">
        <v>-0.08877478528851501</v>
      </c>
      <c r="H2906">
        <v>1.029933481152993</v>
      </c>
      <c r="I2906">
        <v>1.423167653160142</v>
      </c>
    </row>
    <row r="2907" spans="1:9">
      <c r="A2907" s="1" t="s">
        <v>2919</v>
      </c>
      <c r="B2907">
        <f>HYPERLINK("https://www.suredividend.com/sure-analysis-research-database/","UFP Technologies Inc.")</f>
        <v>0</v>
      </c>
      <c r="C2907">
        <v>0.242543037327424</v>
      </c>
      <c r="D2907">
        <v>-0.021345146999597</v>
      </c>
      <c r="E2907">
        <v>0.142275148856158</v>
      </c>
      <c r="F2907">
        <v>0.037574722459436</v>
      </c>
      <c r="G2907">
        <v>0.432501473766948</v>
      </c>
      <c r="H2907">
        <v>0.793357933579335</v>
      </c>
      <c r="I2907">
        <v>1.92184368737475</v>
      </c>
    </row>
    <row r="2908" spans="1:9">
      <c r="A2908" s="1" t="s">
        <v>2920</v>
      </c>
      <c r="B2908">
        <f>HYPERLINK("https://www.suredividend.com/sure-analysis-research-database/","Domtar Corporation")</f>
        <v>0</v>
      </c>
      <c r="C2908">
        <v>0.016486535995603</v>
      </c>
      <c r="D2908">
        <v>0.010746812386156</v>
      </c>
      <c r="E2908">
        <v>0.023234372118753</v>
      </c>
      <c r="F2908">
        <v>0.7532385466034751</v>
      </c>
      <c r="G2908">
        <v>0.79405108309085</v>
      </c>
      <c r="H2908">
        <v>0.537046731871352</v>
      </c>
      <c r="I2908">
        <v>0.6764046573173901</v>
      </c>
    </row>
    <row r="2909" spans="1:9">
      <c r="A2909" s="1" t="s">
        <v>2921</v>
      </c>
      <c r="B2909">
        <f>HYPERLINK("https://www.suredividend.com/sure-analysis-research-database/","United-Guardian, Inc.")</f>
        <v>0</v>
      </c>
      <c r="C2909">
        <v>0.355848434925864</v>
      </c>
      <c r="D2909">
        <v>0.465595023269066</v>
      </c>
      <c r="E2909">
        <v>0.7960935510857311</v>
      </c>
      <c r="F2909">
        <v>0.500911854103343</v>
      </c>
      <c r="G2909">
        <v>0.7226582940868651</v>
      </c>
      <c r="H2909">
        <v>1.046992107183126</v>
      </c>
      <c r="I2909">
        <v>1.215502234346117</v>
      </c>
    </row>
    <row r="2910" spans="1:9">
      <c r="A2910" s="1" t="s">
        <v>2922</v>
      </c>
      <c r="B2910">
        <f>HYPERLINK("https://www.suredividend.com/sure-analysis-UGI/","UGI Corp.")</f>
        <v>0</v>
      </c>
      <c r="C2910">
        <v>-0.00251256281407</v>
      </c>
      <c r="D2910">
        <v>-0.219494080125824</v>
      </c>
      <c r="E2910">
        <v>-0.176107343551477</v>
      </c>
      <c r="F2910">
        <v>-0.213542996504635</v>
      </c>
      <c r="G2910">
        <v>-0.161049005726844</v>
      </c>
      <c r="H2910">
        <v>0.4683461072184431</v>
      </c>
      <c r="I2910">
        <v>-0.167169752388588</v>
      </c>
    </row>
    <row r="2911" spans="1:9">
      <c r="A2911" s="1" t="s">
        <v>2923</v>
      </c>
      <c r="B2911">
        <f>HYPERLINK("https://www.suredividend.com/sure-analysis-research-database/","Amerco")</f>
        <v>0</v>
      </c>
      <c r="C2911">
        <v>-0.114132880067989</v>
      </c>
      <c r="D2911">
        <v>-0.186905947108329</v>
      </c>
      <c r="E2911">
        <v>-0.239673717987491</v>
      </c>
      <c r="F2911">
        <v>-0.242908816765933</v>
      </c>
      <c r="G2911">
        <v>-0.100183314798734</v>
      </c>
      <c r="H2911">
        <v>1.069220885524984</v>
      </c>
      <c r="I2911">
        <v>0.5613887980899051</v>
      </c>
    </row>
    <row r="2912" spans="1:9">
      <c r="A2912" s="1" t="s">
        <v>2924</v>
      </c>
      <c r="B2912">
        <f>HYPERLINK("https://www.suredividend.com/sure-analysis-research-database/","Universal Health Services, Inc.")</f>
        <v>0</v>
      </c>
      <c r="C2912">
        <v>0.009619238476953</v>
      </c>
      <c r="D2912">
        <v>0.132258658999411</v>
      </c>
      <c r="E2912">
        <v>0.139671173874881</v>
      </c>
      <c r="F2912">
        <v>0.167276409107443</v>
      </c>
      <c r="G2912">
        <v>0.038686502092285</v>
      </c>
      <c r="H2912">
        <v>0.49525276538659</v>
      </c>
      <c r="I2912">
        <v>0.261871266421483</v>
      </c>
    </row>
    <row r="2913" spans="1:9">
      <c r="A2913" s="1" t="s">
        <v>2925</v>
      </c>
      <c r="B2913">
        <f>HYPERLINK("https://www.suredividend.com/sure-analysis-UHT/","Universal Health Realty Income Trust")</f>
        <v>0</v>
      </c>
      <c r="C2913">
        <v>0.014962545939542</v>
      </c>
      <c r="D2913">
        <v>0.006681391876363</v>
      </c>
      <c r="E2913">
        <v>0.05188609720060201</v>
      </c>
      <c r="F2913">
        <v>-0.004153896681817</v>
      </c>
      <c r="G2913">
        <v>-0.119268926989019</v>
      </c>
      <c r="H2913">
        <v>-0.350495840709438</v>
      </c>
      <c r="I2913">
        <v>0.040460988935767</v>
      </c>
    </row>
    <row r="2914" spans="1:9">
      <c r="A2914" s="1" t="s">
        <v>2926</v>
      </c>
      <c r="B2914">
        <f>HYPERLINK("https://www.suredividend.com/sure-analysis-research-database/","Ubiquiti Inc")</f>
        <v>0</v>
      </c>
      <c r="C2914">
        <v>0.089606139261934</v>
      </c>
      <c r="D2914">
        <v>-0.037901978603657</v>
      </c>
      <c r="E2914">
        <v>-0.088677514230663</v>
      </c>
      <c r="F2914">
        <v>-0.053272965934169</v>
      </c>
      <c r="G2914">
        <v>0.019144720661457</v>
      </c>
      <c r="H2914">
        <v>0.9300568455548051</v>
      </c>
      <c r="I2914">
        <v>5.048185022467968</v>
      </c>
    </row>
    <row r="2915" spans="1:9">
      <c r="A2915" s="1" t="s">
        <v>2927</v>
      </c>
      <c r="B2915">
        <f>HYPERLINK("https://www.suredividend.com/sure-analysis-research-database/","United Insurance Holdings Corp")</f>
        <v>0</v>
      </c>
      <c r="C2915">
        <v>-0.159544159544159</v>
      </c>
      <c r="D2915">
        <v>-0.301477552566774</v>
      </c>
      <c r="E2915">
        <v>-0.243221056412098</v>
      </c>
      <c r="F2915">
        <v>-0.307917888563049</v>
      </c>
      <c r="G2915">
        <v>-0.565543953697294</v>
      </c>
      <c r="H2915">
        <v>-0.621221848437379</v>
      </c>
      <c r="I2915">
        <v>-0.772611651533137</v>
      </c>
    </row>
    <row r="2916" spans="1:9">
      <c r="A2916" s="1" t="s">
        <v>2928</v>
      </c>
      <c r="B2916">
        <f>HYPERLINK("https://www.suredividend.com/sure-analysis-research-database/","Unisys Corp.")</f>
        <v>0</v>
      </c>
      <c r="C2916">
        <v>-0.166441745389113</v>
      </c>
      <c r="D2916">
        <v>-0.043859649122806</v>
      </c>
      <c r="E2916">
        <v>-0.300754716981132</v>
      </c>
      <c r="F2916">
        <v>-0.099173553719008</v>
      </c>
      <c r="G2916">
        <v>-0.290038314176245</v>
      </c>
      <c r="H2916">
        <v>0.6127067014795471</v>
      </c>
      <c r="I2916">
        <v>0.6471111111111111</v>
      </c>
    </row>
    <row r="2917" spans="1:9">
      <c r="A2917" s="1" t="s">
        <v>2929</v>
      </c>
      <c r="B2917">
        <f>HYPERLINK("https://www.suredividend.com/sure-analysis-research-database/","Ultralife Corp")</f>
        <v>0</v>
      </c>
      <c r="C2917">
        <v>-0.138240574506283</v>
      </c>
      <c r="D2917">
        <v>-0.162303664921466</v>
      </c>
      <c r="E2917">
        <v>-0.323943661971831</v>
      </c>
      <c r="F2917">
        <v>-0.205298013245033</v>
      </c>
      <c r="G2917">
        <v>-0.430604982206405</v>
      </c>
      <c r="H2917">
        <v>-0.2</v>
      </c>
      <c r="I2917">
        <v>-0.141999141999142</v>
      </c>
    </row>
    <row r="2918" spans="1:9">
      <c r="A2918" s="1" t="s">
        <v>2930</v>
      </c>
      <c r="B2918">
        <f>HYPERLINK("https://www.suredividend.com/sure-analysis-research-database/","Universal Logistics Holdings Inc")</f>
        <v>0</v>
      </c>
      <c r="C2918">
        <v>-0.158276643990929</v>
      </c>
      <c r="D2918">
        <v>0.018716724298808</v>
      </c>
      <c r="E2918">
        <v>-0.098582793421985</v>
      </c>
      <c r="F2918">
        <v>-0.010449989336745</v>
      </c>
      <c r="G2918">
        <v>-0.279452756792011</v>
      </c>
      <c r="H2918">
        <v>0.639112618341104</v>
      </c>
      <c r="I2918">
        <v>0.719187091276237</v>
      </c>
    </row>
    <row r="2919" spans="1:9">
      <c r="A2919" s="1" t="s">
        <v>2931</v>
      </c>
      <c r="B2919">
        <f>HYPERLINK("https://www.suredividend.com/sure-analysis-research-database/","Ulta Beauty Inc")</f>
        <v>0</v>
      </c>
      <c r="C2919">
        <v>0.07818214832300001</v>
      </c>
      <c r="D2919">
        <v>0.109939115573595</v>
      </c>
      <c r="E2919">
        <v>0.024475007394261</v>
      </c>
      <c r="F2919">
        <v>0.008027356065382001</v>
      </c>
      <c r="G2919">
        <v>0.256841341356475</v>
      </c>
      <c r="H2919">
        <v>0.9895175186674321</v>
      </c>
      <c r="I2919">
        <v>0.4703905476156781</v>
      </c>
    </row>
    <row r="2920" spans="1:9">
      <c r="A2920" s="1" t="s">
        <v>2932</v>
      </c>
      <c r="B2920">
        <f>HYPERLINK("https://www.suredividend.com/sure-analysis-UMBF/","UMB Financial Corp.")</f>
        <v>0</v>
      </c>
      <c r="C2920">
        <v>-0.087275933000293</v>
      </c>
      <c r="D2920">
        <v>-0.16042557179001</v>
      </c>
      <c r="E2920">
        <v>-0.059639902028162</v>
      </c>
      <c r="F2920">
        <v>-0.118490137647225</v>
      </c>
      <c r="G2920">
        <v>0.00246905611051</v>
      </c>
      <c r="H2920">
        <v>1.214222063803243</v>
      </c>
      <c r="I2920">
        <v>0.4071192563016831</v>
      </c>
    </row>
    <row r="2921" spans="1:9">
      <c r="A2921" s="1" t="s">
        <v>2933</v>
      </c>
      <c r="B2921">
        <f>HYPERLINK("https://www.suredividend.com/sure-analysis-UMH/","UMH Properties Inc")</f>
        <v>0</v>
      </c>
      <c r="C2921">
        <v>-0.020333468889792</v>
      </c>
      <c r="D2921">
        <v>-0.025031871623125</v>
      </c>
      <c r="E2921">
        <v>0.040384540637186</v>
      </c>
      <c r="F2921">
        <v>-0.111007782833482</v>
      </c>
      <c r="G2921">
        <v>0.24570802134613</v>
      </c>
      <c r="H2921">
        <v>1.408518296340732</v>
      </c>
      <c r="I2921">
        <v>0.998705694942254</v>
      </c>
    </row>
    <row r="2922" spans="1:9">
      <c r="A2922" s="1" t="s">
        <v>2934</v>
      </c>
      <c r="B2922">
        <f>HYPERLINK("https://www.suredividend.com/sure-analysis-research-database/","Umpqua Holdings Corp")</f>
        <v>0</v>
      </c>
      <c r="C2922">
        <v>-0.126284875183553</v>
      </c>
      <c r="D2922">
        <v>-0.148007961471822</v>
      </c>
      <c r="E2922">
        <v>-0.117616526523408</v>
      </c>
      <c r="F2922">
        <v>-0.062987207281927</v>
      </c>
      <c r="G2922">
        <v>0.014717669730716</v>
      </c>
      <c r="H2922">
        <v>0.9132037856783031</v>
      </c>
      <c r="I2922">
        <v>0.337679856115108</v>
      </c>
    </row>
    <row r="2923" spans="1:9">
      <c r="A2923" s="1" t="s">
        <v>2935</v>
      </c>
      <c r="B2923">
        <f>HYPERLINK("https://www.suredividend.com/sure-analysis-research-database/","Unico American Corp.")</f>
        <v>0</v>
      </c>
      <c r="C2923">
        <v>0.011070110701107</v>
      </c>
      <c r="D2923">
        <v>-0.107491856677524</v>
      </c>
      <c r="E2923">
        <v>-0.27127659574468</v>
      </c>
      <c r="F2923">
        <v>-0.203488372093023</v>
      </c>
      <c r="G2923">
        <v>-0.424369747899159</v>
      </c>
      <c r="H2923">
        <v>-0.314999999999999</v>
      </c>
      <c r="I2923">
        <v>-0.716062176165803</v>
      </c>
    </row>
    <row r="2924" spans="1:9">
      <c r="A2924" s="1" t="s">
        <v>2936</v>
      </c>
      <c r="B2924">
        <f>HYPERLINK("https://www.suredividend.com/sure-analysis-research-database/","Union Bankshares, Inc.")</f>
        <v>0</v>
      </c>
      <c r="C2924">
        <v>0.022712418300653</v>
      </c>
      <c r="D2924">
        <v>0.009763683999948002</v>
      </c>
      <c r="E2924">
        <v>-0.013283390559428</v>
      </c>
      <c r="F2924">
        <v>0.06072160930059101</v>
      </c>
      <c r="G2924">
        <v>0.05220157082145301</v>
      </c>
      <c r="H2924">
        <v>0.43271132434808</v>
      </c>
      <c r="I2924">
        <v>-0.092614499611472</v>
      </c>
    </row>
    <row r="2925" spans="1:9">
      <c r="A2925" s="1" t="s">
        <v>2937</v>
      </c>
      <c r="B2925">
        <f>HYPERLINK("https://www.suredividend.com/sure-analysis-UNF/","Unifirst Corp.")</f>
        <v>0</v>
      </c>
      <c r="C2925">
        <v>-0.05145228215767601</v>
      </c>
      <c r="D2925">
        <v>-0.118634971453951</v>
      </c>
      <c r="E2925">
        <v>-0.188570606425744</v>
      </c>
      <c r="F2925">
        <v>-0.183690376545132</v>
      </c>
      <c r="G2925">
        <v>-0.242815357797897</v>
      </c>
      <c r="H2925">
        <v>0.137781376088341</v>
      </c>
      <c r="I2925">
        <v>0.305791254663948</v>
      </c>
    </row>
    <row r="2926" spans="1:9">
      <c r="A2926" s="1" t="s">
        <v>2938</v>
      </c>
      <c r="B2926">
        <f>HYPERLINK("https://www.suredividend.com/sure-analysis-research-database/","United Natural Foods Inc.")</f>
        <v>0</v>
      </c>
      <c r="C2926">
        <v>0.139840329642029</v>
      </c>
      <c r="D2926">
        <v>-0.036988685813751</v>
      </c>
      <c r="E2926">
        <v>0.003855749603084</v>
      </c>
      <c r="F2926">
        <v>-0.098207008964955</v>
      </c>
      <c r="G2926">
        <v>0.230127848804891</v>
      </c>
      <c r="H2926">
        <v>2.937722419928825</v>
      </c>
      <c r="I2926">
        <v>0.06317559452318</v>
      </c>
    </row>
    <row r="2927" spans="1:9">
      <c r="A2927" s="1" t="s">
        <v>2939</v>
      </c>
      <c r="B2927">
        <f>HYPERLINK("https://www.suredividend.com/sure-analysis-UNH/","Unitedhealth Group Inc")</f>
        <v>0</v>
      </c>
      <c r="C2927">
        <v>0.07337534620479201</v>
      </c>
      <c r="D2927">
        <v>0.144472232499784</v>
      </c>
      <c r="E2927">
        <v>0.257159405518413</v>
      </c>
      <c r="F2927">
        <v>0.06823335032429301</v>
      </c>
      <c r="G2927">
        <v>0.3862026672776651</v>
      </c>
      <c r="H2927">
        <v>0.844694150247962</v>
      </c>
      <c r="I2927">
        <v>2.493530221368396</v>
      </c>
    </row>
    <row r="2928" spans="1:9">
      <c r="A2928" s="1" t="s">
        <v>2940</v>
      </c>
      <c r="B2928">
        <f>HYPERLINK("https://www.suredividend.com/sure-analysis-UNIT/","Uniti Group Inc")</f>
        <v>0</v>
      </c>
      <c r="C2928">
        <v>0.038844072455103</v>
      </c>
      <c r="D2928">
        <v>0.08033039700930901</v>
      </c>
      <c r="E2928">
        <v>0.139411899956569</v>
      </c>
      <c r="F2928">
        <v>-0.034562378237968</v>
      </c>
      <c r="G2928">
        <v>0.295055944868171</v>
      </c>
      <c r="H2928">
        <v>1.900624349635796</v>
      </c>
      <c r="I2928">
        <v>-0.235664423549304</v>
      </c>
    </row>
    <row r="2929" spans="1:9">
      <c r="A2929" s="1" t="s">
        <v>2941</v>
      </c>
      <c r="B2929">
        <f>HYPERLINK("https://www.suredividend.com/sure-analysis-UNM/","Unum Group")</f>
        <v>0</v>
      </c>
      <c r="C2929">
        <v>0.120766335956209</v>
      </c>
      <c r="D2929">
        <v>0.17930811044314</v>
      </c>
      <c r="E2929">
        <v>0.21946679968136</v>
      </c>
      <c r="F2929">
        <v>0.348742038675466</v>
      </c>
      <c r="G2929">
        <v>0.175769669736492</v>
      </c>
      <c r="H2929">
        <v>1.512501150412615</v>
      </c>
      <c r="I2929">
        <v>-0.114709443099273</v>
      </c>
    </row>
    <row r="2930" spans="1:9">
      <c r="A2930" s="1" t="s">
        <v>2942</v>
      </c>
      <c r="B2930">
        <f>HYPERLINK("https://www.suredividend.com/sure-analysis-UNP/","Union Pacific Corp.")</f>
        <v>0</v>
      </c>
      <c r="C2930">
        <v>-0.067915956842702</v>
      </c>
      <c r="D2930">
        <v>0.004653371940052001</v>
      </c>
      <c r="E2930">
        <v>0.104091114759376</v>
      </c>
      <c r="F2930">
        <v>-0.017917687134526</v>
      </c>
      <c r="G2930">
        <v>0.127044114981295</v>
      </c>
      <c r="H2930">
        <v>0.769905778989296</v>
      </c>
      <c r="I2930">
        <v>1.597590310600945</v>
      </c>
    </row>
    <row r="2931" spans="1:9">
      <c r="A2931" s="1" t="s">
        <v>2943</v>
      </c>
      <c r="B2931">
        <f>HYPERLINK("https://www.suredividend.com/sure-analysis-research-database/","Unity Bancorp, Inc.")</f>
        <v>0</v>
      </c>
      <c r="C2931">
        <v>-0.008047585724282</v>
      </c>
      <c r="D2931">
        <v>-0.012036772444363</v>
      </c>
      <c r="E2931">
        <v>0.130784050161341</v>
      </c>
      <c r="F2931">
        <v>0.08393520093902801</v>
      </c>
      <c r="G2931">
        <v>0.313984315615788</v>
      </c>
      <c r="H2931">
        <v>1.501058649163667</v>
      </c>
      <c r="I2931">
        <v>0.821909180879914</v>
      </c>
    </row>
    <row r="2932" spans="1:9">
      <c r="A2932" s="1" t="s">
        <v>2944</v>
      </c>
      <c r="B2932">
        <f>HYPERLINK("https://www.suredividend.com/sure-analysis-research-database/","Univar Solutions Inc")</f>
        <v>0</v>
      </c>
      <c r="C2932">
        <v>-0.056950398040416</v>
      </c>
      <c r="D2932">
        <v>0.062068965517241</v>
      </c>
      <c r="E2932">
        <v>0.196581196581196</v>
      </c>
      <c r="F2932">
        <v>0.08641975308641901</v>
      </c>
      <c r="G2932">
        <v>0.336805555555555</v>
      </c>
      <c r="H2932">
        <v>1.792384406165005</v>
      </c>
      <c r="I2932">
        <v>0.07093184979137601</v>
      </c>
    </row>
    <row r="2933" spans="1:9">
      <c r="A2933" s="1" t="s">
        <v>2945</v>
      </c>
      <c r="B2933">
        <f>HYPERLINK("https://www.suredividend.com/sure-analysis-research-database/","Urban One Inc")</f>
        <v>0</v>
      </c>
      <c r="C2933">
        <v>0.5667311411992261</v>
      </c>
      <c r="D2933">
        <v>0.545801526717557</v>
      </c>
      <c r="E2933">
        <v>-0.068965517241379</v>
      </c>
      <c r="F2933">
        <v>0.7419354838709671</v>
      </c>
      <c r="G2933">
        <v>0.636363636363636</v>
      </c>
      <c r="H2933">
        <v>5.864406779661017</v>
      </c>
      <c r="I2933">
        <v>1.38235294117647</v>
      </c>
    </row>
    <row r="2934" spans="1:9">
      <c r="A2934" s="1" t="s">
        <v>2946</v>
      </c>
      <c r="B2934">
        <f>HYPERLINK("https://www.suredividend.com/sure-analysis-research-database/","Urban One Inc")</f>
        <v>0</v>
      </c>
      <c r="C2934">
        <v>0.399999999999999</v>
      </c>
      <c r="D2934">
        <v>0.5842105263157891</v>
      </c>
      <c r="E2934">
        <v>-0.083713850837138</v>
      </c>
      <c r="F2934">
        <v>0.7758112094395271</v>
      </c>
      <c r="G2934">
        <v>2.479768786127168</v>
      </c>
      <c r="H2934">
        <v>5.53282691264243</v>
      </c>
      <c r="I2934">
        <v>0.8523076923076921</v>
      </c>
    </row>
    <row r="2935" spans="1:9">
      <c r="A2935" s="1" t="s">
        <v>2947</v>
      </c>
      <c r="B2935">
        <f>HYPERLINK("https://www.suredividend.com/sure-analysis-research-database/","Upland Software Inc")</f>
        <v>0</v>
      </c>
      <c r="C2935">
        <v>-0.031212484993997</v>
      </c>
      <c r="D2935">
        <v>-0.201385452746165</v>
      </c>
      <c r="E2935">
        <v>-0.5271022560796951</v>
      </c>
      <c r="F2935">
        <v>-0.100334448160535</v>
      </c>
      <c r="G2935">
        <v>-0.6815940027618861</v>
      </c>
      <c r="H2935">
        <v>-0.426439232409381</v>
      </c>
      <c r="I2935">
        <v>0.029336734693877</v>
      </c>
    </row>
    <row r="2936" spans="1:9">
      <c r="A2936" s="1" t="s">
        <v>2948</v>
      </c>
      <c r="B2936">
        <f>HYPERLINK("https://www.suredividend.com/sure-analysis-UPS/","United Parcel Service, Inc.")</f>
        <v>0</v>
      </c>
      <c r="C2936">
        <v>-0.137127122533272</v>
      </c>
      <c r="D2936">
        <v>-0.08305336110540701</v>
      </c>
      <c r="E2936">
        <v>-0.017693737993497</v>
      </c>
      <c r="F2936">
        <v>-0.116421625066143</v>
      </c>
      <c r="G2936">
        <v>0.06974629796206501</v>
      </c>
      <c r="H2936">
        <v>0.93636623913227</v>
      </c>
      <c r="I2936">
        <v>1.106928704858531</v>
      </c>
    </row>
    <row r="2937" spans="1:9">
      <c r="A2937" s="1" t="s">
        <v>2949</v>
      </c>
      <c r="B2937">
        <f>HYPERLINK("https://www.suredividend.com/sure-analysis-research-database/","Upwork Inc")</f>
        <v>0</v>
      </c>
      <c r="C2937">
        <v>0</v>
      </c>
      <c r="D2937">
        <v>-0.261592920353982</v>
      </c>
      <c r="E2937">
        <v>-0.647694646174632</v>
      </c>
      <c r="F2937">
        <v>-0.389344262295081</v>
      </c>
      <c r="G2937">
        <v>-0.574372577025096</v>
      </c>
      <c r="H2937">
        <v>1.822733423545332</v>
      </c>
      <c r="I2937">
        <v>-0.015108593012275</v>
      </c>
    </row>
    <row r="2938" spans="1:9">
      <c r="A2938" s="1" t="s">
        <v>2950</v>
      </c>
      <c r="B2938">
        <f>HYPERLINK("https://www.suredividend.com/sure-analysis-research-database/","Urban Outfitters, Inc.")</f>
        <v>0</v>
      </c>
      <c r="C2938">
        <v>-0.025794392523364</v>
      </c>
      <c r="D2938">
        <v>-0.07424511545293</v>
      </c>
      <c r="E2938">
        <v>-0.138512396694214</v>
      </c>
      <c r="F2938">
        <v>-0.112397820163487</v>
      </c>
      <c r="G2938">
        <v>-0.30152774055213</v>
      </c>
      <c r="H2938">
        <v>0.53474676089517</v>
      </c>
      <c r="I2938">
        <v>0.162355040142729</v>
      </c>
    </row>
    <row r="2939" spans="1:9">
      <c r="A2939" s="1" t="s">
        <v>2951</v>
      </c>
      <c r="B2939">
        <f>HYPERLINK("https://www.suredividend.com/sure-analysis-research-database/","United Rentals, Inc.")</f>
        <v>0</v>
      </c>
      <c r="C2939">
        <v>-0.019226211636449</v>
      </c>
      <c r="D2939">
        <v>0.0099139771826</v>
      </c>
      <c r="E2939">
        <v>-0.052298620255338</v>
      </c>
      <c r="F2939">
        <v>-0.003671491769237</v>
      </c>
      <c r="G2939">
        <v>0.008929115621381</v>
      </c>
      <c r="H2939">
        <v>2.359411466260781</v>
      </c>
      <c r="I2939">
        <v>1.775337413027076</v>
      </c>
    </row>
    <row r="2940" spans="1:9">
      <c r="A2940" s="1" t="s">
        <v>2952</v>
      </c>
      <c r="B2940">
        <f>HYPERLINK("https://www.suredividend.com/sure-analysis-research-database/","Urovant Sciences Ltd")</f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2953</v>
      </c>
      <c r="B2941">
        <f>HYPERLINK("https://www.suredividend.com/sure-analysis-research-database/","USA Truck, Inc.")</f>
        <v>0</v>
      </c>
      <c r="C2941">
        <v>-0.316467341306347</v>
      </c>
      <c r="D2941">
        <v>-0.277588721438988</v>
      </c>
      <c r="E2941">
        <v>-0.15279361459521</v>
      </c>
      <c r="F2941">
        <v>-0.252515090543259</v>
      </c>
      <c r="G2941">
        <v>-0.111775254034668</v>
      </c>
      <c r="H2941">
        <v>2.910526315789473</v>
      </c>
      <c r="I2941">
        <v>1.178885630498533</v>
      </c>
    </row>
    <row r="2942" spans="1:9">
      <c r="A2942" s="1" t="s">
        <v>2954</v>
      </c>
      <c r="B2942">
        <f>HYPERLINK("https://www.suredividend.com/sure-analysis-research-database/","Universal Stainless &amp; Alloy Products, Inc.")</f>
        <v>0</v>
      </c>
      <c r="C2942">
        <v>-0.064475675675675</v>
      </c>
      <c r="D2942">
        <v>-0.033117318435754</v>
      </c>
      <c r="E2942">
        <v>-0.12766129032258</v>
      </c>
      <c r="F2942">
        <v>0.08987405541561701</v>
      </c>
      <c r="G2942">
        <v>-0.09481171548117101</v>
      </c>
      <c r="H2942">
        <v>0.329278033794163</v>
      </c>
      <c r="I2942">
        <v>-0.492754982415005</v>
      </c>
    </row>
    <row r="2943" spans="1:9">
      <c r="A2943" s="1" t="s">
        <v>2955</v>
      </c>
      <c r="B2943">
        <f>HYPERLINK("https://www.suredividend.com/sure-analysis-research-database/","Cantaloupe Inc")</f>
        <v>0</v>
      </c>
      <c r="C2943">
        <v>0.08571428571428501</v>
      </c>
      <c r="D2943">
        <v>0.173745173745173</v>
      </c>
      <c r="E2943">
        <v>1.788990825688073</v>
      </c>
      <c r="F2943">
        <v>0.16030534351145</v>
      </c>
      <c r="G2943">
        <v>1.788990825688073</v>
      </c>
      <c r="H2943">
        <v>1.398422090729782</v>
      </c>
      <c r="I2943">
        <v>1.776255707762557</v>
      </c>
    </row>
    <row r="2944" spans="1:9">
      <c r="A2944" s="1" t="s">
        <v>2956</v>
      </c>
      <c r="B2944">
        <f>HYPERLINK("https://www.suredividend.com/sure-analysis-USB/","U.S. Bancorp.")</f>
        <v>0</v>
      </c>
      <c r="C2944">
        <v>-0.055795990312549</v>
      </c>
      <c r="D2944">
        <v>-0.159844688420488</v>
      </c>
      <c r="E2944">
        <v>-0.110489340553822</v>
      </c>
      <c r="F2944">
        <v>-0.053947092112277</v>
      </c>
      <c r="G2944">
        <v>-0.060089372643982</v>
      </c>
      <c r="H2944">
        <v>0.781339028931973</v>
      </c>
      <c r="I2944">
        <v>0.233198806808212</v>
      </c>
    </row>
    <row r="2945" spans="1:9">
      <c r="A2945" s="1" t="s">
        <v>2957</v>
      </c>
      <c r="B2945">
        <f>HYPERLINK("https://www.suredividend.com/sure-analysis-research-database/","U.S. Concrete, Inc.")</f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2958</v>
      </c>
      <c r="B2946">
        <f>HYPERLINK("https://www.suredividend.com/sure-analysis-research-database/","ProShares Trust")</f>
        <v>0</v>
      </c>
      <c r="C2946">
        <v>-0.19420923245015</v>
      </c>
      <c r="D2946">
        <v>-0.40113682501015</v>
      </c>
      <c r="E2946">
        <v>-0.184632393587617</v>
      </c>
      <c r="F2946">
        <v>-0.44149943203332</v>
      </c>
      <c r="G2946">
        <v>-0.106466757534454</v>
      </c>
      <c r="H2946">
        <v>1.482684328791563</v>
      </c>
      <c r="I2946">
        <v>3.963906510289589</v>
      </c>
    </row>
    <row r="2947" spans="1:9">
      <c r="A2947" s="1" t="s">
        <v>2959</v>
      </c>
      <c r="B2947">
        <f>HYPERLINK("https://www.suredividend.com/sure-analysis-research-database/","U.S. Energy Corp.")</f>
        <v>0</v>
      </c>
      <c r="C2947">
        <v>-0.206625258799171</v>
      </c>
      <c r="D2947">
        <v>0.301559697842508</v>
      </c>
      <c r="E2947">
        <v>0.206974751801642</v>
      </c>
      <c r="F2947">
        <v>0.4727132974634891</v>
      </c>
      <c r="G2947">
        <v>0.2508486969238</v>
      </c>
      <c r="H2947">
        <v>0.429040245830722</v>
      </c>
      <c r="I2947">
        <v>-0.473684210526315</v>
      </c>
    </row>
    <row r="2948" spans="1:9">
      <c r="A2948" s="1" t="s">
        <v>2960</v>
      </c>
      <c r="B2948">
        <f>HYPERLINK("https://www.suredividend.com/sure-analysis-research-database/","US Foods Holding Corp")</f>
        <v>0</v>
      </c>
      <c r="C2948">
        <v>-0.011099079588521</v>
      </c>
      <c r="D2948">
        <v>-0.011366711772665</v>
      </c>
      <c r="E2948">
        <v>-0.031804929764113</v>
      </c>
      <c r="F2948">
        <v>0.048808498420901</v>
      </c>
      <c r="G2948">
        <v>-0.058262438772879</v>
      </c>
      <c r="H2948">
        <v>1.287413901064495</v>
      </c>
      <c r="I2948">
        <v>0.334185536888239</v>
      </c>
    </row>
    <row r="2949" spans="1:9">
      <c r="A2949" s="1" t="s">
        <v>2961</v>
      </c>
      <c r="B2949">
        <f>HYPERLINK("https://www.suredividend.com/sure-analysis-research-database/","Usio Inc")</f>
        <v>0</v>
      </c>
      <c r="C2949">
        <v>-0.054054054054054</v>
      </c>
      <c r="D2949">
        <v>-0.129834254143646</v>
      </c>
      <c r="E2949">
        <v>-0.465195246179966</v>
      </c>
      <c r="F2949">
        <v>-0.277522935779816</v>
      </c>
      <c r="G2949">
        <v>-0.528443113772455</v>
      </c>
      <c r="H2949">
        <v>1.480314960629921</v>
      </c>
      <c r="I2949">
        <v>0.8862275449101791</v>
      </c>
    </row>
    <row r="2950" spans="1:9">
      <c r="A2950" s="1" t="s">
        <v>2962</v>
      </c>
      <c r="B2950">
        <f>HYPERLINK("https://www.suredividend.com/sure-analysis-research-database/","United States Lime &amp; Minerals Inc.")</f>
        <v>0</v>
      </c>
      <c r="C2950">
        <v>0.023415492957746</v>
      </c>
      <c r="D2950">
        <v>-0.07572518525644101</v>
      </c>
      <c r="E2950">
        <v>-0.020800204835188</v>
      </c>
      <c r="F2950">
        <v>-0.09735954763940001</v>
      </c>
      <c r="G2950">
        <v>-0.199617226197975</v>
      </c>
      <c r="H2950">
        <v>0.5394577072858751</v>
      </c>
      <c r="I2950">
        <v>0.6100017864289561</v>
      </c>
    </row>
    <row r="2951" spans="1:9">
      <c r="A2951" s="1" t="s">
        <v>2963</v>
      </c>
      <c r="B2951">
        <f>HYPERLINK("https://www.suredividend.com/sure-analysis-research-database/","United States Cellular Corporation")</f>
        <v>0</v>
      </c>
      <c r="C2951">
        <v>0.071997345719973</v>
      </c>
      <c r="D2951">
        <v>0.023115896136795</v>
      </c>
      <c r="E2951">
        <v>0.021821631878558</v>
      </c>
      <c r="F2951">
        <v>0.025063451776649</v>
      </c>
      <c r="G2951">
        <v>-0.113823368074602</v>
      </c>
      <c r="H2951">
        <v>0.030293367346938</v>
      </c>
      <c r="I2951">
        <v>-0.137710168134507</v>
      </c>
    </row>
    <row r="2952" spans="1:9">
      <c r="A2952" s="1" t="s">
        <v>2964</v>
      </c>
      <c r="B2952">
        <f>HYPERLINK("https://www.suredividend.com/sure-analysis-research-database/","Usana Health Sciences Inc")</f>
        <v>0</v>
      </c>
      <c r="C2952">
        <v>-0.004727272727272001</v>
      </c>
      <c r="D2952">
        <v>-0.189037037037037</v>
      </c>
      <c r="E2952">
        <v>-0.17127573677836</v>
      </c>
      <c r="F2952">
        <v>-0.188636363636363</v>
      </c>
      <c r="G2952">
        <v>-0.169683486702396</v>
      </c>
      <c r="H2952">
        <v>0.199561723886048</v>
      </c>
      <c r="I2952">
        <v>0.5135483870967741</v>
      </c>
    </row>
    <row r="2953" spans="1:9">
      <c r="A2953" s="1" t="s">
        <v>2965</v>
      </c>
      <c r="B2953">
        <f>HYPERLINK("https://www.suredividend.com/sure-analysis-research-database/","U.S. Physical Therapy, Inc.")</f>
        <v>0</v>
      </c>
      <c r="C2953">
        <v>0.109899241716006</v>
      </c>
      <c r="D2953">
        <v>0.126564247901068</v>
      </c>
      <c r="E2953">
        <v>0.030288654386127</v>
      </c>
      <c r="F2953">
        <v>0.123026295736914</v>
      </c>
      <c r="G2953">
        <v>-0.013854945768944</v>
      </c>
      <c r="H2953">
        <v>0.565879794361953</v>
      </c>
      <c r="I2953">
        <v>0.7747076341494601</v>
      </c>
    </row>
    <row r="2954" spans="1:9">
      <c r="A2954" s="1" t="s">
        <v>2966</v>
      </c>
      <c r="B2954">
        <f>HYPERLINK("https://www.suredividend.com/sure-analysis-research-database/","U.S. Well Services Inc")</f>
        <v>0</v>
      </c>
      <c r="C2954">
        <v>0.08997429305912601</v>
      </c>
      <c r="D2954">
        <v>-0.17829457364341</v>
      </c>
      <c r="E2954">
        <v>-0.6267605633802811</v>
      </c>
      <c r="F2954">
        <v>-0.07826086956521701</v>
      </c>
      <c r="G2954">
        <v>-0.600181050090524</v>
      </c>
      <c r="H2954">
        <v>-0.331441185745821</v>
      </c>
      <c r="I2954">
        <v>-0.8901554404145071</v>
      </c>
    </row>
    <row r="2955" spans="1:9">
      <c r="A2955" s="1" t="s">
        <v>2967</v>
      </c>
      <c r="B2955">
        <f>HYPERLINK("https://www.suredividend.com/sure-analysis-research-database/","U.S. Xpress Enterprises Inc")</f>
        <v>0</v>
      </c>
      <c r="C2955">
        <v>-0.291666666666666</v>
      </c>
      <c r="D2955">
        <v>-0.346153846153846</v>
      </c>
      <c r="E2955">
        <v>-0.6192609182530791</v>
      </c>
      <c r="F2955">
        <v>-0.4207836456558771</v>
      </c>
      <c r="G2955">
        <v>-0.696699375557537</v>
      </c>
      <c r="H2955">
        <v>-0.04761904761904701</v>
      </c>
      <c r="I2955">
        <v>-0.7961630695443641</v>
      </c>
    </row>
    <row r="2956" spans="1:9">
      <c r="A2956" s="1" t="s">
        <v>2968</v>
      </c>
      <c r="B2956">
        <f>HYPERLINK("https://www.suredividend.com/sure-analysis-research-database/","United Therapeutics Corp")</f>
        <v>0</v>
      </c>
      <c r="C2956">
        <v>0.051273623664749</v>
      </c>
      <c r="D2956">
        <v>-0.103056646102075</v>
      </c>
      <c r="E2956">
        <v>0.025872667985246</v>
      </c>
      <c r="F2956">
        <v>-0.111856719733432</v>
      </c>
      <c r="G2956">
        <v>-0.058017964953615</v>
      </c>
      <c r="H2956">
        <v>0.9729618587437031</v>
      </c>
      <c r="I2956">
        <v>0.5791162675882491</v>
      </c>
    </row>
    <row r="2957" spans="1:9">
      <c r="A2957" s="1" t="s">
        <v>2969</v>
      </c>
      <c r="B2957">
        <f>HYPERLINK("https://www.suredividend.com/sure-analysis-research-database/","Universal Technical Institute Inc")</f>
        <v>0</v>
      </c>
      <c r="C2957">
        <v>0.129870129870129</v>
      </c>
      <c r="D2957">
        <v>0.3273231622746181</v>
      </c>
      <c r="E2957">
        <v>0.421991084695393</v>
      </c>
      <c r="F2957">
        <v>0.223785166240409</v>
      </c>
      <c r="G2957">
        <v>0.619289340101522</v>
      </c>
      <c r="H2957">
        <v>0.6848591549295771</v>
      </c>
      <c r="I2957">
        <v>1.734285714285714</v>
      </c>
    </row>
    <row r="2958" spans="1:9">
      <c r="A2958" s="1" t="s">
        <v>2970</v>
      </c>
      <c r="B2958">
        <f>HYPERLINK("https://www.suredividend.com/sure-analysis-research-database/","Unitil Corp.")</f>
        <v>0</v>
      </c>
      <c r="C2958">
        <v>0.025697651074081</v>
      </c>
      <c r="D2958">
        <v>0.105877667288619</v>
      </c>
      <c r="E2958">
        <v>0.182718284329272</v>
      </c>
      <c r="F2958">
        <v>0.119584511208993</v>
      </c>
      <c r="G2958">
        <v>0.048610883058027</v>
      </c>
      <c r="H2958">
        <v>0.061204651104824</v>
      </c>
      <c r="I2958">
        <v>0.300751324556423</v>
      </c>
    </row>
    <row r="2959" spans="1:9">
      <c r="A2959" s="1" t="s">
        <v>2971</v>
      </c>
      <c r="B2959">
        <f>HYPERLINK("https://www.suredividend.com/sure-analysis-research-database/","Utah Medical Products, Inc.")</f>
        <v>0</v>
      </c>
      <c r="C2959">
        <v>0.016941391941391</v>
      </c>
      <c r="D2959">
        <v>-0.032194458757692</v>
      </c>
      <c r="E2959">
        <v>0.008334307541963001</v>
      </c>
      <c r="F2959">
        <v>-0.108650524585854</v>
      </c>
      <c r="G2959">
        <v>0.044203518603842</v>
      </c>
      <c r="H2959">
        <v>0.128469465653703</v>
      </c>
      <c r="I2959">
        <v>0.553347810730759</v>
      </c>
    </row>
    <row r="2960" spans="1:9">
      <c r="A2960" s="1" t="s">
        <v>2972</v>
      </c>
      <c r="B2960">
        <f>HYPERLINK("https://www.suredividend.com/sure-analysis-research-database/","Universal Security Instruments, Inc.")</f>
        <v>0</v>
      </c>
      <c r="C2960">
        <v>-0.022038567493112</v>
      </c>
      <c r="D2960">
        <v>0.224137931034482</v>
      </c>
      <c r="E2960">
        <v>-0.260416666666666</v>
      </c>
      <c r="F2960">
        <v>0.044117647058823</v>
      </c>
      <c r="G2960">
        <v>-0.427419354838709</v>
      </c>
      <c r="H2960">
        <v>6.1</v>
      </c>
      <c r="I2960">
        <v>0.163934426229508</v>
      </c>
    </row>
    <row r="2961" spans="1:9">
      <c r="A2961" s="1" t="s">
        <v>2973</v>
      </c>
      <c r="B2961">
        <f>HYPERLINK("https://www.suredividend.com/sure-analysis-research-database/","Universal Insurance Holdings Inc")</f>
        <v>0</v>
      </c>
      <c r="C2961">
        <v>-0.011820330969267</v>
      </c>
      <c r="D2961">
        <v>-0.344433698408134</v>
      </c>
      <c r="E2961">
        <v>-0.051523311045896</v>
      </c>
      <c r="F2961">
        <v>-0.252655041300642</v>
      </c>
      <c r="G2961">
        <v>-0.06155285313377001</v>
      </c>
      <c r="H2961">
        <v>-0.167148179880053</v>
      </c>
      <c r="I2961">
        <v>-0.34950746198976</v>
      </c>
    </row>
    <row r="2962" spans="1:9">
      <c r="A2962" s="1" t="s">
        <v>2974</v>
      </c>
      <c r="B2962">
        <f>HYPERLINK("https://www.suredividend.com/sure-analysis-research-database/","Univest Financial Corp")</f>
        <v>0</v>
      </c>
      <c r="C2962">
        <v>-0.126484975541579</v>
      </c>
      <c r="D2962">
        <v>-0.19853299479367</v>
      </c>
      <c r="E2962">
        <v>-0.106766422992546</v>
      </c>
      <c r="F2962">
        <v>-0.158889195427048</v>
      </c>
      <c r="G2962">
        <v>-0.08408804478443101</v>
      </c>
      <c r="H2962">
        <v>0.821798917122723</v>
      </c>
      <c r="I2962">
        <v>0.08969022286344401</v>
      </c>
    </row>
    <row r="2963" spans="1:9">
      <c r="A2963" s="1" t="s">
        <v>2975</v>
      </c>
      <c r="B2963">
        <f>HYPERLINK("https://www.suredividend.com/sure-analysis-UVV/","Universal Corp.")</f>
        <v>0</v>
      </c>
      <c r="C2963">
        <v>0.086826330754163</v>
      </c>
      <c r="D2963">
        <v>0.045192433784985</v>
      </c>
      <c r="E2963">
        <v>0.230870687622215</v>
      </c>
      <c r="F2963">
        <v>0.10312270884144</v>
      </c>
      <c r="G2963">
        <v>0.070644764859325</v>
      </c>
      <c r="H2963">
        <v>0.4868370302585701</v>
      </c>
      <c r="I2963">
        <v>0.07020765439804801</v>
      </c>
    </row>
    <row r="2964" spans="1:9">
      <c r="A2964" s="1" t="s">
        <v>2976</v>
      </c>
      <c r="B2964">
        <f>HYPERLINK("https://www.suredividend.com/sure-analysis-V/","Visa Inc")</f>
        <v>0</v>
      </c>
      <c r="C2964">
        <v>0.004342285363666001</v>
      </c>
      <c r="D2964">
        <v>-0.007144880140238</v>
      </c>
      <c r="E2964">
        <v>-0.07566803281358901</v>
      </c>
      <c r="F2964">
        <v>-0.016491185904842</v>
      </c>
      <c r="G2964">
        <v>-0.05431290025820901</v>
      </c>
      <c r="H2964">
        <v>0.326520052714194</v>
      </c>
      <c r="I2964">
        <v>1.472465226418974</v>
      </c>
    </row>
    <row r="2965" spans="1:9">
      <c r="A2965" s="1" t="s">
        <v>2977</v>
      </c>
      <c r="B2965">
        <f>HYPERLINK("https://www.suredividend.com/sure-analysis-research-database/","Marriott Vacations Worldwide Corp")</f>
        <v>0</v>
      </c>
      <c r="C2965">
        <v>-0.03435793217325001</v>
      </c>
      <c r="D2965">
        <v>-0.100645488706461</v>
      </c>
      <c r="E2965">
        <v>-0.039965955254394</v>
      </c>
      <c r="F2965">
        <v>-0.09654786810846601</v>
      </c>
      <c r="G2965">
        <v>-0.133180625660589</v>
      </c>
      <c r="H2965">
        <v>1.095276154778966</v>
      </c>
      <c r="I2965">
        <v>0.6250717414933561</v>
      </c>
    </row>
    <row r="2966" spans="1:9">
      <c r="A2966" s="1" t="s">
        <v>2978</v>
      </c>
      <c r="B2966">
        <f>HYPERLINK("https://www.suredividend.com/sure-analysis-research-database/","Valaris Ltd")</f>
        <v>0</v>
      </c>
      <c r="C2966">
        <v>0.212483100495718</v>
      </c>
      <c r="D2966">
        <v>0.3217882584131661</v>
      </c>
      <c r="E2966">
        <v>0.507705239562902</v>
      </c>
      <c r="F2966">
        <v>0.4947222222222221</v>
      </c>
      <c r="G2966">
        <v>1.270464135021097</v>
      </c>
      <c r="H2966">
        <v>1.270464135021097</v>
      </c>
      <c r="I2966">
        <v>1.270464135021097</v>
      </c>
    </row>
    <row r="2967" spans="1:9">
      <c r="A2967" s="1" t="s">
        <v>2979</v>
      </c>
      <c r="B2967">
        <f>HYPERLINK("https://www.suredividend.com/sure-analysis-research-database/","Value Line, Inc.")</f>
        <v>0</v>
      </c>
      <c r="C2967">
        <v>0.353218210361067</v>
      </c>
      <c r="D2967">
        <v>0.702312538262535</v>
      </c>
      <c r="E2967">
        <v>1.69016871290095</v>
      </c>
      <c r="F2967">
        <v>0.848841149799029</v>
      </c>
      <c r="G2967">
        <v>1.890764644137482</v>
      </c>
      <c r="H2967">
        <v>1.944512003497889</v>
      </c>
      <c r="I2967">
        <v>5.08593738968356</v>
      </c>
    </row>
    <row r="2968" spans="1:9">
      <c r="A2968" s="1" t="s">
        <v>2980</v>
      </c>
      <c r="B2968">
        <f>HYPERLINK("https://www.suredividend.com/sure-analysis-research-database/","Vapotherm Inc")</f>
        <v>0</v>
      </c>
      <c r="C2968">
        <v>-0.5789110957960021</v>
      </c>
      <c r="D2968">
        <v>-0.6445607911576491</v>
      </c>
      <c r="E2968">
        <v>-0.7076555023923441</v>
      </c>
      <c r="F2968">
        <v>-0.7049734427812651</v>
      </c>
      <c r="G2968">
        <v>-0.7271103171058501</v>
      </c>
      <c r="H2968">
        <v>-0.6697297297297291</v>
      </c>
      <c r="I2968">
        <v>-0.6181249999999999</v>
      </c>
    </row>
    <row r="2969" spans="1:9">
      <c r="A2969" s="1" t="s">
        <v>2981</v>
      </c>
      <c r="B2969">
        <f>HYPERLINK("https://www.suredividend.com/sure-analysis-research-database/","Varian Medical Systems, Inc.")</f>
        <v>0</v>
      </c>
      <c r="C2969">
        <v>0.004823516059471</v>
      </c>
      <c r="D2969">
        <v>0.010269869344439</v>
      </c>
      <c r="E2969">
        <v>0.029476744186046</v>
      </c>
      <c r="F2969">
        <v>0.011770755956802</v>
      </c>
      <c r="G2969">
        <v>0.5711623779946761</v>
      </c>
      <c r="H2969">
        <v>0.251378091872791</v>
      </c>
      <c r="I2969">
        <v>1.545956477041531</v>
      </c>
    </row>
    <row r="2970" spans="1:9">
      <c r="A2970" s="1" t="s">
        <v>2982</v>
      </c>
      <c r="B2970">
        <f>HYPERLINK("https://www.suredividend.com/sure-analysis-research-database/","Village Bank &amp; Trust Financial Corporation")</f>
        <v>0</v>
      </c>
      <c r="C2970">
        <v>-0.03532277710109601</v>
      </c>
      <c r="D2970">
        <v>-0.050053802869029</v>
      </c>
      <c r="E2970">
        <v>0.07860341869034501</v>
      </c>
      <c r="F2970">
        <v>-0.039216399868984</v>
      </c>
      <c r="G2970">
        <v>0.28064161438458</v>
      </c>
      <c r="H2970">
        <v>1.115772119435794</v>
      </c>
      <c r="I2970">
        <v>0.9313708413168431</v>
      </c>
    </row>
    <row r="2971" spans="1:9">
      <c r="A2971" s="1" t="s">
        <v>2983</v>
      </c>
      <c r="B2971">
        <f>HYPERLINK("https://www.suredividend.com/sure-analysis-research-database/","VBI Vaccines Inc.")</f>
        <v>0</v>
      </c>
      <c r="C2971">
        <v>0.019736842105263</v>
      </c>
      <c r="D2971">
        <v>-0.24390243902439</v>
      </c>
      <c r="E2971">
        <v>-0.486754966887417</v>
      </c>
      <c r="F2971">
        <v>-0.337606837606837</v>
      </c>
      <c r="G2971">
        <v>-0.428044280442804</v>
      </c>
      <c r="H2971">
        <v>0.23015873015873</v>
      </c>
      <c r="I2971">
        <v>-0.6966731898238741</v>
      </c>
    </row>
    <row r="2972" spans="1:9">
      <c r="A2972" s="1" t="s">
        <v>2984</v>
      </c>
      <c r="B2972">
        <f>HYPERLINK("https://www.suredividend.com/sure-analysis-research-database/","Veritex Holdings Inc")</f>
        <v>0</v>
      </c>
      <c r="C2972">
        <v>-0.170462718772476</v>
      </c>
      <c r="D2972">
        <v>-0.192622530031641</v>
      </c>
      <c r="E2972">
        <v>-0.129675791655452</v>
      </c>
      <c r="F2972">
        <v>-0.125847624629874</v>
      </c>
      <c r="G2972">
        <v>0.034104528242111</v>
      </c>
      <c r="H2972">
        <v>1.891767655662348</v>
      </c>
      <c r="I2972">
        <v>0.456799168024521</v>
      </c>
    </row>
    <row r="2973" spans="1:9">
      <c r="A2973" s="1" t="s">
        <v>2985</v>
      </c>
      <c r="B2973">
        <f>HYPERLINK("https://www.suredividend.com/sure-analysis-research-database/","Visteon Corp.")</f>
        <v>0</v>
      </c>
      <c r="C2973">
        <v>-0.147276334776334</v>
      </c>
      <c r="D2973">
        <v>-0.217560410460112</v>
      </c>
      <c r="E2973">
        <v>-0.145426608821402</v>
      </c>
      <c r="F2973">
        <v>-0.149271189490732</v>
      </c>
      <c r="G2973">
        <v>-0.213394342762063</v>
      </c>
      <c r="H2973">
        <v>0.968971261974177</v>
      </c>
      <c r="I2973">
        <v>0.001482893761254</v>
      </c>
    </row>
    <row r="2974" spans="1:9">
      <c r="A2974" s="1" t="s">
        <v>2986</v>
      </c>
      <c r="B2974">
        <f>HYPERLINK("https://www.suredividend.com/sure-analysis-research-database/","Vericel Corp")</f>
        <v>0</v>
      </c>
      <c r="C2974">
        <v>0.062734894478172</v>
      </c>
      <c r="D2974">
        <v>0.02738960313024</v>
      </c>
      <c r="E2974">
        <v>-0.276235479425083</v>
      </c>
      <c r="F2974">
        <v>-0.06463104325699701</v>
      </c>
      <c r="G2974">
        <v>-0.3729102695325821</v>
      </c>
      <c r="H2974">
        <v>2.335753176043557</v>
      </c>
      <c r="I2974">
        <v>13.13846153846154</v>
      </c>
    </row>
    <row r="2975" spans="1:9">
      <c r="A2975" s="1" t="s">
        <v>2987</v>
      </c>
      <c r="B2975">
        <f>HYPERLINK("https://www.suredividend.com/sure-analysis-research-database/","Vocera Communication Inc")</f>
        <v>0</v>
      </c>
      <c r="C2975">
        <v>0.002787986313521</v>
      </c>
      <c r="D2975">
        <v>0.305344770702738</v>
      </c>
      <c r="E2975">
        <v>0.6872068230277181</v>
      </c>
      <c r="F2975">
        <v>0.220388648982109</v>
      </c>
      <c r="G2975">
        <v>0.8053844398813591</v>
      </c>
      <c r="H2975">
        <v>1.955920806873365</v>
      </c>
      <c r="I2975">
        <v>2.899950714637753</v>
      </c>
    </row>
    <row r="2976" spans="1:9">
      <c r="A2976" s="1" t="s">
        <v>2988</v>
      </c>
      <c r="B2976">
        <f>HYPERLINK("https://www.suredividend.com/sure-analysis-research-database/","Victory Capital Holdings Inc")</f>
        <v>0</v>
      </c>
      <c r="C2976">
        <v>-0.197240974464338</v>
      </c>
      <c r="D2976">
        <v>-0.177285251898109</v>
      </c>
      <c r="E2976">
        <v>-0.248254631411137</v>
      </c>
      <c r="F2976">
        <v>-0.244850626760174</v>
      </c>
      <c r="G2976">
        <v>0.012700411004554</v>
      </c>
      <c r="H2976">
        <v>1.017780073038474</v>
      </c>
      <c r="I2976">
        <v>1.460594501223549</v>
      </c>
    </row>
    <row r="2977" spans="1:9">
      <c r="A2977" s="1" t="s">
        <v>2989</v>
      </c>
      <c r="B2977">
        <f>HYPERLINK("https://www.suredividend.com/sure-analysis-research-database/","Veracyte Inc")</f>
        <v>0</v>
      </c>
      <c r="C2977">
        <v>-0.07043879907621201</v>
      </c>
      <c r="D2977">
        <v>-0.204021094264996</v>
      </c>
      <c r="E2977">
        <v>-0.4652347209920281</v>
      </c>
      <c r="F2977">
        <v>-0.4138349514563101</v>
      </c>
      <c r="G2977">
        <v>-0.498650612414365</v>
      </c>
      <c r="H2977">
        <v>0.06153846153846101</v>
      </c>
      <c r="I2977">
        <v>1.959558823529412</v>
      </c>
    </row>
    <row r="2978" spans="1:9">
      <c r="A2978" s="1" t="s">
        <v>2990</v>
      </c>
      <c r="B2978">
        <f>HYPERLINK("https://www.suredividend.com/sure-analysis-research-database/","Vectrus Inc")</f>
        <v>0</v>
      </c>
      <c r="C2978">
        <v>0.071059079771304</v>
      </c>
      <c r="D2978">
        <v>-0.164045898852528</v>
      </c>
      <c r="E2978">
        <v>-0.208769106999195</v>
      </c>
      <c r="F2978">
        <v>-0.140485033864977</v>
      </c>
      <c r="G2978">
        <v>-0.242879137798306</v>
      </c>
      <c r="H2978">
        <v>-0.072607260726072</v>
      </c>
      <c r="I2978">
        <v>0.735333039258932</v>
      </c>
    </row>
    <row r="2979" spans="1:9">
      <c r="A2979" s="1" t="s">
        <v>2991</v>
      </c>
      <c r="B2979">
        <f>HYPERLINK("https://www.suredividend.com/sure-analysis-research-database/","Veeco Instruments Inc")</f>
        <v>0</v>
      </c>
      <c r="C2979">
        <v>-0.171934699548454</v>
      </c>
      <c r="D2979">
        <v>-0.254767114723351</v>
      </c>
      <c r="E2979">
        <v>0.01619778346121</v>
      </c>
      <c r="F2979">
        <v>-0.162627327010888</v>
      </c>
      <c r="G2979">
        <v>0.13632030505243</v>
      </c>
      <c r="H2979">
        <v>1.386386386386386</v>
      </c>
      <c r="I2979">
        <v>-0.129927007299269</v>
      </c>
    </row>
    <row r="2980" spans="1:9">
      <c r="A2980" s="1" t="s">
        <v>2992</v>
      </c>
      <c r="B2980">
        <f>HYPERLINK("https://www.suredividend.com/sure-analysis-research-database/","Veeva Systems Inc")</f>
        <v>0</v>
      </c>
      <c r="C2980">
        <v>0.03592684774375</v>
      </c>
      <c r="D2980">
        <v>-0.144695108331471</v>
      </c>
      <c r="E2980">
        <v>-0.381269389865563</v>
      </c>
      <c r="F2980">
        <v>-0.250587130108031</v>
      </c>
      <c r="G2980">
        <v>-0.298861097886988</v>
      </c>
      <c r="H2980">
        <v>0.098892268840039</v>
      </c>
      <c r="I2980">
        <v>2.778567199526347</v>
      </c>
    </row>
    <row r="2981" spans="1:9">
      <c r="A2981" s="1" t="s">
        <v>2993</v>
      </c>
      <c r="B2981">
        <f>HYPERLINK("https://www.suredividend.com/sure-analysis-research-database/","VEREIT Inc")</f>
        <v>0</v>
      </c>
      <c r="C2981">
        <v>0.09252924900324601</v>
      </c>
      <c r="D2981">
        <v>0.03770597985675801</v>
      </c>
      <c r="E2981">
        <v>0.072797754539697</v>
      </c>
      <c r="F2981">
        <v>0.374522031110806</v>
      </c>
      <c r="G2981">
        <v>0.6929319937341331</v>
      </c>
      <c r="H2981">
        <v>0.141866936273505</v>
      </c>
      <c r="I2981">
        <v>0.5105081314894521</v>
      </c>
    </row>
    <row r="2982" spans="1:9">
      <c r="A2982" s="1" t="s">
        <v>2994</v>
      </c>
      <c r="B2982">
        <f>HYPERLINK("https://www.suredividend.com/sure-analysis-research-database/","Veritone Inc")</f>
        <v>0</v>
      </c>
      <c r="C2982">
        <v>-0.08844765342960201</v>
      </c>
      <c r="D2982">
        <v>-0.165289256198347</v>
      </c>
      <c r="E2982">
        <v>-0.359678782755705</v>
      </c>
      <c r="F2982">
        <v>-0.326067615658362</v>
      </c>
      <c r="G2982">
        <v>-0.449291166848418</v>
      </c>
      <c r="H2982">
        <v>3.050802139037433</v>
      </c>
      <c r="I2982">
        <v>0.159143075745983</v>
      </c>
    </row>
    <row r="2983" spans="1:9">
      <c r="A2983" s="1" t="s">
        <v>2995</v>
      </c>
      <c r="B2983">
        <f>HYPERLINK("https://www.suredividend.com/sure-analysis-research-database/","Veru Inc")</f>
        <v>0</v>
      </c>
      <c r="C2983">
        <v>1.995991983967936</v>
      </c>
      <c r="D2983">
        <v>1.538200339558574</v>
      </c>
      <c r="E2983">
        <v>0.7403958090803261</v>
      </c>
      <c r="F2983">
        <v>1.538200339558574</v>
      </c>
      <c r="G2983">
        <v>0.5870488322717621</v>
      </c>
      <c r="H2983">
        <v>3.761146496815286</v>
      </c>
      <c r="I2983">
        <v>13.51456310679612</v>
      </c>
    </row>
    <row r="2984" spans="1:9">
      <c r="A2984" s="1" t="s">
        <v>2996</v>
      </c>
      <c r="B2984">
        <f>HYPERLINK("https://www.suredividend.com/sure-analysis-VFC/","VF Corp.")</f>
        <v>0</v>
      </c>
      <c r="C2984">
        <v>-0.007943512797881001</v>
      </c>
      <c r="D2984">
        <v>-0.214585784841226</v>
      </c>
      <c r="E2984">
        <v>-0.223432978949782</v>
      </c>
      <c r="F2984">
        <v>-0.224991139800841</v>
      </c>
      <c r="G2984">
        <v>-0.317115017515635</v>
      </c>
      <c r="H2984">
        <v>0.08243451463790401</v>
      </c>
      <c r="I2984">
        <v>0.23445129518542</v>
      </c>
    </row>
    <row r="2985" spans="1:9">
      <c r="A2985" s="1" t="s">
        <v>2997</v>
      </c>
      <c r="B2985">
        <f>HYPERLINK("https://www.suredividend.com/sure-analysis-research-database/","Vonage Holdings Corp")</f>
        <v>0</v>
      </c>
      <c r="C2985">
        <v>0.002985074626865</v>
      </c>
      <c r="D2985">
        <v>-0.031700288184438</v>
      </c>
      <c r="E2985">
        <v>0.245213094502779</v>
      </c>
      <c r="F2985">
        <v>-0.03030303030303</v>
      </c>
      <c r="G2985">
        <v>0.510112359550561</v>
      </c>
      <c r="H2985">
        <v>1.621586475942782</v>
      </c>
      <c r="I2985">
        <v>2.251612903225806</v>
      </c>
    </row>
    <row r="2986" spans="1:9">
      <c r="A2986" s="1" t="s">
        <v>2998</v>
      </c>
      <c r="B2986">
        <f>HYPERLINK("https://www.suredividend.com/sure-analysis-VGR/","Vector Group Ltd")</f>
        <v>0</v>
      </c>
      <c r="C2986">
        <v>0.224747354029428</v>
      </c>
      <c r="D2986">
        <v>0.114833993298812</v>
      </c>
      <c r="E2986">
        <v>-0.03393665158371</v>
      </c>
      <c r="F2986">
        <v>0.136202369970907</v>
      </c>
      <c r="G2986">
        <v>-0.060657612999735</v>
      </c>
      <c r="H2986">
        <v>0.505712539376557</v>
      </c>
      <c r="I2986">
        <v>-0.002445216253679</v>
      </c>
    </row>
    <row r="2987" spans="1:9">
      <c r="A2987" s="1" t="s">
        <v>2999</v>
      </c>
      <c r="B2987">
        <f>HYPERLINK("https://www.suredividend.com/sure-analysis-research-database/","Virnetx Holding Corp")</f>
        <v>0</v>
      </c>
      <c r="C2987">
        <v>-0.066298342541436</v>
      </c>
      <c r="D2987">
        <v>-0.307377049180327</v>
      </c>
      <c r="E2987">
        <v>-0.572151898734177</v>
      </c>
      <c r="F2987">
        <v>-0.35</v>
      </c>
      <c r="G2987">
        <v>-0.6585858585858581</v>
      </c>
      <c r="H2987">
        <v>-0.635807257995</v>
      </c>
      <c r="I2987">
        <v>-0.08361349094458301</v>
      </c>
    </row>
    <row r="2988" spans="1:9">
      <c r="A2988" s="1" t="s">
        <v>3000</v>
      </c>
      <c r="B2988">
        <f>HYPERLINK("https://www.suredividend.com/sure-analysis-VIA/","Via Renewables Inc")</f>
        <v>0</v>
      </c>
      <c r="C2988">
        <v>-0.106334841628959</v>
      </c>
      <c r="D2988">
        <v>-0.304344763213046</v>
      </c>
      <c r="E2988">
        <v>-0.241281945391508</v>
      </c>
      <c r="F2988">
        <v>-0.297652916073968</v>
      </c>
      <c r="G2988">
        <v>-0.209288359523571</v>
      </c>
      <c r="H2988">
        <v>0.107730274689064</v>
      </c>
      <c r="I2988">
        <v>-0.674761938089494</v>
      </c>
    </row>
    <row r="2989" spans="1:9">
      <c r="A2989" s="1" t="s">
        <v>3001</v>
      </c>
      <c r="B2989">
        <f>HYPERLINK("https://www.suredividend.com/sure-analysis-research-database/","Viavi Solutions Inc")</f>
        <v>0</v>
      </c>
      <c r="C2989">
        <v>-0.081875</v>
      </c>
      <c r="D2989">
        <v>-0.132821723730814</v>
      </c>
      <c r="E2989">
        <v>-0.05225806451612901</v>
      </c>
      <c r="F2989">
        <v>-0.166288308740068</v>
      </c>
      <c r="G2989">
        <v>-0.115060240963855</v>
      </c>
      <c r="H2989">
        <v>0.259862778730703</v>
      </c>
      <c r="I2989">
        <v>0.5238589211618251</v>
      </c>
    </row>
    <row r="2990" spans="1:9">
      <c r="A2990" s="1" t="s">
        <v>3002</v>
      </c>
      <c r="B2990">
        <f>HYPERLINK("https://www.suredividend.com/sure-analysis-VICI/","VICI Properties Inc")</f>
        <v>0</v>
      </c>
      <c r="C2990">
        <v>0.080039503679337</v>
      </c>
      <c r="D2990">
        <v>0.032735844702658</v>
      </c>
      <c r="E2990">
        <v>-0.007309532421973</v>
      </c>
      <c r="F2990">
        <v>-0.021112210354876</v>
      </c>
      <c r="G2990">
        <v>0.019707092730599</v>
      </c>
      <c r="H2990">
        <v>1.045034341673286</v>
      </c>
      <c r="I2990">
        <v>0.7398533475280801</v>
      </c>
    </row>
    <row r="2991" spans="1:9">
      <c r="A2991" s="1" t="s">
        <v>3003</v>
      </c>
      <c r="B2991">
        <f>HYPERLINK("https://www.suredividend.com/sure-analysis-research-database/","Vicor Corp.")</f>
        <v>0</v>
      </c>
      <c r="C2991">
        <v>-0.172215371968762</v>
      </c>
      <c r="D2991">
        <v>-0.44349267753523</v>
      </c>
      <c r="E2991">
        <v>-0.592335200053977</v>
      </c>
      <c r="F2991">
        <v>-0.524177035753661</v>
      </c>
      <c r="G2991">
        <v>-0.29382889200561</v>
      </c>
      <c r="H2991">
        <v>0.422316384180791</v>
      </c>
      <c r="I2991">
        <v>2.873076923076923</v>
      </c>
    </row>
    <row r="2992" spans="1:9">
      <c r="A2992" s="1" t="s">
        <v>3004</v>
      </c>
      <c r="B2992">
        <f>HYPERLINK("https://www.suredividend.com/sure-analysis-research-database/","Virco Manufacturing Corp.")</f>
        <v>0</v>
      </c>
      <c r="C2992">
        <v>0.020979020979021</v>
      </c>
      <c r="D2992">
        <v>-0.07041894817267201</v>
      </c>
      <c r="E2992">
        <v>-0.13095238095238</v>
      </c>
      <c r="F2992">
        <v>-0.029900332225913</v>
      </c>
      <c r="G2992">
        <v>-0.078864353312302</v>
      </c>
      <c r="H2992">
        <v>0.186991869918699</v>
      </c>
      <c r="I2992">
        <v>-0.218373574602494</v>
      </c>
    </row>
    <row r="2993" spans="1:9">
      <c r="A2993" s="1" t="s">
        <v>3005</v>
      </c>
      <c r="B2993">
        <f>HYPERLINK("https://www.suredividend.com/sure-analysis-research-database/","Virtu Financial Inc")</f>
        <v>0</v>
      </c>
      <c r="C2993">
        <v>0.05391600454029501</v>
      </c>
      <c r="D2993">
        <v>0.286425337799222</v>
      </c>
      <c r="E2993">
        <v>0.49537978378596</v>
      </c>
      <c r="F2993">
        <v>0.297136450791588</v>
      </c>
      <c r="G2993">
        <v>0.21591493178894</v>
      </c>
      <c r="H2993">
        <v>0.6475838542105651</v>
      </c>
      <c r="I2993">
        <v>1.860135228795416</v>
      </c>
    </row>
    <row r="2994" spans="1:9">
      <c r="A2994" s="1" t="s">
        <v>3006</v>
      </c>
      <c r="B2994">
        <f>HYPERLINK("https://www.suredividend.com/sure-analysis-research-database/","Vislink Technologies Inc")</f>
        <v>0</v>
      </c>
      <c r="C2994">
        <v>-0.14095238095238</v>
      </c>
      <c r="D2994">
        <v>-0.132692307692307</v>
      </c>
      <c r="E2994">
        <v>-0.459880239520958</v>
      </c>
      <c r="F2994">
        <v>-0.235593220338983</v>
      </c>
      <c r="G2994">
        <v>-0.5955156950672641</v>
      </c>
      <c r="H2994">
        <v>-0.136015325670498</v>
      </c>
      <c r="I2994">
        <v>-0.3779310344827581</v>
      </c>
    </row>
    <row r="2995" spans="1:9">
      <c r="A2995" s="1" t="s">
        <v>3007</v>
      </c>
      <c r="B2995">
        <f>HYPERLINK("https://www.suredividend.com/sure-analysis-research-database/","Meridian Bioscience Inc.")</f>
        <v>0</v>
      </c>
      <c r="C2995">
        <v>0.08504854368932001</v>
      </c>
      <c r="D2995">
        <v>0.341978866474543</v>
      </c>
      <c r="E2995">
        <v>0.530958904109589</v>
      </c>
      <c r="F2995">
        <v>0.369607843137255</v>
      </c>
      <c r="G2995">
        <v>0.201720430107526</v>
      </c>
      <c r="H2995">
        <v>1.59906976744186</v>
      </c>
      <c r="I2995">
        <v>1.169962254772519</v>
      </c>
    </row>
    <row r="2996" spans="1:9">
      <c r="A2996" s="1" t="s">
        <v>3008</v>
      </c>
      <c r="B2996">
        <f>HYPERLINK("https://www.suredividend.com/sure-analysis-research-database/","Viking Therapeutics Inc")</f>
        <v>0</v>
      </c>
      <c r="C2996">
        <v>-0.123809523809523</v>
      </c>
      <c r="D2996">
        <v>-0.3490566037735841</v>
      </c>
      <c r="E2996">
        <v>-0.540765391014975</v>
      </c>
      <c r="F2996">
        <v>-0.4</v>
      </c>
      <c r="G2996">
        <v>-0.5298126064735941</v>
      </c>
      <c r="H2996">
        <v>-0.501805054151624</v>
      </c>
      <c r="I2996">
        <v>0.93006993006993</v>
      </c>
    </row>
    <row r="2997" spans="1:9">
      <c r="A2997" s="1" t="s">
        <v>3009</v>
      </c>
      <c r="B2997">
        <f>HYPERLINK("https://www.suredividend.com/sure-analysis-research-database/","Village Super Market, Inc.")</f>
        <v>0</v>
      </c>
      <c r="C2997">
        <v>0.03762765550761801</v>
      </c>
      <c r="D2997">
        <v>0.121570016392177</v>
      </c>
      <c r="E2997">
        <v>0.123462630085146</v>
      </c>
      <c r="F2997">
        <v>0.078310675712252</v>
      </c>
      <c r="G2997">
        <v>0.035339880705372</v>
      </c>
      <c r="H2997">
        <v>0.204813400256571</v>
      </c>
      <c r="I2997">
        <v>0.13772979147762</v>
      </c>
    </row>
    <row r="2998" spans="1:9">
      <c r="A2998" s="1" t="s">
        <v>3010</v>
      </c>
      <c r="B2998">
        <f>HYPERLINK("https://www.suredividend.com/sure-analysis-VLO/","Valero Energy Corp.")</f>
        <v>0</v>
      </c>
      <c r="C2998">
        <v>0.234518483635507</v>
      </c>
      <c r="D2998">
        <v>0.244846281784477</v>
      </c>
      <c r="E2998">
        <v>0.365515714629874</v>
      </c>
      <c r="F2998">
        <v>0.4120752226987791</v>
      </c>
      <c r="G2998">
        <v>0.521878270057197</v>
      </c>
      <c r="H2998">
        <v>1.619790586642215</v>
      </c>
      <c r="I2998">
        <v>1.045921035174389</v>
      </c>
    </row>
    <row r="2999" spans="1:9">
      <c r="A2999" s="1" t="s">
        <v>3011</v>
      </c>
      <c r="B2999">
        <f>HYPERLINK("https://www.suredividend.com/sure-analysis-research-database/","Valley National Bancorp")</f>
        <v>0</v>
      </c>
      <c r="C2999">
        <v>-0.108868060562364</v>
      </c>
      <c r="D2999">
        <v>-0.17034173060271</v>
      </c>
      <c r="E2999">
        <v>-0.07757752154931101</v>
      </c>
      <c r="F2999">
        <v>-0.093708754949406</v>
      </c>
      <c r="G2999">
        <v>-0.082800279018685</v>
      </c>
      <c r="H2999">
        <v>0.9639934533551551</v>
      </c>
      <c r="I2999">
        <v>0.336071776024213</v>
      </c>
    </row>
    <row r="3000" spans="1:9">
      <c r="A3000" s="1" t="s">
        <v>3012</v>
      </c>
      <c r="B3000">
        <f>HYPERLINK("https://www.suredividend.com/sure-analysis-VMC/","Vulcan Materials Co")</f>
        <v>0</v>
      </c>
      <c r="C3000">
        <v>-0.03591129744042301</v>
      </c>
      <c r="D3000">
        <v>-0.088842187800588</v>
      </c>
      <c r="E3000">
        <v>-0.008236230105991001</v>
      </c>
      <c r="F3000">
        <v>-0.156220202532256</v>
      </c>
      <c r="G3000">
        <v>0.002866809280291</v>
      </c>
      <c r="H3000">
        <v>0.676161430160739</v>
      </c>
      <c r="I3000">
        <v>0.561468353842291</v>
      </c>
    </row>
    <row r="3001" spans="1:9">
      <c r="A3001" s="1" t="s">
        <v>3013</v>
      </c>
      <c r="B3001">
        <f>HYPERLINK("https://www.suredividend.com/sure-analysis-research-database/","Valmont Industries, Inc.")</f>
        <v>0</v>
      </c>
      <c r="C3001">
        <v>0.02392316003505</v>
      </c>
      <c r="D3001">
        <v>0.003521978177743</v>
      </c>
      <c r="E3001">
        <v>-0.004623532170165001</v>
      </c>
      <c r="F3001">
        <v>-0.036899192301275</v>
      </c>
      <c r="G3001">
        <v>0.021558357120606</v>
      </c>
      <c r="H3001">
        <v>1.309396367864746</v>
      </c>
      <c r="I3001">
        <v>0.7401859253941641</v>
      </c>
    </row>
    <row r="3002" spans="1:9">
      <c r="A3002" s="1" t="s">
        <v>3014</v>
      </c>
      <c r="B3002">
        <f>HYPERLINK("https://www.suredividend.com/sure-analysis-research-database/","Vmware Inc.")</f>
        <v>0</v>
      </c>
      <c r="C3002">
        <v>0.00646017699115</v>
      </c>
      <c r="D3002">
        <v>-0.091468285668637</v>
      </c>
      <c r="E3002">
        <v>-0.272779589487818</v>
      </c>
      <c r="F3002">
        <v>-0.018553676216775</v>
      </c>
      <c r="G3002">
        <v>-0.306946983546617</v>
      </c>
      <c r="H3002">
        <v>-0.159423503325942</v>
      </c>
      <c r="I3002">
        <v>0.507595641453909</v>
      </c>
    </row>
    <row r="3003" spans="1:9">
      <c r="A3003" s="1" t="s">
        <v>3015</v>
      </c>
      <c r="B3003">
        <f>HYPERLINK("https://www.suredividend.com/sure-analysis-research-database/","Vince Holding Corp")</f>
        <v>0</v>
      </c>
      <c r="C3003">
        <v>0.232394366197183</v>
      </c>
      <c r="D3003">
        <v>-0.027777777777777</v>
      </c>
      <c r="E3003">
        <v>0.005747126436781</v>
      </c>
      <c r="F3003">
        <v>0.098556183301945</v>
      </c>
      <c r="G3003">
        <v>-0.2152466367713</v>
      </c>
      <c r="H3003">
        <v>0.902173913043478</v>
      </c>
      <c r="I3003">
        <v>-0.326923076923076</v>
      </c>
    </row>
    <row r="3004" spans="1:9">
      <c r="A3004" s="1" t="s">
        <v>3016</v>
      </c>
      <c r="B3004">
        <f>HYPERLINK("https://www.suredividend.com/sure-analysis-research-database/","Vanda Pharmaceuticals Inc")</f>
        <v>0</v>
      </c>
      <c r="C3004">
        <v>-0.03728813559322</v>
      </c>
      <c r="D3004">
        <v>-0.242666666666666</v>
      </c>
      <c r="E3004">
        <v>-0.382944052145573</v>
      </c>
      <c r="F3004">
        <v>-0.275971956660293</v>
      </c>
      <c r="G3004">
        <v>-0.318536292741451</v>
      </c>
      <c r="H3004">
        <v>0.019748653500897</v>
      </c>
      <c r="I3004">
        <v>-0.185663082437276</v>
      </c>
    </row>
    <row r="3005" spans="1:9">
      <c r="A3005" s="1" t="s">
        <v>3017</v>
      </c>
      <c r="B3005">
        <f>HYPERLINK("https://www.suredividend.com/sure-analysis-research-database/","Veoneer Inc")</f>
        <v>0</v>
      </c>
      <c r="C3005">
        <v>0.04231311706629001</v>
      </c>
      <c r="D3005">
        <v>0.041431792559188</v>
      </c>
      <c r="E3005">
        <v>0.08485026423957701</v>
      </c>
      <c r="F3005">
        <v>0.041431792559188</v>
      </c>
      <c r="G3005">
        <v>0.5093954248366011</v>
      </c>
      <c r="H3005">
        <v>4.047814207650274</v>
      </c>
      <c r="I3005">
        <v>-0.120238095238095</v>
      </c>
    </row>
    <row r="3006" spans="1:9">
      <c r="A3006" s="1" t="s">
        <v>3018</v>
      </c>
      <c r="B3006">
        <f>HYPERLINK("https://www.suredividend.com/sure-analysis-VNO/","Vornado Realty Trust")</f>
        <v>0</v>
      </c>
      <c r="C3006">
        <v>-0.08544932656215401</v>
      </c>
      <c r="D3006">
        <v>-0.09282848282024701</v>
      </c>
      <c r="E3006">
        <v>-0.05806049607601001</v>
      </c>
      <c r="F3006">
        <v>0.002958995394427</v>
      </c>
      <c r="G3006">
        <v>-0.03181997742004</v>
      </c>
      <c r="H3006">
        <v>0.149935867893413</v>
      </c>
      <c r="I3006">
        <v>-0.474454184763231</v>
      </c>
    </row>
    <row r="3007" spans="1:9">
      <c r="A3007" s="1" t="s">
        <v>3019</v>
      </c>
      <c r="B3007">
        <f>HYPERLINK("https://www.suredividend.com/sure-analysis-research-database/","VolitionRX Ltd")</f>
        <v>0</v>
      </c>
      <c r="C3007">
        <v>0.089494163424124</v>
      </c>
      <c r="D3007">
        <v>-0.072847682119205</v>
      </c>
      <c r="E3007">
        <v>-0.188405797101449</v>
      </c>
      <c r="F3007">
        <v>-0.10828025477707</v>
      </c>
      <c r="G3007">
        <v>-0.119496855345912</v>
      </c>
      <c r="H3007">
        <v>-0.239130434782608</v>
      </c>
      <c r="I3007">
        <v>-0.294710327455919</v>
      </c>
    </row>
    <row r="3008" spans="1:9">
      <c r="A3008" s="1" t="s">
        <v>3020</v>
      </c>
      <c r="B3008">
        <f>HYPERLINK("https://www.suredividend.com/sure-analysis-research-database/","Venator Materials PLC")</f>
        <v>0</v>
      </c>
      <c r="C3008">
        <v>-0.051282051282051</v>
      </c>
      <c r="D3008">
        <v>-0.247967479674796</v>
      </c>
      <c r="E3008">
        <v>-0.403225806451612</v>
      </c>
      <c r="F3008">
        <v>-0.271653543307086</v>
      </c>
      <c r="G3008">
        <v>-0.624746450304259</v>
      </c>
      <c r="H3008">
        <v>0.5416666666666661</v>
      </c>
      <c r="I3008">
        <v>-0.9104116222760291</v>
      </c>
    </row>
    <row r="3009" spans="1:9">
      <c r="A3009" s="1" t="s">
        <v>3021</v>
      </c>
      <c r="B3009">
        <f>HYPERLINK("https://www.suredividend.com/sure-analysis-research-database/","VOXX International Corp")</f>
        <v>0</v>
      </c>
      <c r="C3009">
        <v>-0.168075117370892</v>
      </c>
      <c r="D3009">
        <v>-0.157794676806083</v>
      </c>
      <c r="E3009">
        <v>-0.138132295719844</v>
      </c>
      <c r="F3009">
        <v>-0.128810226155358</v>
      </c>
      <c r="G3009">
        <v>-0.4928448769318831</v>
      </c>
      <c r="H3009">
        <v>0.921908893709327</v>
      </c>
      <c r="I3009">
        <v>0.771999999999999</v>
      </c>
    </row>
    <row r="3010" spans="1:9">
      <c r="A3010" s="1" t="s">
        <v>3022</v>
      </c>
      <c r="B3010">
        <f>HYPERLINK("https://www.suredividend.com/sure-analysis-research-database/","Voya Financial Inc")</f>
        <v>0</v>
      </c>
      <c r="C3010">
        <v>0.032711708957505</v>
      </c>
      <c r="D3010">
        <v>-0.090299490212236</v>
      </c>
      <c r="E3010">
        <v>-0.013055539729773</v>
      </c>
      <c r="F3010">
        <v>0.021920775425497</v>
      </c>
      <c r="G3010">
        <v>-0.006187059249256</v>
      </c>
      <c r="H3010">
        <v>0.6612039056487321</v>
      </c>
      <c r="I3010">
        <v>0.947580226698799</v>
      </c>
    </row>
    <row r="3011" spans="1:9">
      <c r="A3011" s="1" t="s">
        <v>3023</v>
      </c>
      <c r="B3011">
        <f>HYPERLINK("https://www.suredividend.com/sure-analysis-research-database/","Vishay Precision Group Inc")</f>
        <v>0</v>
      </c>
      <c r="C3011">
        <v>-0.024622960911049</v>
      </c>
      <c r="D3011">
        <v>-0.067118045334118</v>
      </c>
      <c r="E3011">
        <v>-0.09431266076021701</v>
      </c>
      <c r="F3011">
        <v>-0.146282327586206</v>
      </c>
      <c r="G3011">
        <v>0.021928410190261</v>
      </c>
      <c r="H3011">
        <v>0.557248157248157</v>
      </c>
      <c r="I3011">
        <v>1.037942122186495</v>
      </c>
    </row>
    <row r="3012" spans="1:9">
      <c r="A3012" s="1" t="s">
        <v>3024</v>
      </c>
      <c r="B3012">
        <f>HYPERLINK("https://www.suredividend.com/sure-analysis-research-database/","Vera Bradley Inc")</f>
        <v>0</v>
      </c>
      <c r="C3012">
        <v>-0.134591194968553</v>
      </c>
      <c r="D3012">
        <v>-0.175059952038369</v>
      </c>
      <c r="E3012">
        <v>-0.304347826086956</v>
      </c>
      <c r="F3012">
        <v>-0.191539365452408</v>
      </c>
      <c r="G3012">
        <v>-0.371689497716894</v>
      </c>
      <c r="H3012">
        <v>0.508771929824561</v>
      </c>
      <c r="I3012">
        <v>-0.211912943871706</v>
      </c>
    </row>
    <row r="3013" spans="1:9">
      <c r="A3013" s="1" t="s">
        <v>3025</v>
      </c>
      <c r="B3013">
        <f>HYPERLINK("https://www.suredividend.com/sure-analysis-research-database/","ViewRay Inc.")</f>
        <v>0</v>
      </c>
      <c r="C3013">
        <v>-0.091383812010443</v>
      </c>
      <c r="D3013">
        <v>-0.270440251572327</v>
      </c>
      <c r="E3013">
        <v>-0.425742574257425</v>
      </c>
      <c r="F3013">
        <v>-0.368421052631578</v>
      </c>
      <c r="G3013">
        <v>-0.205479452054794</v>
      </c>
      <c r="H3013">
        <v>0.443983402489626</v>
      </c>
      <c r="I3013">
        <v>-0.544502617801047</v>
      </c>
    </row>
    <row r="3014" spans="1:9">
      <c r="A3014" s="1" t="s">
        <v>3026</v>
      </c>
      <c r="B3014">
        <f>HYPERLINK("https://www.suredividend.com/sure-analysis-research-database/","Varex Imaging Corp")</f>
        <v>0</v>
      </c>
      <c r="C3014">
        <v>-0.108387096774193</v>
      </c>
      <c r="D3014">
        <v>-0.287138927097661</v>
      </c>
      <c r="E3014">
        <v>-0.22096956031567</v>
      </c>
      <c r="F3014">
        <v>-0.342947702060221</v>
      </c>
      <c r="G3014">
        <v>-0.08798944126704801</v>
      </c>
      <c r="H3014">
        <v>-0.08557565063961101</v>
      </c>
      <c r="I3014">
        <v>-0.38741134751773</v>
      </c>
    </row>
    <row r="3015" spans="1:9">
      <c r="A3015" s="1" t="s">
        <v>3027</v>
      </c>
      <c r="B3015">
        <f>HYPERLINK("https://www.suredividend.com/sure-analysis-research-database/","Varonis Systems Inc")</f>
        <v>0</v>
      </c>
      <c r="C3015">
        <v>0.255631485699822</v>
      </c>
      <c r="D3015">
        <v>0.275321336760925</v>
      </c>
      <c r="E3015">
        <v>-0.209024234693877</v>
      </c>
      <c r="F3015">
        <v>0.017015170151701</v>
      </c>
      <c r="G3015">
        <v>-0.101593625498008</v>
      </c>
      <c r="H3015">
        <v>1.466527123843427</v>
      </c>
      <c r="I3015">
        <v>3.88768472906404</v>
      </c>
    </row>
    <row r="3016" spans="1:9">
      <c r="A3016" s="1" t="s">
        <v>3028</v>
      </c>
      <c r="B3016">
        <f>HYPERLINK("https://www.suredividend.com/sure-analysis-research-database/","Verint Systems, Inc.")</f>
        <v>0</v>
      </c>
      <c r="C3016">
        <v>0.049267906608626</v>
      </c>
      <c r="D3016">
        <v>-0.010634328358208</v>
      </c>
      <c r="E3016">
        <v>0.139939810834049</v>
      </c>
      <c r="F3016">
        <v>0.009902875642734</v>
      </c>
      <c r="G3016">
        <v>0.09025493421052601</v>
      </c>
      <c r="H3016">
        <v>1.26367575181952</v>
      </c>
      <c r="I3016">
        <v>1.40603618809096</v>
      </c>
    </row>
    <row r="3017" spans="1:9">
      <c r="A3017" s="1" t="s">
        <v>3029</v>
      </c>
      <c r="B3017">
        <f>HYPERLINK("https://www.suredividend.com/sure-analysis-research-database/","Verra Mobility Corp")</f>
        <v>0</v>
      </c>
      <c r="C3017">
        <v>-0.106824925816023</v>
      </c>
      <c r="D3017">
        <v>0.010067114093959</v>
      </c>
      <c r="E3017">
        <v>0.005344021376085001</v>
      </c>
      <c r="F3017">
        <v>-0.024627349319507</v>
      </c>
      <c r="G3017">
        <v>0.052447552447552</v>
      </c>
      <c r="H3017">
        <v>1.107843137254902</v>
      </c>
      <c r="I3017">
        <v>0.490113763502608</v>
      </c>
    </row>
    <row r="3018" spans="1:9">
      <c r="A3018" s="1" t="s">
        <v>3030</v>
      </c>
      <c r="B3018">
        <f>HYPERLINK("https://www.suredividend.com/sure-analysis-research-database/","Verso Corp")</f>
        <v>0</v>
      </c>
      <c r="C3018">
        <v>0.014661654135338</v>
      </c>
      <c r="D3018">
        <v>0.0007415647015200001</v>
      </c>
      <c r="E3018">
        <v>0.276817181919246</v>
      </c>
      <c r="F3018">
        <v>-0.001110288675055</v>
      </c>
      <c r="G3018">
        <v>0.925381652161506</v>
      </c>
      <c r="H3018">
        <v>1.488543846870187</v>
      </c>
      <c r="I3018">
        <v>3.707503401123243</v>
      </c>
    </row>
    <row r="3019" spans="1:9">
      <c r="A3019" s="1" t="s">
        <v>3031</v>
      </c>
      <c r="B3019">
        <f>HYPERLINK("https://www.suredividend.com/sure-analysis-research-database/","Verisk Analytics Inc")</f>
        <v>0</v>
      </c>
      <c r="C3019">
        <v>0.09143939006293801</v>
      </c>
      <c r="D3019">
        <v>0.07829329375378501</v>
      </c>
      <c r="E3019">
        <v>0.015690102616604</v>
      </c>
      <c r="F3019">
        <v>-0.06586873550684101</v>
      </c>
      <c r="G3019">
        <v>0.157119212573052</v>
      </c>
      <c r="H3019">
        <v>0.448176268783688</v>
      </c>
      <c r="I3019">
        <v>1.753594001735035</v>
      </c>
    </row>
    <row r="3020" spans="1:9">
      <c r="A3020" s="1" t="s">
        <v>3032</v>
      </c>
      <c r="B3020">
        <f>HYPERLINK("https://www.suredividend.com/sure-analysis-research-database/","Verisign Inc.")</f>
        <v>0</v>
      </c>
      <c r="C3020">
        <v>0.043857523624909</v>
      </c>
      <c r="D3020">
        <v>-0.048922642175909</v>
      </c>
      <c r="E3020">
        <v>0.004336270807105001</v>
      </c>
      <c r="F3020">
        <v>-0.151367110550784</v>
      </c>
      <c r="G3020">
        <v>0.034780937740199</v>
      </c>
      <c r="H3020">
        <v>0.045022317096836</v>
      </c>
      <c r="I3020">
        <v>1.456660583941605</v>
      </c>
    </row>
    <row r="3021" spans="1:9">
      <c r="A3021" s="1" t="s">
        <v>3033</v>
      </c>
      <c r="B3021">
        <f>HYPERLINK("https://www.suredividend.com/sure-analysis-research-database/","Virtus Investment Partners Inc")</f>
        <v>0</v>
      </c>
      <c r="C3021">
        <v>-0.122541603630862</v>
      </c>
      <c r="D3021">
        <v>-0.281652665970966</v>
      </c>
      <c r="E3021">
        <v>-0.361973294025021</v>
      </c>
      <c r="F3021">
        <v>-0.312601437848164</v>
      </c>
      <c r="G3021">
        <v>-0.205880707634616</v>
      </c>
      <c r="H3021">
        <v>1.730744551626541</v>
      </c>
      <c r="I3021">
        <v>1.091173086293339</v>
      </c>
    </row>
    <row r="3022" spans="1:9">
      <c r="A3022" s="1" t="s">
        <v>3034</v>
      </c>
      <c r="B3022">
        <f>HYPERLINK("https://www.suredividend.com/sure-analysis-research-database/","Virtusa Corp")</f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3035</v>
      </c>
      <c r="B3023">
        <f>HYPERLINK("https://www.suredividend.com/sure-analysis-research-database/","Veritiv Corp")</f>
        <v>0</v>
      </c>
      <c r="C3023">
        <v>0.132507384312438</v>
      </c>
      <c r="D3023">
        <v>0.336205227492739</v>
      </c>
      <c r="E3023">
        <v>0.419769594733594</v>
      </c>
      <c r="F3023">
        <v>0.126132006200538</v>
      </c>
      <c r="G3023">
        <v>1.972862373465432</v>
      </c>
      <c r="H3023">
        <v>15.9361963190184</v>
      </c>
      <c r="I3023">
        <v>1.893710691823899</v>
      </c>
    </row>
    <row r="3024" spans="1:9">
      <c r="A3024" s="1" t="s">
        <v>3036</v>
      </c>
      <c r="B3024">
        <f>HYPERLINK("https://www.suredividend.com/sure-analysis-research-database/","Vertex Pharmaceuticals, Inc.")</f>
        <v>0</v>
      </c>
      <c r="C3024">
        <v>0.158739739256397</v>
      </c>
      <c r="D3024">
        <v>0.230325557549346</v>
      </c>
      <c r="E3024">
        <v>0.584254827529295</v>
      </c>
      <c r="F3024">
        <v>0.311338797814207</v>
      </c>
      <c r="G3024">
        <v>0.312594010665937</v>
      </c>
      <c r="H3024">
        <v>0.087664299743163</v>
      </c>
      <c r="I3024">
        <v>1.530492091388401</v>
      </c>
    </row>
    <row r="3025" spans="1:9">
      <c r="A3025" s="1" t="s">
        <v>3037</v>
      </c>
      <c r="B3025">
        <f>HYPERLINK("https://www.suredividend.com/sure-analysis-research-database/","Viasat, Inc.")</f>
        <v>0</v>
      </c>
      <c r="C3025">
        <v>-0.074111066719936</v>
      </c>
      <c r="D3025">
        <v>0.012229744485695</v>
      </c>
      <c r="E3025">
        <v>-0.159869494290375</v>
      </c>
      <c r="F3025">
        <v>0.04063762909744</v>
      </c>
      <c r="G3025">
        <v>-0.05562347188264</v>
      </c>
      <c r="H3025">
        <v>0.184815950920245</v>
      </c>
      <c r="I3025">
        <v>-0.251332579550961</v>
      </c>
    </row>
    <row r="3026" spans="1:9">
      <c r="A3026" s="1" t="s">
        <v>3038</v>
      </c>
      <c r="B3026">
        <f>HYPERLINK("https://www.suredividend.com/sure-analysis-research-database/","VSE Corp.")</f>
        <v>0</v>
      </c>
      <c r="C3026">
        <v>-0.06849922411882001</v>
      </c>
      <c r="D3026">
        <v>-0.272422528236481</v>
      </c>
      <c r="E3026">
        <v>-0.121917988561111</v>
      </c>
      <c r="F3026">
        <v>-0.309196303657708</v>
      </c>
      <c r="G3026">
        <v>-0.055770652488994</v>
      </c>
      <c r="H3026">
        <v>1.750035995235539</v>
      </c>
      <c r="I3026">
        <v>0.114195787692936</v>
      </c>
    </row>
    <row r="3027" spans="1:9">
      <c r="A3027" s="1" t="s">
        <v>3039</v>
      </c>
      <c r="B3027">
        <f>HYPERLINK("https://www.suredividend.com/sure-analysis-research-database/","Vishay Intertechnology, Inc.")</f>
        <v>0</v>
      </c>
      <c r="C3027">
        <v>-0.074055158324821</v>
      </c>
      <c r="D3027">
        <v>-0.181541572993129</v>
      </c>
      <c r="E3027">
        <v>-0.057334643601782</v>
      </c>
      <c r="F3027">
        <v>-0.166570896637322</v>
      </c>
      <c r="G3027">
        <v>-0.285812767130842</v>
      </c>
      <c r="H3027">
        <v>0.3032289600046</v>
      </c>
      <c r="I3027">
        <v>0.275736380652152</v>
      </c>
    </row>
    <row r="3028" spans="1:9">
      <c r="A3028" s="1" t="s">
        <v>3040</v>
      </c>
      <c r="B3028">
        <f>HYPERLINK("https://www.suredividend.com/sure-analysis-VST/","Vistra Corp")</f>
        <v>0</v>
      </c>
      <c r="C3028">
        <v>0.07187781574228501</v>
      </c>
      <c r="D3028">
        <v>0.07187781574228501</v>
      </c>
      <c r="E3028">
        <v>0.239317782121435</v>
      </c>
      <c r="F3028">
        <v>0.06340137981086201</v>
      </c>
      <c r="G3028">
        <v>0.393091933632474</v>
      </c>
      <c r="H3028">
        <v>0.5862328455155751</v>
      </c>
      <c r="I3028">
        <v>0.734817638395564</v>
      </c>
    </row>
    <row r="3029" spans="1:9">
      <c r="A3029" s="1" t="s">
        <v>3041</v>
      </c>
      <c r="B3029">
        <f>HYPERLINK("https://www.suredividend.com/sure-analysis-research-database/","Verastem Inc")</f>
        <v>0</v>
      </c>
      <c r="C3029">
        <v>0.462809917355371</v>
      </c>
      <c r="D3029">
        <v>-0.016666666666666</v>
      </c>
      <c r="E3029">
        <v>-0.358695652173912</v>
      </c>
      <c r="F3029">
        <v>-0.136585365853658</v>
      </c>
      <c r="G3029">
        <v>-0.33955223880597</v>
      </c>
      <c r="H3029">
        <v>-0.4177631578947361</v>
      </c>
      <c r="I3029">
        <v>-0.043243243243243</v>
      </c>
    </row>
    <row r="3030" spans="1:9">
      <c r="A3030" s="1" t="s">
        <v>3042</v>
      </c>
      <c r="B3030">
        <f>HYPERLINK("https://www.suredividend.com/sure-analysis-research-database/","Vista Outdoor Inc")</f>
        <v>0</v>
      </c>
      <c r="C3030">
        <v>-0.026082280182844</v>
      </c>
      <c r="D3030">
        <v>-0.167547690186164</v>
      </c>
      <c r="E3030">
        <v>-0.123002421307506</v>
      </c>
      <c r="F3030">
        <v>-0.213805079227262</v>
      </c>
      <c r="G3030">
        <v>0.142226426994638</v>
      </c>
      <c r="H3030">
        <v>2.984598459845984</v>
      </c>
      <c r="I3030">
        <v>0.926595744680851</v>
      </c>
    </row>
    <row r="3031" spans="1:9">
      <c r="A3031" s="1" t="s">
        <v>3043</v>
      </c>
      <c r="B3031">
        <f>HYPERLINK("https://www.suredividend.com/sure-analysis-research-database/","Vertex Energy Inc")</f>
        <v>0</v>
      </c>
      <c r="C3031">
        <v>0.060301507537688</v>
      </c>
      <c r="D3031">
        <v>0.648437499999999</v>
      </c>
      <c r="E3031">
        <v>0.708502024291497</v>
      </c>
      <c r="F3031">
        <v>0.8631346578366441</v>
      </c>
      <c r="G3031">
        <v>5.542635658914728</v>
      </c>
      <c r="H3031">
        <v>14.95764794857251</v>
      </c>
      <c r="I3031">
        <v>7.194174757281553</v>
      </c>
    </row>
    <row r="3032" spans="1:9">
      <c r="A3032" s="1" t="s">
        <v>3044</v>
      </c>
      <c r="B3032">
        <f>HYPERLINK("https://www.suredividend.com/sure-analysis-VTR/","Ventas Inc")</f>
        <v>0</v>
      </c>
      <c r="C3032">
        <v>0.04386216958846</v>
      </c>
      <c r="D3032">
        <v>0.154499732640164</v>
      </c>
      <c r="E3032">
        <v>0.101442750211955</v>
      </c>
      <c r="F3032">
        <v>0.195376118879534</v>
      </c>
      <c r="G3032">
        <v>0.130310849456456</v>
      </c>
      <c r="H3032">
        <v>1.1958731916711</v>
      </c>
      <c r="I3032">
        <v>0.188230893219817</v>
      </c>
    </row>
    <row r="3033" spans="1:9">
      <c r="A3033" s="1" t="s">
        <v>3045</v>
      </c>
      <c r="B3033">
        <f>HYPERLINK("https://www.suredividend.com/sure-analysis-research-database/","vTv Therapeutics Inc")</f>
        <v>0</v>
      </c>
      <c r="C3033">
        <v>0.338529312097594</v>
      </c>
      <c r="D3033">
        <v>-0.101149163727386</v>
      </c>
      <c r="E3033">
        <v>-0.462585034013605</v>
      </c>
      <c r="F3033">
        <v>-0.206030150753768</v>
      </c>
      <c r="G3033">
        <v>-0.7084870848708481</v>
      </c>
      <c r="H3033">
        <v>-0.669456066945606</v>
      </c>
      <c r="I3033">
        <v>-0.8591800356506231</v>
      </c>
    </row>
    <row r="3034" spans="1:9">
      <c r="A3034" s="1" t="s">
        <v>3046</v>
      </c>
      <c r="B3034">
        <f>HYPERLINK("https://www.suredividend.com/sure-analysis-research-database/","Vuzix Corporation")</f>
        <v>0</v>
      </c>
      <c r="C3034">
        <v>-0.123809523809523</v>
      </c>
      <c r="D3034">
        <v>-0.266932270916334</v>
      </c>
      <c r="E3034">
        <v>-0.443548387096774</v>
      </c>
      <c r="F3034">
        <v>-0.363321799307958</v>
      </c>
      <c r="G3034">
        <v>-0.7592673353685121</v>
      </c>
      <c r="H3034">
        <v>2.68</v>
      </c>
      <c r="I3034">
        <v>-0.014285714285714</v>
      </c>
    </row>
    <row r="3035" spans="1:9">
      <c r="A3035" s="1" t="s">
        <v>3047</v>
      </c>
      <c r="B3035">
        <f>HYPERLINK("https://www.suredividend.com/sure-analysis-research-database/","Viad Corp.")</f>
        <v>0</v>
      </c>
      <c r="C3035">
        <v>-0.019546742209631</v>
      </c>
      <c r="D3035">
        <v>-0.150257795236926</v>
      </c>
      <c r="E3035">
        <v>-0.260312032485573</v>
      </c>
      <c r="F3035">
        <v>-0.191166160317831</v>
      </c>
      <c r="G3035">
        <v>-0.144587246663371</v>
      </c>
      <c r="H3035">
        <v>0.6817298347910591</v>
      </c>
      <c r="I3035">
        <v>-0.176430835419423</v>
      </c>
    </row>
    <row r="3036" spans="1:9">
      <c r="A3036" s="1" t="s">
        <v>3048</v>
      </c>
      <c r="B3036">
        <f>HYPERLINK("https://www.suredividend.com/sure-analysis-research-database/","Valvoline Inc")</f>
        <v>0</v>
      </c>
      <c r="C3036">
        <v>-0.005855562784645001</v>
      </c>
      <c r="D3036">
        <v>-0.136703654319871</v>
      </c>
      <c r="E3036">
        <v>-0.121374519861075</v>
      </c>
      <c r="F3036">
        <v>-0.177218427507181</v>
      </c>
      <c r="G3036">
        <v>0.1366383622886</v>
      </c>
      <c r="H3036">
        <v>1.372781340745686</v>
      </c>
      <c r="I3036">
        <v>0.40421171616176</v>
      </c>
    </row>
    <row r="3037" spans="1:9">
      <c r="A3037" s="1" t="s">
        <v>3049</v>
      </c>
      <c r="B3037">
        <f>HYPERLINK("https://www.suredividend.com/sure-analysis-research-database/","Vaxart Inc")</f>
        <v>0</v>
      </c>
      <c r="C3037">
        <v>-0.014799154334038</v>
      </c>
      <c r="D3037">
        <v>-0.206132879045996</v>
      </c>
      <c r="E3037">
        <v>-0.328530259365994</v>
      </c>
      <c r="F3037">
        <v>-0.256778309409888</v>
      </c>
      <c r="G3037">
        <v>-0.128971962616822</v>
      </c>
      <c r="H3037">
        <v>1.389743589743589</v>
      </c>
      <c r="I3037">
        <v>7.03448275862069</v>
      </c>
    </row>
    <row r="3038" spans="1:9">
      <c r="A3038" s="1" t="s">
        <v>3050</v>
      </c>
      <c r="B3038">
        <f>HYPERLINK("https://www.suredividend.com/sure-analysis-research-database/","Voyager Therapeutics Inc")</f>
        <v>0</v>
      </c>
      <c r="C3038">
        <v>0.215258855585831</v>
      </c>
      <c r="D3038">
        <v>2.034013605442176</v>
      </c>
      <c r="E3038">
        <v>1.175609756097561</v>
      </c>
      <c r="F3038">
        <v>2.291512915129151</v>
      </c>
      <c r="G3038">
        <v>0.9561403508771931</v>
      </c>
      <c r="H3038">
        <v>-0.06889352818371601</v>
      </c>
      <c r="I3038">
        <v>-0.203571428571428</v>
      </c>
    </row>
    <row r="3039" spans="1:9">
      <c r="A3039" s="1" t="s">
        <v>3051</v>
      </c>
      <c r="B3039">
        <f>HYPERLINK("https://www.suredividend.com/sure-analysis-VZ/","Verizon Communications Inc")</f>
        <v>0</v>
      </c>
      <c r="C3039">
        <v>0.038016911403145</v>
      </c>
      <c r="D3039">
        <v>0.022625809760823</v>
      </c>
      <c r="E3039">
        <v>0.05494410736403101</v>
      </c>
      <c r="F3039">
        <v>0.061237525579708</v>
      </c>
      <c r="G3039">
        <v>-0.042608629150015</v>
      </c>
      <c r="H3039">
        <v>0.03206831628877201</v>
      </c>
      <c r="I3039">
        <v>0.399177596523239</v>
      </c>
    </row>
    <row r="3040" spans="1:9">
      <c r="A3040" s="1" t="s">
        <v>3052</v>
      </c>
      <c r="B3040">
        <f>HYPERLINK("https://www.suredividend.com/sure-analysis-research-database/","Wayfair Inc")</f>
        <v>0</v>
      </c>
      <c r="C3040">
        <v>-0.09164918170373401</v>
      </c>
      <c r="D3040">
        <v>-0.36877405808935</v>
      </c>
      <c r="E3040">
        <v>-0.548609083705217</v>
      </c>
      <c r="F3040">
        <v>-0.430278465020792</v>
      </c>
      <c r="G3040">
        <v>-0.663505782862827</v>
      </c>
      <c r="H3040">
        <v>0.299903915445592</v>
      </c>
      <c r="I3040">
        <v>1.487474143874971</v>
      </c>
    </row>
    <row r="3041" spans="1:9">
      <c r="A3041" s="1" t="s">
        <v>3053</v>
      </c>
      <c r="B3041">
        <f>HYPERLINK("https://www.suredividend.com/sure-analysis-research-database/","Westinghouse Air Brake Technologies Corp")</f>
        <v>0</v>
      </c>
      <c r="C3041">
        <v>-0.047736010252029</v>
      </c>
      <c r="D3041">
        <v>-0.06670295050396101</v>
      </c>
      <c r="E3041">
        <v>-0.027966272598939</v>
      </c>
      <c r="F3041">
        <v>-0.030327678995725</v>
      </c>
      <c r="G3041">
        <v>0.112514004676127</v>
      </c>
      <c r="H3041">
        <v>0.900825389246064</v>
      </c>
      <c r="I3041">
        <v>0.163810543076782</v>
      </c>
    </row>
    <row r="3042" spans="1:9">
      <c r="A3042" s="1" t="s">
        <v>3054</v>
      </c>
      <c r="B3042">
        <f>HYPERLINK("https://www.suredividend.com/sure-analysis-WABC/","Westamerica Bancorporation")</f>
        <v>0</v>
      </c>
      <c r="C3042">
        <v>-0.05927342256214101</v>
      </c>
      <c r="D3042">
        <v>-0.014253585936417</v>
      </c>
      <c r="E3042">
        <v>0.09402621660384901</v>
      </c>
      <c r="F3042">
        <v>0.030141766630316</v>
      </c>
      <c r="G3042">
        <v>-0.062099378704381</v>
      </c>
      <c r="H3042">
        <v>0.07800372115783101</v>
      </c>
      <c r="I3042">
        <v>0.278063162816674</v>
      </c>
    </row>
    <row r="3043" spans="1:9">
      <c r="A3043" s="1" t="s">
        <v>3055</v>
      </c>
      <c r="B3043">
        <f>HYPERLINK("https://www.suredividend.com/sure-analysis-research-database/","Washington Federal Inc.")</f>
        <v>0</v>
      </c>
      <c r="C3043">
        <v>-0.104770017035775</v>
      </c>
      <c r="D3043">
        <v>-0.153395680787478</v>
      </c>
      <c r="E3043">
        <v>-0.113002821624389</v>
      </c>
      <c r="F3043">
        <v>-0.048900338148658</v>
      </c>
      <c r="G3043">
        <v>-0.019702335241281</v>
      </c>
      <c r="H3043">
        <v>0.434374957350887</v>
      </c>
      <c r="I3043">
        <v>0.09883982309828901</v>
      </c>
    </row>
    <row r="3044" spans="1:9">
      <c r="A3044" s="1" t="s">
        <v>3056</v>
      </c>
      <c r="B3044">
        <f>HYPERLINK("https://www.suredividend.com/sure-analysis-research-database/","Western Alliance Bancorp")</f>
        <v>0</v>
      </c>
      <c r="C3044">
        <v>-0.128341013824884</v>
      </c>
      <c r="D3044">
        <v>-0.379399101498514</v>
      </c>
      <c r="E3044">
        <v>-0.334164674118225</v>
      </c>
      <c r="F3044">
        <v>-0.294653311754659</v>
      </c>
      <c r="G3044">
        <v>-0.235882613148151</v>
      </c>
      <c r="H3044">
        <v>1.811928583109102</v>
      </c>
      <c r="I3044">
        <v>0.7415282912030491</v>
      </c>
    </row>
    <row r="3045" spans="1:9">
      <c r="A3045" s="1" t="s">
        <v>3057</v>
      </c>
      <c r="B3045">
        <f>HYPERLINK("https://www.suredividend.com/sure-analysis-WASH/","Washington Trust Bancorp, Inc.")</f>
        <v>0</v>
      </c>
      <c r="C3045">
        <v>-0.089809901256129</v>
      </c>
      <c r="D3045">
        <v>-0.174993404006305</v>
      </c>
      <c r="E3045">
        <v>-0.090305543951781</v>
      </c>
      <c r="F3045">
        <v>-0.125817418061063</v>
      </c>
      <c r="G3045">
        <v>-0.017326717714106</v>
      </c>
      <c r="H3045">
        <v>0.667846262731944</v>
      </c>
      <c r="I3045">
        <v>0.243017898642312</v>
      </c>
    </row>
    <row r="3046" spans="1:9">
      <c r="A3046" s="1" t="s">
        <v>3058</v>
      </c>
      <c r="B3046">
        <f>HYPERLINK("https://www.suredividend.com/sure-analysis-research-database/","Waters Corp.")</f>
        <v>0</v>
      </c>
      <c r="C3046">
        <v>-0.09677715264187801</v>
      </c>
      <c r="D3046">
        <v>-0.114883288886225</v>
      </c>
      <c r="E3046">
        <v>-0.143076789185112</v>
      </c>
      <c r="F3046">
        <v>-0.207219538378958</v>
      </c>
      <c r="G3046">
        <v>-0.015038346115371</v>
      </c>
      <c r="H3046">
        <v>0.530835406301824</v>
      </c>
      <c r="I3046">
        <v>0.8972959085361931</v>
      </c>
    </row>
    <row r="3047" spans="1:9">
      <c r="A3047" s="1" t="s">
        <v>3059</v>
      </c>
      <c r="B3047">
        <f>HYPERLINK("https://www.suredividend.com/sure-analysis-research-database/","Energous Corp")</f>
        <v>0</v>
      </c>
      <c r="C3047">
        <v>-0.0625</v>
      </c>
      <c r="D3047">
        <v>-0.110169491525423</v>
      </c>
      <c r="E3047">
        <v>-0.485294117647058</v>
      </c>
      <c r="F3047">
        <v>-0.159999999999999</v>
      </c>
      <c r="G3047">
        <v>-0.6798780487804871</v>
      </c>
      <c r="H3047">
        <v>0.120358514724711</v>
      </c>
      <c r="I3047">
        <v>-0.927133934767522</v>
      </c>
    </row>
    <row r="3048" spans="1:9">
      <c r="A3048" s="1" t="s">
        <v>3060</v>
      </c>
      <c r="B3048">
        <f>HYPERLINK("https://www.suredividend.com/sure-analysis-WBA/","Walgreens Boots Alliance Inc")</f>
        <v>0</v>
      </c>
      <c r="C3048">
        <v>-0.05424229632756401</v>
      </c>
      <c r="D3048">
        <v>-0.166457397434824</v>
      </c>
      <c r="E3048">
        <v>-0.06585503137442901</v>
      </c>
      <c r="F3048">
        <v>-0.132258451814298</v>
      </c>
      <c r="G3048">
        <v>-0.126738824556548</v>
      </c>
      <c r="H3048">
        <v>0.125062454649764</v>
      </c>
      <c r="I3048">
        <v>-0.367653077064194</v>
      </c>
    </row>
    <row r="3049" spans="1:9">
      <c r="A3049" s="1" t="s">
        <v>3061</v>
      </c>
      <c r="B3049">
        <f>HYPERLINK("https://www.suredividend.com/sure-analysis-research-database/","Webster Financial Corp.")</f>
        <v>0</v>
      </c>
      <c r="C3049">
        <v>-0.146770375380453</v>
      </c>
      <c r="D3049">
        <v>-0.208374972349601</v>
      </c>
      <c r="E3049">
        <v>-0.102366827064191</v>
      </c>
      <c r="F3049">
        <v>-0.09028301104424501</v>
      </c>
      <c r="G3049">
        <v>-0.09415671842743001</v>
      </c>
      <c r="H3049">
        <v>1.463398083372795</v>
      </c>
      <c r="I3049">
        <v>0.252861519820835</v>
      </c>
    </row>
    <row r="3050" spans="1:9">
      <c r="A3050" s="1" t="s">
        <v>3062</v>
      </c>
      <c r="B3050">
        <f>HYPERLINK("https://www.suredividend.com/sure-analysis-research-database/","Welbilt Inc")</f>
        <v>0</v>
      </c>
      <c r="C3050">
        <v>0.001687051876845</v>
      </c>
      <c r="D3050">
        <v>-0.002100840336134</v>
      </c>
      <c r="E3050">
        <v>0.004228329809725</v>
      </c>
      <c r="F3050">
        <v>-0.000841396718552</v>
      </c>
      <c r="G3050">
        <v>0.4862327909887351</v>
      </c>
      <c r="H3050">
        <v>4.601415094339623</v>
      </c>
      <c r="I3050">
        <v>0.263970196913251</v>
      </c>
    </row>
    <row r="3051" spans="1:9">
      <c r="A3051" s="1" t="s">
        <v>3063</v>
      </c>
      <c r="B3051">
        <f>HYPERLINK("https://www.suredividend.com/sure-analysis-research-database/","Wesco International, Inc.")</f>
        <v>0</v>
      </c>
      <c r="C3051">
        <v>-0.06305141466382701</v>
      </c>
      <c r="D3051">
        <v>-0.082383612662942</v>
      </c>
      <c r="E3051">
        <v>-0.012979729188366</v>
      </c>
      <c r="F3051">
        <v>-0.063834637890417</v>
      </c>
      <c r="G3051">
        <v>0.417443332182717</v>
      </c>
      <c r="H3051">
        <v>4.436451897616946</v>
      </c>
      <c r="I3051">
        <v>0.885080336648814</v>
      </c>
    </row>
    <row r="3052" spans="1:9">
      <c r="A3052" s="1" t="s">
        <v>3064</v>
      </c>
      <c r="B3052">
        <f>HYPERLINK("https://www.suredividend.com/sure-analysis-research-database/","Walker &amp; Dunlop Inc")</f>
        <v>0</v>
      </c>
      <c r="C3052">
        <v>-0.036664695446481</v>
      </c>
      <c r="D3052">
        <v>-0.09738378435285101</v>
      </c>
      <c r="E3052">
        <v>0.039525417401521</v>
      </c>
      <c r="F3052">
        <v>-0.132500670661122</v>
      </c>
      <c r="G3052">
        <v>0.195556843994143</v>
      </c>
      <c r="H3052">
        <v>2.912644037060833</v>
      </c>
      <c r="I3052">
        <v>2.389521924474418</v>
      </c>
    </row>
    <row r="3053" spans="1:9">
      <c r="A3053" s="1" t="s">
        <v>3065</v>
      </c>
      <c r="B3053">
        <f>HYPERLINK("https://www.suredividend.com/sure-analysis-research-database/","Workday Inc")</f>
        <v>0</v>
      </c>
      <c r="C3053">
        <v>-0.012309315514133</v>
      </c>
      <c r="D3053">
        <v>-0.116550666509378</v>
      </c>
      <c r="E3053">
        <v>-0.170928816561496</v>
      </c>
      <c r="F3053">
        <v>-0.17757522512629</v>
      </c>
      <c r="G3053">
        <v>-0.123581041544763</v>
      </c>
      <c r="H3053">
        <v>0.575746949081217</v>
      </c>
      <c r="I3053">
        <v>1.687440191387559</v>
      </c>
    </row>
    <row r="3054" spans="1:9">
      <c r="A3054" s="1" t="s">
        <v>3066</v>
      </c>
      <c r="B3054">
        <f>HYPERLINK("https://www.suredividend.com/sure-analysis-research-database/","Western Digital Corp.")</f>
        <v>0</v>
      </c>
      <c r="C3054">
        <v>-0.039585492227979</v>
      </c>
      <c r="D3054">
        <v>-0.304621848739495</v>
      </c>
      <c r="E3054">
        <v>-0.163688864825843</v>
      </c>
      <c r="F3054">
        <v>-0.289372795583499</v>
      </c>
      <c r="G3054">
        <v>-0.3273334301059651</v>
      </c>
      <c r="H3054">
        <v>0.128042843232716</v>
      </c>
      <c r="I3054">
        <v>-0.384433909004082</v>
      </c>
    </row>
    <row r="3055" spans="1:9">
      <c r="A3055" s="1" t="s">
        <v>3067</v>
      </c>
      <c r="B3055">
        <f>HYPERLINK("https://www.suredividend.com/sure-analysis-research-database/","WD-40 Co.")</f>
        <v>0</v>
      </c>
      <c r="C3055">
        <v>-0.017483232731452</v>
      </c>
      <c r="D3055">
        <v>-0.254049336650246</v>
      </c>
      <c r="E3055">
        <v>-0.182056063132616</v>
      </c>
      <c r="F3055">
        <v>-0.220739753678982</v>
      </c>
      <c r="G3055">
        <v>-0.255251492330554</v>
      </c>
      <c r="H3055">
        <v>0.14814351915332</v>
      </c>
      <c r="I3055">
        <v>0.9758954124436301</v>
      </c>
    </row>
    <row r="3056" spans="1:9">
      <c r="A3056" s="1" t="s">
        <v>3068</v>
      </c>
      <c r="B3056">
        <f>HYPERLINK("https://www.suredividend.com/sure-analysis-research-database/","Waddell &amp; Reed Financial, Inc.")</f>
        <v>0</v>
      </c>
      <c r="C3056">
        <v>0.003196735795408</v>
      </c>
      <c r="D3056">
        <v>0.007201206383510001</v>
      </c>
      <c r="E3056">
        <v>0.635587449583573</v>
      </c>
      <c r="F3056">
        <v>0.0004886293546080001</v>
      </c>
      <c r="G3056">
        <v>0.8683620044876591</v>
      </c>
      <c r="H3056">
        <v>0.524369778667366</v>
      </c>
      <c r="I3056">
        <v>0.748173445679254</v>
      </c>
    </row>
    <row r="3057" spans="1:9">
      <c r="A3057" s="1" t="s">
        <v>3069</v>
      </c>
      <c r="B3057">
        <f>HYPERLINK("https://www.suredividend.com/sure-analysis-WEC/","WEC Energy Group Inc")</f>
        <v>0</v>
      </c>
      <c r="C3057">
        <v>0.09080338266384701</v>
      </c>
      <c r="D3057">
        <v>0.08064916445785801</v>
      </c>
      <c r="E3057">
        <v>0.163576087998331</v>
      </c>
      <c r="F3057">
        <v>0.07152054362092701</v>
      </c>
      <c r="G3057">
        <v>0.09635818688131301</v>
      </c>
      <c r="H3057">
        <v>0.105080650861339</v>
      </c>
      <c r="I3057">
        <v>0.9787797492919231</v>
      </c>
    </row>
    <row r="3058" spans="1:9">
      <c r="A3058" s="1" t="s">
        <v>3070</v>
      </c>
      <c r="B3058">
        <f>HYPERLINK("https://www.suredividend.com/sure-analysis-WELL/","Welltower Inc.")</f>
        <v>0</v>
      </c>
      <c r="C3058">
        <v>-0.016791235794</v>
      </c>
      <c r="D3058">
        <v>-0.016791235794</v>
      </c>
      <c r="E3058">
        <v>-0.016791235794</v>
      </c>
      <c r="F3058">
        <v>-0.016791235794</v>
      </c>
      <c r="G3058">
        <v>-0.016791235794</v>
      </c>
      <c r="H3058">
        <v>-0.016791235794</v>
      </c>
      <c r="I3058">
        <v>-0.016791235794</v>
      </c>
    </row>
    <row r="3059" spans="1:9">
      <c r="A3059" s="1" t="s">
        <v>3071</v>
      </c>
      <c r="B3059">
        <f>HYPERLINK("https://www.suredividend.com/sure-analysis-WEN/","Wendy`s Co")</f>
        <v>0</v>
      </c>
      <c r="C3059">
        <v>-0.039540229885057</v>
      </c>
      <c r="D3059">
        <v>-0.09908355795148201</v>
      </c>
      <c r="E3059">
        <v>-0.04567424097068001</v>
      </c>
      <c r="F3059">
        <v>-0.119104345442661</v>
      </c>
      <c r="G3059">
        <v>-0.050592641070389</v>
      </c>
      <c r="H3059">
        <v>0.249850424793586</v>
      </c>
      <c r="I3059">
        <v>0.6951353105854671</v>
      </c>
    </row>
    <row r="3060" spans="1:9">
      <c r="A3060" s="1" t="s">
        <v>3072</v>
      </c>
      <c r="B3060">
        <f>HYPERLINK("https://www.suredividend.com/sure-analysis-research-database/","Werner Enterprises, Inc.")</f>
        <v>0</v>
      </c>
      <c r="C3060">
        <v>-0.154816388798082</v>
      </c>
      <c r="D3060">
        <v>-0.195938007533086</v>
      </c>
      <c r="E3060">
        <v>-0.151145372340061</v>
      </c>
      <c r="F3060">
        <v>-0.216350758285359</v>
      </c>
      <c r="G3060">
        <v>-0.217344141538151</v>
      </c>
      <c r="H3060">
        <v>-0.03279105896779001</v>
      </c>
      <c r="I3060">
        <v>0.803691681604573</v>
      </c>
    </row>
    <row r="3061" spans="1:9">
      <c r="A3061" s="1" t="s">
        <v>3073</v>
      </c>
      <c r="B3061">
        <f>HYPERLINK("https://www.suredividend.com/sure-analysis-research-database/","Wisdomtree Investments Inc")</f>
        <v>0</v>
      </c>
      <c r="C3061">
        <v>0.121100917431192</v>
      </c>
      <c r="D3061">
        <v>-0.03874895772697901</v>
      </c>
      <c r="E3061">
        <v>0.08049798401358101</v>
      </c>
      <c r="F3061">
        <v>0.003663124004139</v>
      </c>
      <c r="G3061">
        <v>-0.05081480791039401</v>
      </c>
      <c r="H3061">
        <v>1.56755053157961</v>
      </c>
      <c r="I3061">
        <v>-0.167450162830941</v>
      </c>
    </row>
    <row r="3062" spans="1:9">
      <c r="A3062" s="1" t="s">
        <v>3074</v>
      </c>
      <c r="B3062">
        <f>HYPERLINK("https://www.suredividend.com/sure-analysis-research-database/","WEX Inc")</f>
        <v>0</v>
      </c>
      <c r="C3062">
        <v>0.002774887270204</v>
      </c>
      <c r="D3062">
        <v>0.103294746215494</v>
      </c>
      <c r="E3062">
        <v>-0.100870827285921</v>
      </c>
      <c r="F3062">
        <v>0.235558088182919</v>
      </c>
      <c r="G3062">
        <v>-0.242598899659418</v>
      </c>
      <c r="H3062">
        <v>0.6253748125937031</v>
      </c>
      <c r="I3062">
        <v>0.699421965317919</v>
      </c>
    </row>
    <row r="3063" spans="1:9">
      <c r="A3063" s="1" t="s">
        <v>3075</v>
      </c>
      <c r="B3063">
        <f>HYPERLINK("https://www.suredividend.com/sure-analysis-WEYS/","Weyco Group, Inc")</f>
        <v>0</v>
      </c>
      <c r="C3063">
        <v>0.185044359949302</v>
      </c>
      <c r="D3063">
        <v>0.160294354888748</v>
      </c>
      <c r="E3063">
        <v>0.236232861317149</v>
      </c>
      <c r="F3063">
        <v>0.183559285560576</v>
      </c>
      <c r="G3063">
        <v>0.327684952903867</v>
      </c>
      <c r="H3063">
        <v>0.668748884526146</v>
      </c>
      <c r="I3063">
        <v>0.208124800799386</v>
      </c>
    </row>
    <row r="3064" spans="1:9">
      <c r="A3064" s="1" t="s">
        <v>3076</v>
      </c>
      <c r="B3064">
        <f>HYPERLINK("https://www.suredividend.com/sure-analysis-WFC/","Wells Fargo &amp; Co.")</f>
        <v>0</v>
      </c>
      <c r="C3064">
        <v>-0.101744186046511</v>
      </c>
      <c r="D3064">
        <v>-0.198103822631292</v>
      </c>
      <c r="E3064">
        <v>-0.033942286649228</v>
      </c>
      <c r="F3064">
        <v>-0.029634359527273</v>
      </c>
      <c r="G3064">
        <v>0.07307812518087201</v>
      </c>
      <c r="H3064">
        <v>0.8063062887517971</v>
      </c>
      <c r="I3064">
        <v>0.045338601749673</v>
      </c>
    </row>
    <row r="3065" spans="1:9">
      <c r="A3065" s="1" t="s">
        <v>3077</v>
      </c>
      <c r="B3065">
        <f>HYPERLINK("https://www.suredividend.com/sure-analysis-research-database/","Winnebago Industries, Inc.")</f>
        <v>0</v>
      </c>
      <c r="C3065">
        <v>-0.063408422622288</v>
      </c>
      <c r="D3065">
        <v>-0.258356097865153</v>
      </c>
      <c r="E3065">
        <v>-0.196827540625583</v>
      </c>
      <c r="F3065">
        <v>-0.249679536653624</v>
      </c>
      <c r="G3065">
        <v>-0.274497079818299</v>
      </c>
      <c r="H3065">
        <v>0.6370973882585851</v>
      </c>
      <c r="I3065">
        <v>1.329836494658881</v>
      </c>
    </row>
    <row r="3066" spans="1:9">
      <c r="A3066" s="1" t="s">
        <v>3078</v>
      </c>
      <c r="B3066">
        <f>HYPERLINK("https://www.suredividend.com/sure-analysis-research-database/","Wyndham Hotels &amp; Resorts Inc")</f>
        <v>0</v>
      </c>
      <c r="C3066">
        <v>0.004015831666344</v>
      </c>
      <c r="D3066">
        <v>0.014197358968298</v>
      </c>
      <c r="E3066">
        <v>0.047455738711271</v>
      </c>
      <c r="F3066">
        <v>-0.029470810785996</v>
      </c>
      <c r="G3066">
        <v>0.183624255284866</v>
      </c>
      <c r="H3066">
        <v>1.636453501634857</v>
      </c>
      <c r="I3066">
        <v>0.333538461538461</v>
      </c>
    </row>
    <row r="3067" spans="1:9">
      <c r="A3067" s="1" t="s">
        <v>3079</v>
      </c>
      <c r="B3067">
        <f>HYPERLINK("https://www.suredividend.com/sure-analysis-research-database/","Cactus Inc")</f>
        <v>0</v>
      </c>
      <c r="C3067">
        <v>0.262727844123193</v>
      </c>
      <c r="D3067">
        <v>0.314108294559107</v>
      </c>
      <c r="E3067">
        <v>0.437296251869057</v>
      </c>
      <c r="F3067">
        <v>0.584305726054692</v>
      </c>
      <c r="G3067">
        <v>1.084918844871245</v>
      </c>
      <c r="H3067">
        <v>3.960942966029847</v>
      </c>
      <c r="I3067">
        <v>2.043708809938641</v>
      </c>
    </row>
    <row r="3068" spans="1:9">
      <c r="A3068" s="1" t="s">
        <v>3080</v>
      </c>
      <c r="B3068">
        <f>HYPERLINK("https://www.suredividend.com/sure-analysis-research-database/","Westwood Holdings Group Inc")</f>
        <v>0</v>
      </c>
      <c r="C3068">
        <v>0.105405405405405</v>
      </c>
      <c r="D3068">
        <v>-0.154176640592283</v>
      </c>
      <c r="E3068">
        <v>-0.055825200694857</v>
      </c>
      <c r="F3068">
        <v>-0.025355066247259</v>
      </c>
      <c r="G3068">
        <v>0.107275803722504</v>
      </c>
      <c r="H3068">
        <v>-0.061619910177064</v>
      </c>
      <c r="I3068">
        <v>-0.5720257621656121</v>
      </c>
    </row>
    <row r="3069" spans="1:9">
      <c r="A3069" s="1" t="s">
        <v>3081</v>
      </c>
      <c r="B3069">
        <f>HYPERLINK("https://www.suredividend.com/sure-analysis-research-database/","Wilhelmina International Inc")</f>
        <v>0</v>
      </c>
      <c r="C3069">
        <v>0.214457831325301</v>
      </c>
      <c r="D3069">
        <v>0.020242914979756</v>
      </c>
      <c r="E3069">
        <v>-0.118881118881118</v>
      </c>
      <c r="F3069">
        <v>-0.04</v>
      </c>
      <c r="G3069">
        <v>-0.30958904109589</v>
      </c>
      <c r="H3069">
        <v>0.4923163473780831</v>
      </c>
      <c r="I3069">
        <v>-0.295114753639809</v>
      </c>
    </row>
    <row r="3070" spans="1:9">
      <c r="A3070" s="1" t="s">
        <v>3082</v>
      </c>
      <c r="B3070">
        <f>HYPERLINK("https://www.suredividend.com/sure-analysis-research-database/","Wheeler Real Estate Investment Trust Inc")</f>
        <v>0</v>
      </c>
      <c r="C3070">
        <v>0.142156862745097</v>
      </c>
      <c r="D3070">
        <v>0.362573099415204</v>
      </c>
      <c r="E3070">
        <v>-0.152727272727272</v>
      </c>
      <c r="F3070">
        <v>0.201030927835051</v>
      </c>
      <c r="G3070">
        <v>-0.424691358024691</v>
      </c>
      <c r="H3070">
        <v>1.080357142857142</v>
      </c>
      <c r="I3070">
        <v>-0.807474612263784</v>
      </c>
    </row>
    <row r="3071" spans="1:9">
      <c r="A3071" s="1" t="s">
        <v>3083</v>
      </c>
      <c r="B3071">
        <f>HYPERLINK("https://www.suredividend.com/sure-analysis-WHR/","Whirlpool Corp.")</f>
        <v>0</v>
      </c>
      <c r="C3071">
        <v>-0.118968901746048</v>
      </c>
      <c r="D3071">
        <v>-0.206980616476669</v>
      </c>
      <c r="E3071">
        <v>-0.16243340719438</v>
      </c>
      <c r="F3071">
        <v>-0.266593877918734</v>
      </c>
      <c r="G3071">
        <v>-0.253616709532831</v>
      </c>
      <c r="H3071">
        <v>0.8711100822717941</v>
      </c>
      <c r="I3071">
        <v>0.173769503465562</v>
      </c>
    </row>
    <row r="3072" spans="1:9">
      <c r="A3072" s="1" t="s">
        <v>3084</v>
      </c>
      <c r="B3072">
        <f>HYPERLINK("https://www.suredividend.com/sure-analysis-research-database/","Boingo Wireless Inc")</f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1" t="s">
        <v>3085</v>
      </c>
      <c r="B3073">
        <f>HYPERLINK("https://www.suredividend.com/sure-analysis-research-database/","Winmark Corporation")</f>
        <v>0</v>
      </c>
      <c r="C3073">
        <v>-0.035344117264408</v>
      </c>
      <c r="D3073">
        <v>-0.005035653932757</v>
      </c>
      <c r="E3073">
        <v>0.03436650631598701</v>
      </c>
      <c r="F3073">
        <v>-0.10229205291973</v>
      </c>
      <c r="G3073">
        <v>0.142203985390223</v>
      </c>
      <c r="H3073">
        <v>0.4716078394013</v>
      </c>
      <c r="I3073">
        <v>0.867431190735042</v>
      </c>
    </row>
    <row r="3074" spans="1:9">
      <c r="A3074" s="1" t="s">
        <v>3086</v>
      </c>
      <c r="B3074">
        <f>HYPERLINK("https://www.suredividend.com/sure-analysis-research-database/","Wingstop Inc")</f>
        <v>0</v>
      </c>
      <c r="C3074">
        <v>-0.145170110477034</v>
      </c>
      <c r="D3074">
        <v>-0.318523431774781</v>
      </c>
      <c r="E3074">
        <v>-0.384605352218639</v>
      </c>
      <c r="F3074">
        <v>-0.388721821647356</v>
      </c>
      <c r="G3074">
        <v>-0.227998097263756</v>
      </c>
      <c r="H3074">
        <v>0.07432127603057601</v>
      </c>
      <c r="I3074">
        <v>3.235689172228641</v>
      </c>
    </row>
    <row r="3075" spans="1:9">
      <c r="A3075" s="1" t="s">
        <v>3087</v>
      </c>
      <c r="B3075">
        <f>HYPERLINK("https://www.suredividend.com/sure-analysis-research-database/","Encore Wire Corp.")</f>
        <v>0</v>
      </c>
      <c r="C3075">
        <v>-0.153391789614526</v>
      </c>
      <c r="D3075">
        <v>-0.170891353969858</v>
      </c>
      <c r="E3075">
        <v>-0.03592333295076301</v>
      </c>
      <c r="F3075">
        <v>-0.254272310840104</v>
      </c>
      <c r="G3075">
        <v>0.5062541740381531</v>
      </c>
      <c r="H3075">
        <v>1.571463695068951</v>
      </c>
      <c r="I3075">
        <v>1.516803461430482</v>
      </c>
    </row>
    <row r="3076" spans="1:9">
      <c r="A3076" s="1" t="s">
        <v>3088</v>
      </c>
      <c r="B3076">
        <f>HYPERLINK("https://www.suredividend.com/sure-analysis-research-database/","Workiva Inc")</f>
        <v>0</v>
      </c>
      <c r="C3076">
        <v>0.09094567404426501</v>
      </c>
      <c r="D3076">
        <v>-0.071734292073275</v>
      </c>
      <c r="E3076">
        <v>-0.237894440930494</v>
      </c>
      <c r="F3076">
        <v>-0.168978465782818</v>
      </c>
      <c r="G3076">
        <v>0.112547450497588</v>
      </c>
      <c r="H3076">
        <v>2.359355638166047</v>
      </c>
      <c r="I3076">
        <v>5.756386292834891</v>
      </c>
    </row>
    <row r="3077" spans="1:9">
      <c r="A3077" s="1" t="s">
        <v>3089</v>
      </c>
      <c r="B3077">
        <f>HYPERLINK("https://www.suredividend.com/sure-analysis-research-database/","Workhorse Group Inc")</f>
        <v>0</v>
      </c>
      <c r="C3077">
        <v>-0.03513513513513501</v>
      </c>
      <c r="D3077">
        <v>-0.08461538461538401</v>
      </c>
      <c r="E3077">
        <v>-0.45076923076923</v>
      </c>
      <c r="F3077">
        <v>-0.181192660550458</v>
      </c>
      <c r="G3077">
        <v>-0.73015873015873</v>
      </c>
      <c r="H3077">
        <v>0.767326732673267</v>
      </c>
      <c r="I3077">
        <v>0.8497409326424871</v>
      </c>
    </row>
    <row r="3078" spans="1:9">
      <c r="A3078" s="1" t="s">
        <v>3090</v>
      </c>
      <c r="B3078">
        <f>HYPERLINK("https://www.suredividend.com/sure-analysis-research-database/","Willdan Group Inc")</f>
        <v>0</v>
      </c>
      <c r="C3078">
        <v>0.049571375326127</v>
      </c>
      <c r="D3078">
        <v>-0.108013937282229</v>
      </c>
      <c r="E3078">
        <v>-0.162403331350386</v>
      </c>
      <c r="F3078">
        <v>-0.2</v>
      </c>
      <c r="G3078">
        <v>-0.288709270017681</v>
      </c>
      <c r="H3078">
        <v>0.3844641101278271</v>
      </c>
      <c r="I3078">
        <v>-0.08123980424143501</v>
      </c>
    </row>
    <row r="3079" spans="1:9">
      <c r="A3079" s="1" t="s">
        <v>3091</v>
      </c>
      <c r="B3079">
        <f>HYPERLINK("https://www.suredividend.com/sure-analysis-research-database/","Willis Lease Finance Corp.")</f>
        <v>0</v>
      </c>
      <c r="C3079">
        <v>-0.028631705846895</v>
      </c>
      <c r="D3079">
        <v>-0.109668508287293</v>
      </c>
      <c r="E3079">
        <v>-0.208302628346843</v>
      </c>
      <c r="F3079">
        <v>-0.143957503320053</v>
      </c>
      <c r="G3079">
        <v>-0.241825452834627</v>
      </c>
      <c r="H3079">
        <v>0.616349047141423</v>
      </c>
      <c r="I3079">
        <v>0.4439964157706091</v>
      </c>
    </row>
    <row r="3080" spans="1:9">
      <c r="A3080" s="1" t="s">
        <v>3092</v>
      </c>
      <c r="B3080">
        <f>HYPERLINK("https://www.suredividend.com/sure-analysis-research-database/","Westlake Corporation")</f>
        <v>0</v>
      </c>
      <c r="C3080">
        <v>0.036375941121732</v>
      </c>
      <c r="D3080">
        <v>0.145380380160452</v>
      </c>
      <c r="E3080">
        <v>0.256036170888996</v>
      </c>
      <c r="F3080">
        <v>0.264718574050712</v>
      </c>
      <c r="G3080">
        <v>0.29571929290173</v>
      </c>
      <c r="H3080">
        <v>2.325515616432407</v>
      </c>
      <c r="I3080">
        <v>1.073853633433547</v>
      </c>
    </row>
    <row r="3081" spans="1:9">
      <c r="A3081" s="1" t="s">
        <v>3093</v>
      </c>
      <c r="B3081">
        <f>HYPERLINK("https://www.suredividend.com/sure-analysis-research-database/","Whiting Petroleum Corp")</f>
        <v>0</v>
      </c>
      <c r="C3081">
        <v>0.040933483089978</v>
      </c>
      <c r="D3081">
        <v>0.113624104801627</v>
      </c>
      <c r="E3081">
        <v>0.261448465270468</v>
      </c>
      <c r="F3081">
        <v>0.294408484342483</v>
      </c>
      <c r="G3081">
        <v>1.373080993729444</v>
      </c>
      <c r="H3081">
        <v>3.293442732649416</v>
      </c>
      <c r="I3081">
        <v>3.293442732649416</v>
      </c>
    </row>
    <row r="3082" spans="1:9">
      <c r="A3082" s="1" t="s">
        <v>3094</v>
      </c>
      <c r="B3082">
        <f>HYPERLINK("https://www.suredividend.com/sure-analysis-WM/","Waste Management, Inc.")</f>
        <v>0</v>
      </c>
      <c r="C3082">
        <v>0.030161812297734</v>
      </c>
      <c r="D3082">
        <v>0.020296960520225</v>
      </c>
      <c r="E3082">
        <v>0.014124855361685</v>
      </c>
      <c r="F3082">
        <v>-0.042363789847106</v>
      </c>
      <c r="G3082">
        <v>0.197014833327191</v>
      </c>
      <c r="H3082">
        <v>0.689198511603422</v>
      </c>
      <c r="I3082">
        <v>1.431259929121349</v>
      </c>
    </row>
    <row r="3083" spans="1:9">
      <c r="A3083" s="1" t="s">
        <v>3095</v>
      </c>
      <c r="B3083">
        <f>HYPERLINK("https://www.suredividend.com/sure-analysis-WMB/","Williams Cos Inc")</f>
        <v>0</v>
      </c>
      <c r="C3083">
        <v>0.136276391554702</v>
      </c>
      <c r="D3083">
        <v>0.228768118448818</v>
      </c>
      <c r="E3083">
        <v>0.236295290800877</v>
      </c>
      <c r="F3083">
        <v>0.382128056966089</v>
      </c>
      <c r="G3083">
        <v>0.595995632579519</v>
      </c>
      <c r="H3083">
        <v>1.447410306408604</v>
      </c>
      <c r="I3083">
        <v>0.596210796892062</v>
      </c>
    </row>
    <row r="3084" spans="1:9">
      <c r="A3084" s="1" t="s">
        <v>3096</v>
      </c>
      <c r="B3084">
        <f>HYPERLINK("https://www.suredividend.com/sure-analysis-research-database/","Western Asset Mortgage Capital Corp")</f>
        <v>0</v>
      </c>
      <c r="C3084">
        <v>-0.123154381399558</v>
      </c>
      <c r="D3084">
        <v>-0.285088326184216</v>
      </c>
      <c r="E3084">
        <v>-0.365118374703039</v>
      </c>
      <c r="F3084">
        <v>-0.247791905270309</v>
      </c>
      <c r="G3084">
        <v>-0.458174572657042</v>
      </c>
      <c r="H3084">
        <v>-0.271068472535741</v>
      </c>
      <c r="I3084">
        <v>-0.750659545717778</v>
      </c>
    </row>
    <row r="3085" spans="1:9">
      <c r="A3085" s="1" t="s">
        <v>3097</v>
      </c>
      <c r="B3085">
        <f>HYPERLINK("https://www.suredividend.com/sure-analysis-research-database/","Weis Markets, Inc.")</f>
        <v>0</v>
      </c>
      <c r="C3085">
        <v>0.05799788135593201</v>
      </c>
      <c r="D3085">
        <v>0.252710416937773</v>
      </c>
      <c r="E3085">
        <v>0.507760532150776</v>
      </c>
      <c r="F3085">
        <v>0.219244221179142</v>
      </c>
      <c r="G3085">
        <v>0.5143503171796311</v>
      </c>
      <c r="H3085">
        <v>0.8599648957814411</v>
      </c>
      <c r="I3085">
        <v>0.511980410486596</v>
      </c>
    </row>
    <row r="3086" spans="1:9">
      <c r="A3086" s="1" t="s">
        <v>3098</v>
      </c>
      <c r="B3086">
        <f>HYPERLINK("https://www.suredividend.com/sure-analysis-research-database/","Advanced Drainage Systems Inc")</f>
        <v>0</v>
      </c>
      <c r="C3086">
        <v>-0.09767907831023501</v>
      </c>
      <c r="D3086">
        <v>-0.094027353533863</v>
      </c>
      <c r="E3086">
        <v>-0.041300028384899</v>
      </c>
      <c r="F3086">
        <v>-0.205302298358693</v>
      </c>
      <c r="G3086">
        <v>-0.072794390783535</v>
      </c>
      <c r="H3086">
        <v>2.369528958058592</v>
      </c>
      <c r="I3086">
        <v>4.216543509003944</v>
      </c>
    </row>
    <row r="3087" spans="1:9">
      <c r="A3087" s="1" t="s">
        <v>3099</v>
      </c>
      <c r="B3087">
        <f>HYPERLINK("https://www.suredividend.com/sure-analysis-WMT/","Walmart Inc")</f>
        <v>0</v>
      </c>
      <c r="C3087">
        <v>0.084881552593411</v>
      </c>
      <c r="D3087">
        <v>0.08705054840412901</v>
      </c>
      <c r="E3087">
        <v>0.12644947542794</v>
      </c>
      <c r="F3087">
        <v>0.08983053787313701</v>
      </c>
      <c r="G3087">
        <v>0.134550560377548</v>
      </c>
      <c r="H3087">
        <v>0.22535999045174</v>
      </c>
      <c r="I3087">
        <v>1.355372086711521</v>
      </c>
    </row>
    <row r="3088" spans="1:9">
      <c r="A3088" s="1" t="s">
        <v>3100</v>
      </c>
      <c r="B3088">
        <f>HYPERLINK("https://www.suredividend.com/sure-analysis-research-database/","Wabash National Corp.")</f>
        <v>0</v>
      </c>
      <c r="C3088">
        <v>-0.188603511536851</v>
      </c>
      <c r="D3088">
        <v>-0.387045167051119</v>
      </c>
      <c r="E3088">
        <v>-0.157606785164164</v>
      </c>
      <c r="F3088">
        <v>-0.318144193361476</v>
      </c>
      <c r="G3088">
        <v>-0.287794703310836</v>
      </c>
      <c r="H3088">
        <v>0.8989439105565721</v>
      </c>
      <c r="I3088">
        <v>-0.259500640492617</v>
      </c>
    </row>
    <row r="3089" spans="1:9">
      <c r="A3089" s="1" t="s">
        <v>3101</v>
      </c>
      <c r="B3089">
        <f>HYPERLINK("https://www.suredividend.com/sure-analysis-research-database/","Western New England Bancorp Inc")</f>
        <v>0</v>
      </c>
      <c r="C3089">
        <v>-0.04185022026431701</v>
      </c>
      <c r="D3089">
        <v>-0.042935876703739</v>
      </c>
      <c r="E3089">
        <v>-0.003070999679149</v>
      </c>
      <c r="F3089">
        <v>-0.000321735533391</v>
      </c>
      <c r="G3089">
        <v>0.09847097890178101</v>
      </c>
      <c r="H3089">
        <v>0.8187139392925821</v>
      </c>
      <c r="I3089">
        <v>-0.019972288871616</v>
      </c>
    </row>
    <row r="3090" spans="1:9">
      <c r="A3090" s="1" t="s">
        <v>3102</v>
      </c>
      <c r="B3090">
        <f>HYPERLINK("https://www.suredividend.com/sure-analysis-research-database/","Worthington Industries, Inc.")</f>
        <v>0</v>
      </c>
      <c r="C3090">
        <v>-0.095800303592511</v>
      </c>
      <c r="D3090">
        <v>-0.07428032677334601</v>
      </c>
      <c r="E3090">
        <v>0.0226778478936</v>
      </c>
      <c r="F3090">
        <v>-0.014496696606162</v>
      </c>
      <c r="G3090">
        <v>-0.179779836445559</v>
      </c>
      <c r="H3090">
        <v>1.421442024959687</v>
      </c>
      <c r="I3090">
        <v>0.4479444914098341</v>
      </c>
    </row>
    <row r="3091" spans="1:9">
      <c r="A3091" s="1" t="s">
        <v>3103</v>
      </c>
      <c r="B3091">
        <f>HYPERLINK("https://www.suredividend.com/sure-analysis-research-database/","WideOpenWest Inc")</f>
        <v>0</v>
      </c>
      <c r="C3091">
        <v>0.235690235690235</v>
      </c>
      <c r="D3091">
        <v>0.09552238805970101</v>
      </c>
      <c r="E3091">
        <v>0.106532663316583</v>
      </c>
      <c r="F3091">
        <v>0.023234200743494</v>
      </c>
      <c r="G3091">
        <v>0.6323202372127501</v>
      </c>
      <c r="H3091">
        <v>3.797385620915033</v>
      </c>
      <c r="I3091">
        <v>0.334545454545454</v>
      </c>
    </row>
    <row r="3092" spans="1:9">
      <c r="A3092" s="1" t="s">
        <v>3104</v>
      </c>
      <c r="B3092">
        <f>HYPERLINK("https://www.suredividend.com/sure-analysis-WPC/","W. P. Carey Inc")</f>
        <v>0</v>
      </c>
      <c r="C3092">
        <v>0.06132045368098801</v>
      </c>
      <c r="D3092">
        <v>0.063867898697769</v>
      </c>
      <c r="E3092">
        <v>0.107928047968021</v>
      </c>
      <c r="F3092">
        <v>0.026396219800621</v>
      </c>
      <c r="G3092">
        <v>0.216577051099162</v>
      </c>
      <c r="H3092">
        <v>0.5240326104488331</v>
      </c>
      <c r="I3092">
        <v>0.7578983864966341</v>
      </c>
    </row>
    <row r="3093" spans="1:9">
      <c r="A3093" s="1" t="s">
        <v>3105</v>
      </c>
      <c r="B3093">
        <f>HYPERLINK("https://www.suredividend.com/sure-analysis-research-database/","Washington Prime Group Inc")</f>
        <v>0</v>
      </c>
      <c r="C3093">
        <v>-0.369469696969697</v>
      </c>
      <c r="D3093">
        <v>-0.648818565400843</v>
      </c>
      <c r="E3093">
        <v>-0.618211009174311</v>
      </c>
      <c r="F3093">
        <v>-0.8721505376344081</v>
      </c>
      <c r="G3093">
        <v>-0.8527892744702671</v>
      </c>
      <c r="H3093">
        <v>-0.97676729612416</v>
      </c>
      <c r="I3093">
        <v>-0.9877331808394141</v>
      </c>
    </row>
    <row r="3094" spans="1:9">
      <c r="A3094" s="1" t="s">
        <v>3106</v>
      </c>
      <c r="B3094">
        <f>HYPERLINK("https://www.suredividend.com/sure-analysis-research-database/","WPX Energy Inc")</f>
        <v>0</v>
      </c>
      <c r="C3094">
        <v>0.093967517401392</v>
      </c>
      <c r="D3094">
        <v>0.889779559118236</v>
      </c>
      <c r="E3094">
        <v>0.6869409660107331</v>
      </c>
      <c r="F3094">
        <v>0.157055214723926</v>
      </c>
      <c r="G3094">
        <v>-0.3330975954738331</v>
      </c>
      <c r="H3094">
        <v>-0.222588623248145</v>
      </c>
      <c r="I3094">
        <v>0.8973843058350101</v>
      </c>
    </row>
    <row r="3095" spans="1:9">
      <c r="A3095" s="1" t="s">
        <v>3107</v>
      </c>
      <c r="B3095">
        <f>HYPERLINK("https://www.suredividend.com/sure-analysis-research-database/","W.R. Berkley Corp.")</f>
        <v>0</v>
      </c>
      <c r="C3095">
        <v>0.088154555590469</v>
      </c>
      <c r="D3095">
        <v>0.197333642232074</v>
      </c>
      <c r="E3095">
        <v>0.3197680829701161</v>
      </c>
      <c r="F3095">
        <v>0.243839602671465</v>
      </c>
      <c r="G3095">
        <v>0.289174112204635</v>
      </c>
      <c r="H3095">
        <v>0.899088315122833</v>
      </c>
      <c r="I3095">
        <v>1.427092931830067</v>
      </c>
    </row>
    <row r="3096" spans="1:9">
      <c r="A3096" s="1" t="s">
        <v>3108</v>
      </c>
      <c r="B3096">
        <f>HYPERLINK("https://www.suredividend.com/sure-analysis-research-database/","Washington Real Estate Investment Trust")</f>
        <v>0</v>
      </c>
      <c r="C3096">
        <v>0.04380234575382001</v>
      </c>
      <c r="D3096">
        <v>-0.039717146108086</v>
      </c>
      <c r="E3096">
        <v>-0.001393681184509</v>
      </c>
      <c r="F3096">
        <v>-0.020398306438106</v>
      </c>
      <c r="G3096">
        <v>0.129240826882666</v>
      </c>
      <c r="H3096">
        <v>0.212878210630889</v>
      </c>
      <c r="I3096">
        <v>-0.03665314533705601</v>
      </c>
    </row>
    <row r="3097" spans="1:9">
      <c r="A3097" s="1" t="s">
        <v>3109</v>
      </c>
      <c r="B3097">
        <f>HYPERLINK("https://www.suredividend.com/sure-analysis-research-database/","Weingarten Realty Investors")</f>
        <v>0</v>
      </c>
      <c r="C3097">
        <v>-0.0009120173378620001</v>
      </c>
      <c r="D3097">
        <v>0.002749268031307</v>
      </c>
      <c r="E3097">
        <v>0.420047786595363</v>
      </c>
      <c r="F3097">
        <v>0.509825390422405</v>
      </c>
      <c r="G3097">
        <v>0.9912345147315881</v>
      </c>
      <c r="H3097">
        <v>0.274711730267105</v>
      </c>
      <c r="I3097">
        <v>0.03001254754471</v>
      </c>
    </row>
    <row r="3098" spans="1:9">
      <c r="A3098" s="1" t="s">
        <v>3110</v>
      </c>
      <c r="B3098">
        <f>HYPERLINK("https://www.suredividend.com/sure-analysis-WRK/","WestRock Co")</f>
        <v>0</v>
      </c>
      <c r="C3098">
        <v>0.05471060414026101</v>
      </c>
      <c r="D3098">
        <v>0.070021816186839</v>
      </c>
      <c r="E3098">
        <v>0.08334815984863901</v>
      </c>
      <c r="F3098">
        <v>0.131532429859946</v>
      </c>
      <c r="G3098">
        <v>-0.06860047567970901</v>
      </c>
      <c r="H3098">
        <v>0.8090645255961071</v>
      </c>
      <c r="I3098">
        <v>0.183147318783915</v>
      </c>
    </row>
    <row r="3099" spans="1:9">
      <c r="A3099" s="1" t="s">
        <v>3111</v>
      </c>
      <c r="B3099">
        <f>HYPERLINK("https://www.suredividend.com/sure-analysis-research-database/","World Acceptance Corp.")</f>
        <v>0</v>
      </c>
      <c r="C3099">
        <v>0.07840365376250501</v>
      </c>
      <c r="D3099">
        <v>-0.109104792705385</v>
      </c>
      <c r="E3099">
        <v>0.019742930591259</v>
      </c>
      <c r="F3099">
        <v>-0.191867334881636</v>
      </c>
      <c r="G3099">
        <v>0.504627522379001</v>
      </c>
      <c r="H3099">
        <v>2.525417703519374</v>
      </c>
      <c r="I3099">
        <v>2.880649579338681</v>
      </c>
    </row>
    <row r="3100" spans="1:9">
      <c r="A3100" s="1" t="s">
        <v>3112</v>
      </c>
      <c r="B3100">
        <f>HYPERLINK("https://www.suredividend.com/sure-analysis-research-database/","Wrap Technologies Inc")</f>
        <v>0</v>
      </c>
      <c r="C3100">
        <v>0.112185686653771</v>
      </c>
      <c r="D3100">
        <v>-0.339080459770114</v>
      </c>
      <c r="E3100">
        <v>-0.108527131782945</v>
      </c>
      <c r="F3100">
        <v>-0.100156494522691</v>
      </c>
      <c r="G3100">
        <v>0.258205689277899</v>
      </c>
      <c r="H3100">
        <v>0.210526315789473</v>
      </c>
      <c r="I3100">
        <v>0.210526315789473</v>
      </c>
    </row>
    <row r="3101" spans="1:9">
      <c r="A3101" s="1" t="s">
        <v>3113</v>
      </c>
      <c r="B3101">
        <f>HYPERLINK("https://www.suredividend.com/sure-analysis-WSBC/","Wesbanco, Inc.")</f>
        <v>0</v>
      </c>
      <c r="C3101">
        <v>-0.065229563269876</v>
      </c>
      <c r="D3101">
        <v>-0.118220278556828</v>
      </c>
      <c r="E3101">
        <v>-0.078225245420112</v>
      </c>
      <c r="F3101">
        <v>-0.036316356069417</v>
      </c>
      <c r="G3101">
        <v>-0.055298561303738</v>
      </c>
      <c r="H3101">
        <v>0.702520382824888</v>
      </c>
      <c r="I3101">
        <v>0.08748400040385701</v>
      </c>
    </row>
    <row r="3102" spans="1:9">
      <c r="A3102" s="1" t="s">
        <v>3114</v>
      </c>
      <c r="B3102">
        <f>HYPERLINK("https://www.suredividend.com/sure-analysis-research-database/","Waterstone Financial Inc")</f>
        <v>0</v>
      </c>
      <c r="C3102">
        <v>-0.03484621232356</v>
      </c>
      <c r="D3102">
        <v>-0.09894357248013501</v>
      </c>
      <c r="E3102">
        <v>-0.061077437376013</v>
      </c>
      <c r="F3102">
        <v>-0.123359506580635</v>
      </c>
      <c r="G3102">
        <v>-0.036360839017385</v>
      </c>
      <c r="H3102">
        <v>0.6908886389201341</v>
      </c>
      <c r="I3102">
        <v>0.480856832117018</v>
      </c>
    </row>
    <row r="3103" spans="1:9">
      <c r="A3103" s="1" t="s">
        <v>3115</v>
      </c>
      <c r="B3103">
        <f>HYPERLINK("https://www.suredividend.com/sure-analysis-research-database/","WillScot Mobile Mini Holdings Corp")</f>
        <v>0</v>
      </c>
      <c r="C3103">
        <v>0.005915568701263</v>
      </c>
      <c r="D3103">
        <v>-0.025527481114873</v>
      </c>
      <c r="E3103">
        <v>0.139853747714807</v>
      </c>
      <c r="F3103">
        <v>-0.083986287952987</v>
      </c>
      <c r="G3103">
        <v>0.294015911449325</v>
      </c>
      <c r="H3103">
        <v>3.427218934911242</v>
      </c>
      <c r="I3103">
        <v>2.562857142857142</v>
      </c>
    </row>
    <row r="3104" spans="1:9">
      <c r="A3104" s="1" t="s">
        <v>3116</v>
      </c>
      <c r="B3104">
        <f>HYPERLINK("https://www.suredividend.com/sure-analysis-research-database/","WSFS Financial Corp.")</f>
        <v>0</v>
      </c>
      <c r="C3104">
        <v>-0.188737864077669</v>
      </c>
      <c r="D3104">
        <v>-0.252853213732622</v>
      </c>
      <c r="E3104">
        <v>-0.231719785514111</v>
      </c>
      <c r="F3104">
        <v>-0.164304730739304</v>
      </c>
      <c r="G3104">
        <v>-0.156819810092733</v>
      </c>
      <c r="H3104">
        <v>0.9933871837322811</v>
      </c>
      <c r="I3104">
        <v>-0.022065552973009</v>
      </c>
    </row>
    <row r="3105" spans="1:9">
      <c r="A3105" s="1" t="s">
        <v>3117</v>
      </c>
      <c r="B3105">
        <f>HYPERLINK("https://www.suredividend.com/sure-analysis-WSM/","Williams-Sonoma, Inc.")</f>
        <v>0</v>
      </c>
      <c r="C3105">
        <v>-0.022761561167595</v>
      </c>
      <c r="D3105">
        <v>0.01808122645371</v>
      </c>
      <c r="E3105">
        <v>-0.175525424066489</v>
      </c>
      <c r="F3105">
        <v>-0.114890198974441</v>
      </c>
      <c r="G3105">
        <v>-0.131720525676839</v>
      </c>
      <c r="H3105">
        <v>2.190395833511791</v>
      </c>
      <c r="I3105">
        <v>2.122013780616607</v>
      </c>
    </row>
    <row r="3106" spans="1:9">
      <c r="A3106" s="1" t="s">
        <v>3118</v>
      </c>
      <c r="B3106">
        <f>HYPERLINK("https://www.suredividend.com/sure-analysis-WSO/","Watsco Inc.")</f>
        <v>0</v>
      </c>
      <c r="C3106">
        <v>-0.011055032375011</v>
      </c>
      <c r="D3106">
        <v>-0.024990719510125</v>
      </c>
      <c r="E3106">
        <v>0.025182176995095</v>
      </c>
      <c r="F3106">
        <v>-0.065219110643776</v>
      </c>
      <c r="G3106">
        <v>0.045380663701993</v>
      </c>
      <c r="H3106">
        <v>1.006128503803359</v>
      </c>
      <c r="I3106">
        <v>1.522547581497993</v>
      </c>
    </row>
    <row r="3107" spans="1:9">
      <c r="A3107" s="1" t="s">
        <v>3119</v>
      </c>
      <c r="B3107">
        <f>HYPERLINK("https://www.suredividend.com/sure-analysis-WSR/","Whitestone REIT")</f>
        <v>0</v>
      </c>
      <c r="C3107">
        <v>0.027260716268088</v>
      </c>
      <c r="D3107">
        <v>0.303196501006654</v>
      </c>
      <c r="E3107">
        <v>0.315460160778464</v>
      </c>
      <c r="F3107">
        <v>0.314275997959571</v>
      </c>
      <c r="G3107">
        <v>0.409251295031156</v>
      </c>
      <c r="H3107">
        <v>1.606677379039457</v>
      </c>
      <c r="I3107">
        <v>0.343901815392482</v>
      </c>
    </row>
    <row r="3108" spans="1:9">
      <c r="A3108" s="1" t="s">
        <v>3120</v>
      </c>
      <c r="B3108">
        <f>HYPERLINK("https://www.suredividend.com/sure-analysis-WST/","West Pharmaceutical Services, Inc.")</f>
        <v>0</v>
      </c>
      <c r="C3108">
        <v>-0.039167254763584</v>
      </c>
      <c r="D3108">
        <v>0.003791668860919</v>
      </c>
      <c r="E3108">
        <v>-0.05786393965702701</v>
      </c>
      <c r="F3108">
        <v>-0.187181509989126</v>
      </c>
      <c r="G3108">
        <v>0.216473350515809</v>
      </c>
      <c r="H3108">
        <v>1.282930837172452</v>
      </c>
      <c r="I3108">
        <v>3.93481646216041</v>
      </c>
    </row>
    <row r="3109" spans="1:9">
      <c r="A3109" s="1" t="s">
        <v>3121</v>
      </c>
      <c r="B3109">
        <f>HYPERLINK("https://www.suredividend.com/sure-analysis-research-database/","Wayside Technology Group Inc")</f>
        <v>0</v>
      </c>
      <c r="C3109">
        <v>0.011143695014662</v>
      </c>
      <c r="D3109">
        <v>0.060061980422057</v>
      </c>
      <c r="E3109">
        <v>0.253927615500989</v>
      </c>
      <c r="F3109">
        <v>-0.012422057816845</v>
      </c>
      <c r="G3109">
        <v>0.393429704138663</v>
      </c>
      <c r="H3109">
        <v>1.700543554880245</v>
      </c>
      <c r="I3109">
        <v>1.283942848437075</v>
      </c>
    </row>
    <row r="3110" spans="1:9">
      <c r="A3110" s="1" t="s">
        <v>3122</v>
      </c>
      <c r="B3110">
        <f>HYPERLINK("https://www.suredividend.com/sure-analysis-research-database/","Westell Technologies, Inc.")</f>
        <v>0</v>
      </c>
      <c r="C3110">
        <v>0.07723577235772301</v>
      </c>
      <c r="D3110">
        <v>-0.05357142857142801</v>
      </c>
      <c r="E3110">
        <v>0.454924783133853</v>
      </c>
      <c r="F3110">
        <v>-0.05357142857142801</v>
      </c>
      <c r="G3110">
        <v>0.5868263473053891</v>
      </c>
      <c r="H3110">
        <v>1.65</v>
      </c>
      <c r="I3110">
        <v>1.65</v>
      </c>
    </row>
    <row r="3111" spans="1:9">
      <c r="A3111" s="1" t="s">
        <v>3123</v>
      </c>
      <c r="B3111">
        <f>HYPERLINK("https://www.suredividend.com/sure-analysis-research-database/","West Bancorporation")</f>
        <v>0</v>
      </c>
      <c r="C3111">
        <v>-0.104268719384184</v>
      </c>
      <c r="D3111">
        <v>-0.205649815685933</v>
      </c>
      <c r="E3111">
        <v>-0.139605697423522</v>
      </c>
      <c r="F3111">
        <v>-0.169090153718321</v>
      </c>
      <c r="G3111">
        <v>0.037916382861405</v>
      </c>
      <c r="H3111">
        <v>0.7924911425730651</v>
      </c>
      <c r="I3111">
        <v>0.376484694673112</v>
      </c>
    </row>
    <row r="3112" spans="1:9">
      <c r="A3112" s="1" t="s">
        <v>3124</v>
      </c>
      <c r="B3112">
        <f>HYPERLINK("https://www.suredividend.com/sure-analysis-research-database/","Alkaline Water Company Inc (The)")</f>
        <v>0</v>
      </c>
      <c r="C3112">
        <v>0.041848844472204</v>
      </c>
      <c r="D3112">
        <v>-0.261946902654867</v>
      </c>
      <c r="E3112">
        <v>-0.4653846153846151</v>
      </c>
      <c r="F3112">
        <v>-0.29322033898305</v>
      </c>
      <c r="G3112">
        <v>-0.190291262135922</v>
      </c>
      <c r="H3112">
        <v>0.015216068167985</v>
      </c>
      <c r="I3112">
        <v>6.252173913043477</v>
      </c>
    </row>
    <row r="3113" spans="1:9">
      <c r="A3113" s="1" t="s">
        <v>3125</v>
      </c>
      <c r="B3113">
        <f>HYPERLINK("https://www.suredividend.com/sure-analysis-research-database/","Wintrust Financial Corp.")</f>
        <v>0</v>
      </c>
      <c r="C3113">
        <v>-0.08110350549678501</v>
      </c>
      <c r="D3113">
        <v>-0.135165948574585</v>
      </c>
      <c r="E3113">
        <v>0.06201012385723</v>
      </c>
      <c r="F3113">
        <v>-0.021276736764314</v>
      </c>
      <c r="G3113">
        <v>0.150010124242628</v>
      </c>
      <c r="H3113">
        <v>2.132933996223506</v>
      </c>
      <c r="I3113">
        <v>0.4614505308892241</v>
      </c>
    </row>
    <row r="3114" spans="1:9">
      <c r="A3114" s="1" t="s">
        <v>3126</v>
      </c>
      <c r="B3114">
        <f>HYPERLINK("https://www.suredividend.com/sure-analysis-research-database/","W &amp; T Offshore Inc")</f>
        <v>0</v>
      </c>
      <c r="C3114">
        <v>0.032863849765258</v>
      </c>
      <c r="D3114">
        <v>0.002277904328018</v>
      </c>
      <c r="E3114">
        <v>0.07843137254901901</v>
      </c>
      <c r="F3114">
        <v>0.362229102167182</v>
      </c>
      <c r="G3114">
        <v>0.379310344827586</v>
      </c>
      <c r="H3114">
        <v>1.256410256410256</v>
      </c>
      <c r="I3114">
        <v>0.767068273092369</v>
      </c>
    </row>
    <row r="3115" spans="1:9">
      <c r="A3115" s="1" t="s">
        <v>3127</v>
      </c>
      <c r="B3115">
        <f>HYPERLINK("https://www.suredividend.com/sure-analysis-research-database/","White Mountains Insurance Group, Ltd.")</f>
        <v>0</v>
      </c>
      <c r="C3115">
        <v>0.007919359687359</v>
      </c>
      <c r="D3115">
        <v>0.02964612326349</v>
      </c>
      <c r="E3115">
        <v>-0.024992988993401</v>
      </c>
      <c r="F3115">
        <v>0.05920818879062301</v>
      </c>
      <c r="G3115">
        <v>-0.07746591561105801</v>
      </c>
      <c r="H3115">
        <v>0.20684587600345</v>
      </c>
      <c r="I3115">
        <v>0.253780793388456</v>
      </c>
    </row>
    <row r="3116" spans="1:9">
      <c r="A3116" s="1" t="s">
        <v>3128</v>
      </c>
      <c r="B3116">
        <f>HYPERLINK("https://www.suredividend.com/sure-analysis-research-database/","Waitr Holdings Inc")</f>
        <v>0</v>
      </c>
      <c r="C3116">
        <v>-0.059561128526645</v>
      </c>
      <c r="D3116">
        <v>-0.526813880126183</v>
      </c>
      <c r="E3116">
        <v>-0.788732394366197</v>
      </c>
      <c r="F3116">
        <v>-0.5945945945945941</v>
      </c>
      <c r="G3116">
        <v>-0.887218045112782</v>
      </c>
      <c r="H3116">
        <v>-0.7345132743362831</v>
      </c>
      <c r="I3116">
        <v>-0.9699097291875621</v>
      </c>
    </row>
    <row r="3117" spans="1:9">
      <c r="A3117" s="1" t="s">
        <v>3129</v>
      </c>
      <c r="B3117">
        <f>HYPERLINK("https://www.suredividend.com/sure-analysis-research-database/","Watts Water Technologies, Inc.")</f>
        <v>0</v>
      </c>
      <c r="C3117">
        <v>-0.101691433267136</v>
      </c>
      <c r="D3117">
        <v>-0.299590742723202</v>
      </c>
      <c r="E3117">
        <v>-0.256779381095182</v>
      </c>
      <c r="F3117">
        <v>-0.323217887932146</v>
      </c>
      <c r="G3117">
        <v>0.09538756495461201</v>
      </c>
      <c r="H3117">
        <v>0.737771154164597</v>
      </c>
      <c r="I3117">
        <v>1.317872603586889</v>
      </c>
    </row>
    <row r="3118" spans="1:9">
      <c r="A3118" s="1" t="s">
        <v>3130</v>
      </c>
      <c r="B3118">
        <f>HYPERLINK("https://www.suredividend.com/sure-analysis-research-database/","Wireless Telecom Group, Inc.")</f>
        <v>0</v>
      </c>
      <c r="C3118">
        <v>-0.101063829787234</v>
      </c>
      <c r="D3118">
        <v>-0.133333333333333</v>
      </c>
      <c r="E3118">
        <v>-0.146464646464646</v>
      </c>
      <c r="F3118">
        <v>-0.231818181818181</v>
      </c>
      <c r="G3118">
        <v>-0.028735632183908</v>
      </c>
      <c r="H3118">
        <v>1.295571855474055</v>
      </c>
      <c r="I3118">
        <v>0.111842105263157</v>
      </c>
    </row>
    <row r="3119" spans="1:9">
      <c r="A3119" s="1" t="s">
        <v>3131</v>
      </c>
      <c r="B3119">
        <f>HYPERLINK("https://www.suredividend.com/sure-analysis-research-database/","Select Energy Services Inc")</f>
        <v>0</v>
      </c>
      <c r="C3119">
        <v>0.100997506234413</v>
      </c>
      <c r="D3119">
        <v>0.298529411764706</v>
      </c>
      <c r="E3119">
        <v>0.356374807987711</v>
      </c>
      <c r="F3119">
        <v>0.417335473515248</v>
      </c>
      <c r="G3119">
        <v>0.80204081632653</v>
      </c>
      <c r="H3119">
        <v>1.88562091503268</v>
      </c>
      <c r="I3119">
        <v>-0.370185449358059</v>
      </c>
    </row>
    <row r="3120" spans="1:9">
      <c r="A3120" s="1" t="s">
        <v>3132</v>
      </c>
      <c r="B3120">
        <f>HYPERLINK("https://www.suredividend.com/sure-analysis-WU/","Western Union Company")</f>
        <v>0</v>
      </c>
      <c r="C3120">
        <v>0.05925097820011101</v>
      </c>
      <c r="D3120">
        <v>0.04388733728853601</v>
      </c>
      <c r="E3120">
        <v>-0.08481075625057301</v>
      </c>
      <c r="F3120">
        <v>0.076655606563337</v>
      </c>
      <c r="G3120">
        <v>-0.232715861929345</v>
      </c>
      <c r="H3120">
        <v>0.077163564018757</v>
      </c>
      <c r="I3120">
        <v>0.195289487129349</v>
      </c>
    </row>
    <row r="3121" spans="1:9">
      <c r="A3121" s="1" t="s">
        <v>3133</v>
      </c>
      <c r="B3121">
        <f>HYPERLINK("https://www.suredividend.com/sure-analysis-research-database/","Wave Life Sciences Ltd.")</f>
        <v>0</v>
      </c>
      <c r="C3121">
        <v>-0.05240174672489</v>
      </c>
      <c r="D3121">
        <v>-0.174904942965779</v>
      </c>
      <c r="E3121">
        <v>-0.578640776699029</v>
      </c>
      <c r="F3121">
        <v>-0.308917197452229</v>
      </c>
      <c r="G3121">
        <v>-0.6539074960127591</v>
      </c>
      <c r="H3121">
        <v>-0.718181818181818</v>
      </c>
      <c r="I3121">
        <v>-0.9056521739130431</v>
      </c>
    </row>
    <row r="3122" spans="1:9">
      <c r="A3122" s="1" t="s">
        <v>3134</v>
      </c>
      <c r="B3122">
        <f>HYPERLINK("https://www.suredividend.com/sure-analysis-research-database/","WVS Financial Corp.")</f>
        <v>0</v>
      </c>
      <c r="C3122">
        <v>0.001326259946949</v>
      </c>
      <c r="D3122">
        <v>-0.027538061258661</v>
      </c>
      <c r="E3122">
        <v>-0.02440285055273</v>
      </c>
      <c r="F3122">
        <v>0</v>
      </c>
      <c r="G3122">
        <v>-0.031951995076418</v>
      </c>
      <c r="H3122">
        <v>0.184871311989956</v>
      </c>
      <c r="I3122">
        <v>0.09647530389067201</v>
      </c>
    </row>
    <row r="3123" spans="1:9">
      <c r="A3123" s="1" t="s">
        <v>3135</v>
      </c>
      <c r="B3123">
        <f>HYPERLINK("https://www.suredividend.com/sure-analysis-research-database/","Willamette Valley Vineyard Inc.")</f>
        <v>0</v>
      </c>
      <c r="C3123">
        <v>-0.052579365079365</v>
      </c>
      <c r="D3123">
        <v>-0.005208333333333</v>
      </c>
      <c r="E3123">
        <v>-0.3529810298102981</v>
      </c>
      <c r="F3123">
        <v>0.102771362586605</v>
      </c>
      <c r="G3123">
        <v>0.009513742071881002</v>
      </c>
      <c r="H3123">
        <v>0.8365384615384611</v>
      </c>
      <c r="I3123">
        <v>0.211928934010152</v>
      </c>
    </row>
    <row r="3124" spans="1:9">
      <c r="A3124" s="1" t="s">
        <v>3136</v>
      </c>
      <c r="B3124">
        <f>HYPERLINK("https://www.suredividend.com/sure-analysis-research-database/","WW International Inc")</f>
        <v>0</v>
      </c>
      <c r="C3124">
        <v>0.045231071779744</v>
      </c>
      <c r="D3124">
        <v>-0.244491826581378</v>
      </c>
      <c r="E3124">
        <v>-0.421339139902014</v>
      </c>
      <c r="F3124">
        <v>-0.3409795412275261</v>
      </c>
      <c r="G3124">
        <v>-0.634707903780068</v>
      </c>
      <c r="H3124">
        <v>-0.420708446866485</v>
      </c>
      <c r="I3124">
        <v>-0.375807398708162</v>
      </c>
    </row>
    <row r="3125" spans="1:9">
      <c r="A3125" s="1" t="s">
        <v>3137</v>
      </c>
      <c r="B3125">
        <f>HYPERLINK("https://www.suredividend.com/sure-analysis-research-database/","Woodward Inc")</f>
        <v>0</v>
      </c>
      <c r="C3125">
        <v>-0.049971607041453</v>
      </c>
      <c r="D3125">
        <v>-0.003193593746276</v>
      </c>
      <c r="E3125">
        <v>0.017285426263528</v>
      </c>
      <c r="F3125">
        <v>0.071571378768594</v>
      </c>
      <c r="G3125">
        <v>-0.047665515993543</v>
      </c>
      <c r="H3125">
        <v>1.20680792046371</v>
      </c>
      <c r="I3125">
        <v>0.7843130981166511</v>
      </c>
    </row>
    <row r="3126" spans="1:9">
      <c r="A3126" s="1" t="s">
        <v>3138</v>
      </c>
      <c r="B3126">
        <f>HYPERLINK("https://www.suredividend.com/sure-analysis-research-database/","World Wrestling Entertainment, Inc.")</f>
        <v>0</v>
      </c>
      <c r="C3126">
        <v>0.030568435514339</v>
      </c>
      <c r="D3126">
        <v>0.131041345865696</v>
      </c>
      <c r="E3126">
        <v>0.013411960996896</v>
      </c>
      <c r="F3126">
        <v>0.218838478005662</v>
      </c>
      <c r="G3126">
        <v>0.074135196766675</v>
      </c>
      <c r="H3126">
        <v>0.542023414293202</v>
      </c>
      <c r="I3126">
        <v>1.956900502096586</v>
      </c>
    </row>
    <row r="3127" spans="1:9">
      <c r="A3127" s="1" t="s">
        <v>3139</v>
      </c>
      <c r="B3127">
        <f>HYPERLINK("https://www.suredividend.com/sure-analysis-research-database/","Westwater Resources Inc")</f>
        <v>0</v>
      </c>
      <c r="C3127">
        <v>-0.012048192771084</v>
      </c>
      <c r="D3127">
        <v>-0.299145299145299</v>
      </c>
      <c r="E3127">
        <v>-0.52046783625731</v>
      </c>
      <c r="F3127">
        <v>-0.237209302325581</v>
      </c>
      <c r="G3127">
        <v>-0.62037037037037</v>
      </c>
      <c r="H3127">
        <v>0.43859649122807</v>
      </c>
      <c r="I3127">
        <v>-0.163265306122449</v>
      </c>
    </row>
    <row r="3128" spans="1:9">
      <c r="A3128" s="1" t="s">
        <v>3140</v>
      </c>
      <c r="B3128">
        <f>HYPERLINK("https://www.suredividend.com/sure-analysis-research-database/","Wolverine World Wide, Inc.")</f>
        <v>0</v>
      </c>
      <c r="C3128">
        <v>-0.04649007478931801</v>
      </c>
      <c r="D3128">
        <v>-0.155899165820785</v>
      </c>
      <c r="E3128">
        <v>-0.278557637113186</v>
      </c>
      <c r="F3128">
        <v>-0.228851818926598</v>
      </c>
      <c r="G3128">
        <v>-0.432194470826809</v>
      </c>
      <c r="H3128">
        <v>0.247694416398269</v>
      </c>
      <c r="I3128">
        <v>-0.006083916712348001</v>
      </c>
    </row>
    <row r="3129" spans="1:9">
      <c r="A3129" s="1" t="s">
        <v>3141</v>
      </c>
      <c r="B3129">
        <f>HYPERLINK("https://www.suredividend.com/sure-analysis-WY/","Weyerhaeuser Co.")</f>
        <v>0</v>
      </c>
      <c r="C3129">
        <v>0.016042780748662</v>
      </c>
      <c r="D3129">
        <v>0.013199526665684</v>
      </c>
      <c r="E3129">
        <v>0.12001571951887</v>
      </c>
      <c r="F3129">
        <v>0.008278497134366</v>
      </c>
      <c r="G3129">
        <v>0.085752693292551</v>
      </c>
      <c r="H3129">
        <v>1.275345293627892</v>
      </c>
      <c r="I3129">
        <v>0.431025640106017</v>
      </c>
    </row>
    <row r="3130" spans="1:9">
      <c r="A3130" s="1" t="s">
        <v>3142</v>
      </c>
      <c r="B3130">
        <f>HYPERLINK("https://www.suredividend.com/sure-analysis-research-database/","Wynn Resorts Ltd.")</f>
        <v>0</v>
      </c>
      <c r="C3130">
        <v>-0.015963815351869</v>
      </c>
      <c r="D3130">
        <v>-0.191319558325133</v>
      </c>
      <c r="E3130">
        <v>-0.184544151692205</v>
      </c>
      <c r="F3130">
        <v>-0.130174035747883</v>
      </c>
      <c r="G3130">
        <v>-0.418840351979886</v>
      </c>
      <c r="H3130">
        <v>0.023239728869829</v>
      </c>
      <c r="I3130">
        <v>-0.29996138762284</v>
      </c>
    </row>
    <row r="3131" spans="1:9">
      <c r="A3131" s="1" t="s">
        <v>3143</v>
      </c>
      <c r="B3131">
        <f>HYPERLINK("https://www.suredividend.com/sure-analysis-research-database/","Widepoint Corp")</f>
        <v>0</v>
      </c>
      <c r="C3131">
        <v>-0.180722891566265</v>
      </c>
      <c r="D3131">
        <v>-0.123711340206185</v>
      </c>
      <c r="E3131">
        <v>-0.378427787934186</v>
      </c>
      <c r="F3131">
        <v>-0.134860050890585</v>
      </c>
      <c r="G3131">
        <v>-0.613196814562002</v>
      </c>
      <c r="H3131">
        <v>-0.112271540469973</v>
      </c>
      <c r="I3131">
        <v>-0.218390804597701</v>
      </c>
    </row>
    <row r="3132" spans="1:9">
      <c r="A3132" s="1" t="s">
        <v>3144</v>
      </c>
      <c r="B3132">
        <f>HYPERLINK("https://www.suredividend.com/sure-analysis-research-database/","United States Steel Corp.")</f>
        <v>0</v>
      </c>
      <c r="C3132">
        <v>0.1320293398533</v>
      </c>
      <c r="D3132">
        <v>0.462159132178553</v>
      </c>
      <c r="E3132">
        <v>0.6822676095358771</v>
      </c>
      <c r="F3132">
        <v>0.559185047987876</v>
      </c>
      <c r="G3132">
        <v>0.641989538079617</v>
      </c>
      <c r="H3132">
        <v>4.742546627184074</v>
      </c>
      <c r="I3132">
        <v>0.305241050253894</v>
      </c>
    </row>
    <row r="3133" spans="1:9">
      <c r="A3133" s="1" t="s">
        <v>3145</v>
      </c>
      <c r="B3133">
        <f>HYPERLINK("https://www.suredividend.com/sure-analysis-research-database/","XBiotech Inc")</f>
        <v>0</v>
      </c>
      <c r="C3133">
        <v>-0.089617486338797</v>
      </c>
      <c r="D3133">
        <v>-0.281896551724137</v>
      </c>
      <c r="E3133">
        <v>-0.369417108251324</v>
      </c>
      <c r="F3133">
        <v>-0.251572327044025</v>
      </c>
      <c r="G3133">
        <v>-0.424894540985756</v>
      </c>
      <c r="H3133">
        <v>-0.28176033385642</v>
      </c>
      <c r="I3133">
        <v>-0.387355848434925</v>
      </c>
    </row>
    <row r="3134" spans="1:9">
      <c r="A3134" s="1" t="s">
        <v>3146</v>
      </c>
      <c r="B3134">
        <f>HYPERLINK("https://www.suredividend.com/sure-analysis-research-database/","Cimarex Energy Co.")</f>
        <v>0</v>
      </c>
      <c r="C3134">
        <v>0.357832450949859</v>
      </c>
      <c r="D3134">
        <v>0.208551332247669</v>
      </c>
      <c r="E3134">
        <v>0.479955261902862</v>
      </c>
      <c r="F3134">
        <v>1.353493669587842</v>
      </c>
      <c r="G3134">
        <v>2.653304732537874</v>
      </c>
      <c r="H3134">
        <v>0.9036599609225761</v>
      </c>
      <c r="I3134">
        <v>-0.307112741974188</v>
      </c>
    </row>
    <row r="3135" spans="1:9">
      <c r="A3135" s="1" t="s">
        <v>3147</v>
      </c>
      <c r="B3135">
        <f>HYPERLINK("https://www.suredividend.com/sure-analysis-XEL/","Xcel Energy, Inc.")</f>
        <v>0</v>
      </c>
      <c r="C3135">
        <v>0.07350180505415101</v>
      </c>
      <c r="D3135">
        <v>0.08537906506142301</v>
      </c>
      <c r="E3135">
        <v>0.1432174327587</v>
      </c>
      <c r="F3135">
        <v>0.1057399116479</v>
      </c>
      <c r="G3135">
        <v>0.08558352670076901</v>
      </c>
      <c r="H3135">
        <v>0.202704386133792</v>
      </c>
      <c r="I3135">
        <v>0.9142772534730721</v>
      </c>
    </row>
    <row r="3136" spans="1:9">
      <c r="A3136" s="1" t="s">
        <v>3148</v>
      </c>
      <c r="B3136">
        <f>HYPERLINK("https://www.suredividend.com/sure-analysis-research-database/","Exela Technologies Inc")</f>
        <v>0</v>
      </c>
      <c r="C3136">
        <v>-0.309664694280078</v>
      </c>
      <c r="D3136">
        <v>-0.311701081612586</v>
      </c>
      <c r="E3136">
        <v>-0.794117647058823</v>
      </c>
      <c r="F3136">
        <v>-0.6010941417825391</v>
      </c>
      <c r="G3136">
        <v>-0.807692307692307</v>
      </c>
      <c r="H3136">
        <v>-0.395196129255227</v>
      </c>
      <c r="I3136">
        <v>-0.9648946840521561</v>
      </c>
    </row>
    <row r="3137" spans="1:9">
      <c r="A3137" s="1" t="s">
        <v>3149</v>
      </c>
      <c r="B3137">
        <f>HYPERLINK("https://www.suredividend.com/sure-analysis-research-database/","Xcel Brands Inc")</f>
        <v>0</v>
      </c>
      <c r="C3137">
        <v>0.296610169491525</v>
      </c>
      <c r="D3137">
        <v>0.353982300884955</v>
      </c>
      <c r="E3137">
        <v>0.186046511627906</v>
      </c>
      <c r="F3137">
        <v>0.4036697247706421</v>
      </c>
      <c r="G3137">
        <v>-0.120689655172413</v>
      </c>
      <c r="H3137">
        <v>1.828096118299445</v>
      </c>
      <c r="I3137">
        <v>-0.375510204081632</v>
      </c>
    </row>
    <row r="3138" spans="1:9">
      <c r="A3138" s="1" t="s">
        <v>3150</v>
      </c>
      <c r="B3138">
        <f>HYPERLINK("https://www.suredividend.com/sure-analysis-research-database/","Intersect ENT Inc")</f>
        <v>0</v>
      </c>
      <c r="C3138">
        <v>0.009750812567713001</v>
      </c>
      <c r="D3138">
        <v>0.026808666911494</v>
      </c>
      <c r="E3138">
        <v>0.029455081001472</v>
      </c>
      <c r="F3138">
        <v>0.023800805565726</v>
      </c>
      <c r="G3138">
        <v>0.3993993993993991</v>
      </c>
      <c r="H3138">
        <v>2.072527472527472</v>
      </c>
      <c r="I3138">
        <v>0.7259259259259261</v>
      </c>
    </row>
    <row r="3139" spans="1:9">
      <c r="A3139" s="1" t="s">
        <v>3151</v>
      </c>
      <c r="B3139">
        <f>HYPERLINK("https://www.suredividend.com/sure-analysis-research-database/","Xeris Biopharma Holdings Inc")</f>
        <v>0</v>
      </c>
      <c r="C3139">
        <v>-0.121863799283154</v>
      </c>
      <c r="D3139">
        <v>0.103603603603603</v>
      </c>
      <c r="E3139">
        <v>0.225</v>
      </c>
      <c r="F3139">
        <v>-0.163822525597269</v>
      </c>
      <c r="G3139">
        <v>0.03813559322033901</v>
      </c>
      <c r="H3139">
        <v>0.03813559322033901</v>
      </c>
      <c r="I3139">
        <v>0.03813559322033901</v>
      </c>
    </row>
    <row r="3140" spans="1:9">
      <c r="A3140" s="1" t="s">
        <v>3152</v>
      </c>
      <c r="B3140">
        <f>HYPERLINK("https://www.suredividend.com/sure-analysis-research-database/","X4 Pharmaceuticals Inc")</f>
        <v>0</v>
      </c>
      <c r="C3140">
        <v>-0.282828282828282</v>
      </c>
      <c r="D3140">
        <v>-0.320574162679425</v>
      </c>
      <c r="E3140">
        <v>-0.728489483747609</v>
      </c>
      <c r="F3140">
        <v>-0.379912663755458</v>
      </c>
      <c r="G3140">
        <v>-0.8423973362930071</v>
      </c>
      <c r="H3140">
        <v>-0.85068349106204</v>
      </c>
      <c r="I3140">
        <v>-0.8987883107626511</v>
      </c>
    </row>
    <row r="3141" spans="1:9">
      <c r="A3141" s="1" t="s">
        <v>3153</v>
      </c>
      <c r="B3141">
        <f>HYPERLINK("https://www.suredividend.com/sure-analysis-research-database/","Xenia Hotels &amp; Resorts Inc")</f>
        <v>0</v>
      </c>
      <c r="C3141">
        <v>0.005260389268805001</v>
      </c>
      <c r="D3141">
        <v>0.025214592274678</v>
      </c>
      <c r="E3141">
        <v>0.076619718309859</v>
      </c>
      <c r="F3141">
        <v>0.05521811154058501</v>
      </c>
      <c r="G3141">
        <v>0.021925133689839</v>
      </c>
      <c r="H3141">
        <v>1.120976692563818</v>
      </c>
      <c r="I3141">
        <v>0.329095436146388</v>
      </c>
    </row>
    <row r="3142" spans="1:9">
      <c r="A3142" s="1" t="s">
        <v>3154</v>
      </c>
      <c r="B3142">
        <f>HYPERLINK("https://www.suredividend.com/sure-analysis-research-database/","Xilinx, Inc.")</f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3155</v>
      </c>
      <c r="B3143">
        <f>HYPERLINK("https://www.suredividend.com/sure-analysis-research-database/","Acceleron Pharma Inc")</f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 t="s">
        <v>3156</v>
      </c>
      <c r="B3144">
        <f>HYPERLINK("https://www.suredividend.com/sure-analysis-research-database/","Xencor Inc")</f>
        <v>0</v>
      </c>
      <c r="C3144">
        <v>-0.051528073916133</v>
      </c>
      <c r="D3144">
        <v>-0.279622132253711</v>
      </c>
      <c r="E3144">
        <v>-0.306212633220691</v>
      </c>
      <c r="F3144">
        <v>-0.334745762711864</v>
      </c>
      <c r="G3144">
        <v>-0.368433506862281</v>
      </c>
      <c r="H3144">
        <v>-0.06482130343377701</v>
      </c>
      <c r="I3144">
        <v>0.188864142538975</v>
      </c>
    </row>
    <row r="3145" spans="1:9">
      <c r="A3145" s="1" t="s">
        <v>3157</v>
      </c>
      <c r="B3145">
        <f>HYPERLINK("https://www.suredividend.com/sure-analysis-research-database/","Extraction Oil &amp; Gas Inc")</f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3158</v>
      </c>
      <c r="B3146">
        <f>HYPERLINK("https://www.suredividend.com/sure-analysis-XOM/","Exxon Mobil Corp.")</f>
        <v>0</v>
      </c>
      <c r="C3146">
        <v>0.141687248147666</v>
      </c>
      <c r="D3146">
        <v>0.235615204974536</v>
      </c>
      <c r="E3146">
        <v>0.437884314406019</v>
      </c>
      <c r="F3146">
        <v>0.45127736532764</v>
      </c>
      <c r="G3146">
        <v>0.63590307139265</v>
      </c>
      <c r="H3146">
        <v>1.563264448458918</v>
      </c>
      <c r="I3146">
        <v>0.398851995311146</v>
      </c>
    </row>
    <row r="3147" spans="1:9">
      <c r="A3147" s="1" t="s">
        <v>3159</v>
      </c>
      <c r="B3147">
        <f>HYPERLINK("https://www.suredividend.com/sure-analysis-research-database/","XOMA Corp")</f>
        <v>0</v>
      </c>
      <c r="C3147">
        <v>-0.087104072398189</v>
      </c>
      <c r="D3147">
        <v>0.08467741935483801</v>
      </c>
      <c r="E3147">
        <v>-0.06126405583559501</v>
      </c>
      <c r="F3147">
        <v>0.16115107913669</v>
      </c>
      <c r="G3147">
        <v>-0.354399999999999</v>
      </c>
      <c r="H3147">
        <v>0.051694178974804</v>
      </c>
      <c r="I3147">
        <v>2.71319018404908</v>
      </c>
    </row>
    <row r="3148" spans="1:9">
      <c r="A3148" s="1" t="s">
        <v>3160</v>
      </c>
      <c r="B3148">
        <f>HYPERLINK("https://www.suredividend.com/sure-analysis-research-database/","ExOne Co")</f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1" t="s">
        <v>3161</v>
      </c>
      <c r="B3149">
        <f>HYPERLINK("https://www.suredividend.com/sure-analysis-research-database/","Xperi Holding Corp")</f>
        <v>0</v>
      </c>
      <c r="C3149">
        <v>-0.05152224824355901</v>
      </c>
      <c r="D3149">
        <v>-0.114468599165851</v>
      </c>
      <c r="E3149">
        <v>-0.127310338140309</v>
      </c>
      <c r="F3149">
        <v>-0.140692962169272</v>
      </c>
      <c r="G3149">
        <v>-0.2707597153262</v>
      </c>
      <c r="H3149">
        <v>0.17271483484266</v>
      </c>
      <c r="I3149">
        <v>-0.4157572435282491</v>
      </c>
    </row>
    <row r="3150" spans="1:9">
      <c r="A3150" s="1" t="s">
        <v>3162</v>
      </c>
      <c r="B3150">
        <f>HYPERLINK("https://www.suredividend.com/sure-analysis-research-database/","Solitario Zinc Corp")</f>
        <v>0</v>
      </c>
      <c r="C3150">
        <v>0.110897435897435</v>
      </c>
      <c r="D3150">
        <v>0.7683673469387751</v>
      </c>
      <c r="E3150">
        <v>0.5393497957008351</v>
      </c>
      <c r="F3150">
        <v>0.7333466693338661</v>
      </c>
      <c r="G3150">
        <v>0.299295246663667</v>
      </c>
      <c r="H3150">
        <v>3.264271653543307</v>
      </c>
      <c r="I3150">
        <v>0.031547619047619</v>
      </c>
    </row>
    <row r="3151" spans="1:9">
      <c r="A3151" s="1" t="s">
        <v>3163</v>
      </c>
      <c r="B3151">
        <f>HYPERLINK("https://www.suredividend.com/sure-analysis-research-database/","XPO Logistics Inc")</f>
        <v>0</v>
      </c>
      <c r="C3151">
        <v>-0.246249834063454</v>
      </c>
      <c r="D3151">
        <v>-0.193580457321403</v>
      </c>
      <c r="E3151">
        <v>-0.292108215933175</v>
      </c>
      <c r="F3151">
        <v>-0.266692496448405</v>
      </c>
      <c r="G3151">
        <v>-0.585910151691948</v>
      </c>
      <c r="H3151">
        <v>0.039165446559297</v>
      </c>
      <c r="I3151">
        <v>0.262058235163369</v>
      </c>
    </row>
    <row r="3152" spans="1:9">
      <c r="A3152" s="1" t="s">
        <v>3164</v>
      </c>
      <c r="B3152">
        <f>HYPERLINK("https://www.suredividend.com/sure-analysis-research-database/","DENTSPLY Sirona Inc")</f>
        <v>0</v>
      </c>
      <c r="C3152">
        <v>0.011810991150004</v>
      </c>
      <c r="D3152">
        <v>-0.08798263319691101</v>
      </c>
      <c r="E3152">
        <v>-0.14796898169531</v>
      </c>
      <c r="F3152">
        <v>-0.118224733194247</v>
      </c>
      <c r="G3152">
        <v>-0.243872936136771</v>
      </c>
      <c r="H3152">
        <v>0.276269246774864</v>
      </c>
      <c r="I3152">
        <v>-0.174700456799176</v>
      </c>
    </row>
    <row r="3153" spans="1:9">
      <c r="A3153" s="1" t="s">
        <v>3165</v>
      </c>
      <c r="B3153">
        <f>HYPERLINK("https://www.suredividend.com/sure-analysis-XRX/","Xerox Holdings Corp")</f>
        <v>0</v>
      </c>
      <c r="C3153">
        <v>-0.035579370945224</v>
      </c>
      <c r="D3153">
        <v>-0.201580691765105</v>
      </c>
      <c r="E3153">
        <v>-0.06314661082442101</v>
      </c>
      <c r="F3153">
        <v>-0.159964413606877</v>
      </c>
      <c r="G3153">
        <v>-0.215763201389004</v>
      </c>
      <c r="H3153">
        <v>0.224271724470448</v>
      </c>
      <c r="I3153">
        <v>-0.327261140111562</v>
      </c>
    </row>
    <row r="3154" spans="1:9">
      <c r="A3154" s="1" t="s">
        <v>3166</v>
      </c>
      <c r="B3154">
        <f>HYPERLINK("https://www.suredividend.com/sure-analysis-research-database/","XpresSpa Group Inc")</f>
        <v>0</v>
      </c>
      <c r="C3154">
        <v>-0.06837606837606801</v>
      </c>
      <c r="D3154">
        <v>-0.3353658536585361</v>
      </c>
      <c r="E3154">
        <v>-0.226950354609928</v>
      </c>
      <c r="F3154">
        <v>-0.46039603960396</v>
      </c>
      <c r="G3154">
        <v>-0.198529411764705</v>
      </c>
      <c r="H3154">
        <v>-0.068137129178421</v>
      </c>
      <c r="I3154">
        <v>-0.401098901098901</v>
      </c>
    </row>
    <row r="3155" spans="1:9">
      <c r="A3155" s="1" t="s">
        <v>3167</v>
      </c>
      <c r="B3155">
        <f>HYPERLINK("https://www.suredividend.com/sure-analysis-research-database/","Xtant Medical Holdings Inc")</f>
        <v>0</v>
      </c>
      <c r="C3155">
        <v>0.095064275511823</v>
      </c>
      <c r="D3155">
        <v>0.06481481481481401</v>
      </c>
      <c r="E3155">
        <v>-0.378378378378378</v>
      </c>
      <c r="F3155">
        <v>0.232142857142856</v>
      </c>
      <c r="G3155">
        <v>-0.640625</v>
      </c>
      <c r="H3155">
        <v>0.029850746268656</v>
      </c>
      <c r="I3155">
        <v>-0.8915094339622641</v>
      </c>
    </row>
    <row r="3156" spans="1:9">
      <c r="A3156" s="1" t="s">
        <v>3168</v>
      </c>
      <c r="B3156">
        <f>HYPERLINK("https://www.suredividend.com/sure-analysis-research-database/","22nd Century Group Inc")</f>
        <v>0</v>
      </c>
      <c r="C3156">
        <v>0</v>
      </c>
      <c r="D3156">
        <v>-0.145748987854251</v>
      </c>
      <c r="E3156">
        <v>-0.272413793103448</v>
      </c>
      <c r="F3156">
        <v>-0.31715210355987</v>
      </c>
      <c r="G3156">
        <v>-0.342679127725856</v>
      </c>
      <c r="H3156">
        <v>2.102941176470588</v>
      </c>
      <c r="I3156">
        <v>0.586466165413533</v>
      </c>
    </row>
    <row r="3157" spans="1:9">
      <c r="A3157" s="1" t="s">
        <v>3169</v>
      </c>
      <c r="B3157">
        <f>HYPERLINK("https://www.suredividend.com/sure-analysis-XYL/","Xylem Inc")</f>
        <v>0</v>
      </c>
      <c r="C3157">
        <v>-0.033983926521239</v>
      </c>
      <c r="D3157">
        <v>-0.243157474337155</v>
      </c>
      <c r="E3157">
        <v>-0.32150359448268</v>
      </c>
      <c r="F3157">
        <v>-0.296045674203178</v>
      </c>
      <c r="G3157">
        <v>-0.217542521830507</v>
      </c>
      <c r="H3157">
        <v>0.292951768627095</v>
      </c>
      <c r="I3157">
        <v>0.8267794490568661</v>
      </c>
    </row>
    <row r="3158" spans="1:9">
      <c r="A3158" s="1" t="s">
        <v>3170</v>
      </c>
      <c r="B3158">
        <f>HYPERLINK("https://www.suredividend.com/sure-analysis-research-database/","Alleghany Corp.")</f>
        <v>0</v>
      </c>
      <c r="C3158">
        <v>0.260157391122902</v>
      </c>
      <c r="D3158">
        <v>0.235265756947082</v>
      </c>
      <c r="E3158">
        <v>0.277329586656997</v>
      </c>
      <c r="F3158">
        <v>0.26648092392037</v>
      </c>
      <c r="G3158">
        <v>0.246649267925863</v>
      </c>
      <c r="H3158">
        <v>0.592439823708893</v>
      </c>
      <c r="I3158">
        <v>0.4675537472965791</v>
      </c>
    </row>
    <row r="3159" spans="1:9">
      <c r="A3159" s="1" t="s">
        <v>3171</v>
      </c>
      <c r="B3159">
        <f>HYPERLINK("https://www.suredividend.com/sure-analysis-research-database/","Yelp Inc")</f>
        <v>0</v>
      </c>
      <c r="C3159">
        <v>0.010285042609462</v>
      </c>
      <c r="D3159">
        <v>-0.034269662921348</v>
      </c>
      <c r="E3159">
        <v>-0.134223117602618</v>
      </c>
      <c r="F3159">
        <v>-0.05132450331125801</v>
      </c>
      <c r="G3159">
        <v>-0.14816650148662</v>
      </c>
      <c r="H3159">
        <v>0.8745910577971641</v>
      </c>
      <c r="I3159">
        <v>0.07336871682797301</v>
      </c>
    </row>
    <row r="3160" spans="1:9">
      <c r="A3160" s="1" t="s">
        <v>3172</v>
      </c>
      <c r="B3160">
        <f>HYPERLINK("https://www.suredividend.com/sure-analysis-research-database/","YETI Holdings Inc")</f>
        <v>0</v>
      </c>
      <c r="C3160">
        <v>-0.09595202398800501</v>
      </c>
      <c r="D3160">
        <v>-0.233257982480926</v>
      </c>
      <c r="E3160">
        <v>-0.384205151480766</v>
      </c>
      <c r="F3160">
        <v>-0.344802607750814</v>
      </c>
      <c r="G3160">
        <v>-0.374841608109664</v>
      </c>
      <c r="H3160">
        <v>1.18039373242266</v>
      </c>
      <c r="I3160">
        <v>2.19235294117647</v>
      </c>
    </row>
    <row r="3161" spans="1:9">
      <c r="A3161" s="1" t="s">
        <v>3173</v>
      </c>
      <c r="B3161">
        <f>HYPERLINK("https://www.suredividend.com/sure-analysis-research-database/","Yext Inc")</f>
        <v>0</v>
      </c>
      <c r="C3161">
        <v>-0.084695393759286</v>
      </c>
      <c r="D3161">
        <v>-0.289504036908881</v>
      </c>
      <c r="E3161">
        <v>-0.462478184991274</v>
      </c>
      <c r="F3161">
        <v>-0.379032258064516</v>
      </c>
      <c r="G3161">
        <v>-0.580667120490129</v>
      </c>
      <c r="H3161">
        <v>-0.4775233248515691</v>
      </c>
      <c r="I3161">
        <v>-0.5406413124533931</v>
      </c>
    </row>
    <row r="3162" spans="1:9">
      <c r="A3162" s="1" t="s">
        <v>3174</v>
      </c>
      <c r="B3162">
        <f>HYPERLINK("https://www.suredividend.com/sure-analysis-research-database/","Y-Mabs Therapeutics Inc")</f>
        <v>0</v>
      </c>
      <c r="C3162">
        <v>0.263054187192118</v>
      </c>
      <c r="D3162">
        <v>0.057755775577557</v>
      </c>
      <c r="E3162">
        <v>-0.5194902548725631</v>
      </c>
      <c r="F3162">
        <v>-0.209130166563849</v>
      </c>
      <c r="G3162">
        <v>-0.511060259344012</v>
      </c>
      <c r="H3162">
        <v>-0.583631049041896</v>
      </c>
      <c r="I3162">
        <v>-0.465833333333333</v>
      </c>
    </row>
    <row r="3163" spans="1:9">
      <c r="A3163" s="1" t="s">
        <v>3175</v>
      </c>
      <c r="B3163">
        <f>HYPERLINK("https://www.suredividend.com/sure-analysis-YORW/","York Water Co.")</f>
        <v>0</v>
      </c>
      <c r="C3163">
        <v>-0.05507510241238001</v>
      </c>
      <c r="D3163">
        <v>-0.08693070613330901</v>
      </c>
      <c r="E3163">
        <v>-0.09245901639344201</v>
      </c>
      <c r="F3163">
        <v>-0.162132928660219</v>
      </c>
      <c r="G3163">
        <v>-0.187570931006144</v>
      </c>
      <c r="H3163">
        <v>0.023247331596704</v>
      </c>
      <c r="I3163">
        <v>0.317518039715934</v>
      </c>
    </row>
    <row r="3164" spans="1:9">
      <c r="A3164" s="1" t="s">
        <v>3176</v>
      </c>
      <c r="B3164">
        <f>HYPERLINK("https://www.suredividend.com/sure-analysis-research-database/","Yield10 Bioscience Inc")</f>
        <v>0</v>
      </c>
      <c r="C3164">
        <v>-0.08536585365853601</v>
      </c>
      <c r="D3164">
        <v>-0.09200968523002401</v>
      </c>
      <c r="E3164">
        <v>-0.337455830388692</v>
      </c>
      <c r="F3164">
        <v>-0.23780487804878</v>
      </c>
      <c r="G3164">
        <v>-0.588364434687156</v>
      </c>
      <c r="H3164">
        <v>-0.170353982300884</v>
      </c>
      <c r="I3164">
        <v>-0.979106307109427</v>
      </c>
    </row>
    <row r="3165" spans="1:9">
      <c r="A3165" s="1" t="s">
        <v>3177</v>
      </c>
      <c r="B3165">
        <f>HYPERLINK("https://www.suredividend.com/sure-analysis-YUM/","Yum Brands Inc.")</f>
        <v>0</v>
      </c>
      <c r="C3165">
        <v>0.028607277289836</v>
      </c>
      <c r="D3165">
        <v>-0.027696842564691</v>
      </c>
      <c r="E3165">
        <v>-0.009417661317022001</v>
      </c>
      <c r="F3165">
        <v>-0.110320413432953</v>
      </c>
      <c r="G3165">
        <v>0.058890391023929</v>
      </c>
      <c r="H3165">
        <v>0.5910311232444251</v>
      </c>
      <c r="I3165">
        <v>1.083972376392831</v>
      </c>
    </row>
    <row r="3166" spans="1:9">
      <c r="A3166" s="1" t="s">
        <v>3178</v>
      </c>
      <c r="B3166">
        <f>HYPERLINK("https://www.suredividend.com/sure-analysis-research-database/","Zillow Group Inc")</f>
        <v>0</v>
      </c>
      <c r="C3166">
        <v>-0.044979285855198</v>
      </c>
      <c r="D3166">
        <v>-0.125383920505871</v>
      </c>
      <c r="E3166">
        <v>-0.490260082131199</v>
      </c>
      <c r="F3166">
        <v>-0.241816758026624</v>
      </c>
      <c r="G3166">
        <v>-0.6403684718817321</v>
      </c>
      <c r="H3166">
        <v>0.451139088729016</v>
      </c>
      <c r="I3166">
        <v>0.398324667822068</v>
      </c>
    </row>
    <row r="3167" spans="1:9">
      <c r="A3167" s="1" t="s">
        <v>3179</v>
      </c>
      <c r="B3167">
        <f>HYPERLINK("https://www.suredividend.com/sure-analysis-research-database/","Zagg Inc")</f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3180</v>
      </c>
      <c r="B3168">
        <f>HYPERLINK("https://www.suredividend.com/sure-analysis-research-database/","Zimmer Biomet Holdings Inc")</f>
        <v>0</v>
      </c>
      <c r="C3168">
        <v>0.034854048620071</v>
      </c>
      <c r="D3168">
        <v>-0.008935313365215001</v>
      </c>
      <c r="E3168">
        <v>-0.137456564777011</v>
      </c>
      <c r="F3168">
        <v>-0.006282502843136001</v>
      </c>
      <c r="G3168">
        <v>-0.263277235208097</v>
      </c>
      <c r="H3168">
        <v>0.166435539624555</v>
      </c>
      <c r="I3168">
        <v>0.09312373119566901</v>
      </c>
    </row>
    <row r="3169" spans="1:9">
      <c r="A3169" s="1" t="s">
        <v>3181</v>
      </c>
      <c r="B3169">
        <f>HYPERLINK("https://www.suredividend.com/sure-analysis-research-database/","Zebra Technologies Corp.")</f>
        <v>0</v>
      </c>
      <c r="C3169">
        <v>-0.019843147018548</v>
      </c>
      <c r="D3169">
        <v>-0.254393939393939</v>
      </c>
      <c r="E3169">
        <v>-0.236802822635364</v>
      </c>
      <c r="F3169">
        <v>-0.338575268817204</v>
      </c>
      <c r="G3169">
        <v>-0.233324894350425</v>
      </c>
      <c r="H3169">
        <v>0.9527777777777781</v>
      </c>
      <c r="I3169">
        <v>3.50795831901981</v>
      </c>
    </row>
    <row r="3170" spans="1:9">
      <c r="A3170" s="1" t="s">
        <v>3182</v>
      </c>
      <c r="B3170">
        <f>HYPERLINK("https://www.suredividend.com/sure-analysis-research-database/","Zedge Inc")</f>
        <v>0</v>
      </c>
      <c r="C3170">
        <v>0.019900497512437</v>
      </c>
      <c r="D3170">
        <v>-0.287369640787949</v>
      </c>
      <c r="E3170">
        <v>-0.536897590361445</v>
      </c>
      <c r="F3170">
        <v>-0.276470588235294</v>
      </c>
      <c r="G3170">
        <v>-0.5168892380204241</v>
      </c>
      <c r="H3170">
        <v>4.278969957081546</v>
      </c>
      <c r="I3170">
        <v>1.023026315789474</v>
      </c>
    </row>
    <row r="3171" spans="1:9">
      <c r="A3171" s="1" t="s">
        <v>3183</v>
      </c>
      <c r="B3171">
        <f>HYPERLINK("https://www.suredividend.com/sure-analysis-research-database/","Zendesk Inc")</f>
        <v>0</v>
      </c>
      <c r="C3171">
        <v>0.109466406665484</v>
      </c>
      <c r="D3171">
        <v>0.24658898516084</v>
      </c>
      <c r="E3171">
        <v>0.004897238278741001</v>
      </c>
      <c r="F3171">
        <v>0.200210950234921</v>
      </c>
      <c r="G3171">
        <v>-0.167365130047229</v>
      </c>
      <c r="H3171">
        <v>0.8169545652489471</v>
      </c>
      <c r="I3171">
        <v>3.44180269694819</v>
      </c>
    </row>
    <row r="3172" spans="1:9">
      <c r="A3172" s="1" t="s">
        <v>3184</v>
      </c>
      <c r="B3172">
        <f>HYPERLINK("https://www.suredividend.com/sure-analysis-research-database/","Olympic Steel Inc.")</f>
        <v>0</v>
      </c>
      <c r="C3172">
        <v>0.207044410413476</v>
      </c>
      <c r="D3172">
        <v>0.609188831633361</v>
      </c>
      <c r="E3172">
        <v>0.55744896104204</v>
      </c>
      <c r="F3172">
        <v>0.682455249081074</v>
      </c>
      <c r="G3172">
        <v>0.389388330689229</v>
      </c>
      <c r="H3172">
        <v>3.910046845410146</v>
      </c>
      <c r="I3172">
        <v>1.229299363057324</v>
      </c>
    </row>
    <row r="3173" spans="1:9">
      <c r="A3173" s="1" t="s">
        <v>3185</v>
      </c>
      <c r="B3173">
        <f>HYPERLINK("https://www.suredividend.com/sure-analysis-research-database/","Zillow Group Inc")</f>
        <v>0</v>
      </c>
      <c r="C3173">
        <v>-0.06099033816425101</v>
      </c>
      <c r="D3173">
        <v>-0.146386093321134</v>
      </c>
      <c r="E3173">
        <v>-0.505302226935312</v>
      </c>
      <c r="F3173">
        <v>-0.250241080038572</v>
      </c>
      <c r="G3173">
        <v>-0.6573380343763771</v>
      </c>
      <c r="H3173">
        <v>0.413636363636363</v>
      </c>
      <c r="I3173">
        <v>0.355710549258936</v>
      </c>
    </row>
    <row r="3174" spans="1:9">
      <c r="A3174" s="1" t="s">
        <v>3186</v>
      </c>
      <c r="B3174">
        <f>HYPERLINK("https://www.suredividend.com/sure-analysis-research-database/","Zogenix Inc")</f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1" t="s">
        <v>3187</v>
      </c>
      <c r="B3175">
        <f>HYPERLINK("https://www.suredividend.com/sure-analysis-research-database/","Zions Bancorporation N.A")</f>
        <v>0</v>
      </c>
      <c r="C3175">
        <v>-0.08626198083067001</v>
      </c>
      <c r="D3175">
        <v>-0.104834774295156</v>
      </c>
      <c r="E3175">
        <v>0.02370864978491</v>
      </c>
      <c r="F3175">
        <v>0.001320877826758</v>
      </c>
      <c r="G3175">
        <v>0.14803063117965</v>
      </c>
      <c r="H3175">
        <v>1.480104375657767</v>
      </c>
      <c r="I3175">
        <v>0.336576350755701</v>
      </c>
    </row>
    <row r="3176" spans="1:9">
      <c r="A3176" s="1" t="s">
        <v>3188</v>
      </c>
      <c r="B3176">
        <f>HYPERLINK("https://www.suredividend.com/sure-analysis-research-database/","Alaunos Therapeutics Inc")</f>
        <v>0</v>
      </c>
      <c r="C3176">
        <v>-0.312936507936508</v>
      </c>
      <c r="D3176">
        <v>-0.415067567567567</v>
      </c>
      <c r="E3176">
        <v>-0.611793721973094</v>
      </c>
      <c r="F3176">
        <v>-0.205779816513761</v>
      </c>
      <c r="G3176">
        <v>-0.756140845070422</v>
      </c>
      <c r="H3176">
        <v>-0.8041402714932121</v>
      </c>
      <c r="I3176">
        <v>-0.842025547445255</v>
      </c>
    </row>
    <row r="3177" spans="1:9">
      <c r="A3177" s="1" t="s">
        <v>3189</v>
      </c>
      <c r="B3177">
        <f>HYPERLINK("https://www.suredividend.com/sure-analysis-research-database/","Zix Corp.")</f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3190</v>
      </c>
      <c r="B3178">
        <f>HYPERLINK("https://www.suredividend.com/sure-analysis-research-database/","Zoom Video Communications Inc")</f>
        <v>0</v>
      </c>
      <c r="C3178">
        <v>0.032478472482216</v>
      </c>
      <c r="D3178">
        <v>-0.309353869271224</v>
      </c>
      <c r="E3178">
        <v>-0.5857990387503751</v>
      </c>
      <c r="F3178">
        <v>-0.400195747920178</v>
      </c>
      <c r="G3178">
        <v>-0.6656766176693431</v>
      </c>
      <c r="H3178">
        <v>-0.265872487688007</v>
      </c>
      <c r="I3178">
        <v>0.7791935483870961</v>
      </c>
    </row>
    <row r="3179" spans="1:9">
      <c r="A3179" s="1" t="s">
        <v>3191</v>
      </c>
      <c r="B3179">
        <f>HYPERLINK("https://www.suredividend.com/sure-analysis-research-database/","Zynga Inc")</f>
        <v>0</v>
      </c>
      <c r="C3179">
        <v>-0.003344481605351</v>
      </c>
      <c r="D3179">
        <v>-0.002232142857143</v>
      </c>
      <c r="E3179">
        <v>0.214673913043478</v>
      </c>
      <c r="F3179">
        <v>0.396874999999999</v>
      </c>
      <c r="G3179">
        <v>-0.153409090909091</v>
      </c>
      <c r="H3179">
        <v>0.153548387096774</v>
      </c>
      <c r="I3179">
        <v>2.227436823104693</v>
      </c>
    </row>
    <row r="3180" spans="1:9">
      <c r="A3180" s="1" t="s">
        <v>3192</v>
      </c>
      <c r="B3180">
        <f>HYPERLINK("https://www.suredividend.com/sure-analysis-research-database/","Zscaler Inc")</f>
        <v>0</v>
      </c>
      <c r="C3180">
        <v>0.115007486837656</v>
      </c>
      <c r="D3180">
        <v>-0.093821150977467</v>
      </c>
      <c r="E3180">
        <v>-0.211342671677485</v>
      </c>
      <c r="F3180">
        <v>-0.281610805091339</v>
      </c>
      <c r="G3180">
        <v>0.199231128889812</v>
      </c>
      <c r="H3180">
        <v>2.280375159869262</v>
      </c>
      <c r="I3180">
        <v>5.995151515151515</v>
      </c>
    </row>
    <row r="3181" spans="1:9">
      <c r="A3181" s="1" t="s">
        <v>3193</v>
      </c>
      <c r="B3181">
        <f>HYPERLINK("https://www.suredividend.com/sure-analysis-research-database/","Zosano Pharma Corp")</f>
        <v>0</v>
      </c>
      <c r="C3181">
        <v>-0.5450310559006211</v>
      </c>
      <c r="D3181">
        <v>-0.8419888906865121</v>
      </c>
      <c r="E3181">
        <v>-0.8680001802045321</v>
      </c>
      <c r="F3181">
        <v>-0.821884498480243</v>
      </c>
      <c r="G3181">
        <v>-0.9179271708683471</v>
      </c>
      <c r="H3181">
        <v>-0.8788505271862721</v>
      </c>
      <c r="I3181">
        <v>-0.9972995391705071</v>
      </c>
    </row>
    <row r="3182" spans="1:9">
      <c r="A3182" s="1" t="s">
        <v>3194</v>
      </c>
      <c r="B3182">
        <f>HYPERLINK("https://www.suredividend.com/sure-analysis-ZTS/","Zoetis Inc")</f>
        <v>0</v>
      </c>
      <c r="C3182">
        <v>-0.024072530220925</v>
      </c>
      <c r="D3182">
        <v>-0.090111508704907</v>
      </c>
      <c r="E3182">
        <v>-0.071185475780652</v>
      </c>
      <c r="F3182">
        <v>-0.23123871536008</v>
      </c>
      <c r="G3182">
        <v>0.12356113090357</v>
      </c>
      <c r="H3182">
        <v>0.48169946894562</v>
      </c>
      <c r="I3182">
        <v>2.623090285166028</v>
      </c>
    </row>
    <row r="3183" spans="1:9">
      <c r="A3183" s="1" t="s">
        <v>3195</v>
      </c>
      <c r="B3183">
        <f>HYPERLINK("https://www.suredividend.com/sure-analysis-research-database/","Zumiez Inc")</f>
        <v>0</v>
      </c>
      <c r="C3183">
        <v>-0.07773355186139001</v>
      </c>
      <c r="D3183">
        <v>-0.09218713989398401</v>
      </c>
      <c r="E3183">
        <v>-0.004045512010113</v>
      </c>
      <c r="F3183">
        <v>-0.179204000833506</v>
      </c>
      <c r="G3183">
        <v>-0.138074398249453</v>
      </c>
      <c r="H3183">
        <v>0.9337260677466861</v>
      </c>
      <c r="I3183">
        <v>1.330769230769231</v>
      </c>
    </row>
    <row r="3184" spans="1:9">
      <c r="A3184" s="1" t="s">
        <v>3196</v>
      </c>
      <c r="B3184">
        <f>HYPERLINK("https://www.suredividend.com/sure-analysis-research-database/","Zuora Inc")</f>
        <v>0</v>
      </c>
      <c r="C3184">
        <v>-0.03889674681753801</v>
      </c>
      <c r="D3184">
        <v>-0.150093808630394</v>
      </c>
      <c r="E3184">
        <v>-0.311201216421692</v>
      </c>
      <c r="F3184">
        <v>-0.272483940042826</v>
      </c>
      <c r="G3184">
        <v>-0.215810732833237</v>
      </c>
      <c r="H3184">
        <v>0.309248554913294</v>
      </c>
      <c r="I3184">
        <v>-0.3205</v>
      </c>
    </row>
    <row r="3185" spans="1:9">
      <c r="A3185" s="1" t="s">
        <v>3197</v>
      </c>
      <c r="B3185">
        <f>HYPERLINK("https://www.suredividend.com/sure-analysis-research-database/","Zovio Inc")</f>
        <v>0</v>
      </c>
      <c r="C3185">
        <v>-0.3</v>
      </c>
      <c r="D3185">
        <v>-0.489051094890511</v>
      </c>
      <c r="E3185">
        <v>-0.7021276595744681</v>
      </c>
      <c r="F3185">
        <v>-0.448818897637795</v>
      </c>
      <c r="G3185">
        <v>-0.8157894736842101</v>
      </c>
      <c r="H3185">
        <v>-0.580838323353293</v>
      </c>
      <c r="I3185">
        <v>-0.936936936936936</v>
      </c>
    </row>
    <row r="3186" spans="1:9">
      <c r="A3186" s="1" t="s">
        <v>3198</v>
      </c>
      <c r="B3186">
        <f>HYPERLINK("https://www.suredividend.com/sure-analysis-research-database/","Zynerba Pharmaceuticals Inc")</f>
        <v>0</v>
      </c>
      <c r="C3186">
        <v>-0.109375</v>
      </c>
      <c r="D3186">
        <v>-0.349809885931558</v>
      </c>
      <c r="E3186">
        <v>-0.578817733990147</v>
      </c>
      <c r="F3186">
        <v>-0.4062500000000001</v>
      </c>
      <c r="G3186">
        <v>-0.5692695214105791</v>
      </c>
      <c r="H3186">
        <v>-0.5615384615384611</v>
      </c>
      <c r="I3186">
        <v>-0.9321159190154821</v>
      </c>
    </row>
    <row r="3187" spans="1:9">
      <c r="A3187" s="1" t="s">
        <v>3199</v>
      </c>
      <c r="B3187">
        <f>HYPERLINK("https://www.suredividend.com/sure-analysis-research-database/","Zynex Inc")</f>
        <v>0</v>
      </c>
      <c r="C3187">
        <v>0.327746741154562</v>
      </c>
      <c r="D3187">
        <v>-0.124078624078624</v>
      </c>
      <c r="E3187">
        <v>-0.343661686596154</v>
      </c>
      <c r="F3187">
        <v>-0.205420525336275</v>
      </c>
      <c r="G3187">
        <v>-0.484245247533346</v>
      </c>
      <c r="H3187">
        <v>-0.360096209938702</v>
      </c>
      <c r="I3187">
        <v>36.70491803278689</v>
      </c>
    </row>
    <row r="3188" spans="1:9">
      <c r="A3188" s="1" t="s">
        <v>3200</v>
      </c>
      <c r="B3188">
        <f>HYPERLINK("https://www.suredividend.com/sure-analysis-research-database/","Truecar Inc")</f>
        <v>0</v>
      </c>
      <c r="C3188">
        <v>0.069252077562326</v>
      </c>
      <c r="D3188">
        <v>0.03485254691689</v>
      </c>
      <c r="E3188">
        <v>-0.136465324384787</v>
      </c>
      <c r="F3188">
        <v>0.135294117647058</v>
      </c>
      <c r="G3188">
        <v>-0.190775681341719</v>
      </c>
      <c r="H3188">
        <v>0.7706422018348621</v>
      </c>
      <c r="I3188">
        <v>-0.7281690140845071</v>
      </c>
    </row>
    <row r="3189" spans="1:9">
      <c r="A3189" s="1" t="s">
        <v>3201</v>
      </c>
      <c r="B3189">
        <f>HYPERLINK("https://www.suredividend.com/sure-analysis-BRMK/","Broadmark Realty Capital Inc")</f>
        <v>0</v>
      </c>
      <c r="C3189">
        <v>0.024765157984628</v>
      </c>
      <c r="D3189">
        <v>-0.108805255120185</v>
      </c>
      <c r="E3189">
        <v>-0.129466338343329</v>
      </c>
      <c r="F3189">
        <v>-0.074777924983168</v>
      </c>
      <c r="G3189">
        <v>-0.140184275060298</v>
      </c>
      <c r="H3189">
        <v>0.386628474708677</v>
      </c>
      <c r="I3189">
        <v>-0.05399553645781201</v>
      </c>
    </row>
    <row r="3190" spans="1:9">
      <c r="A3190" s="1" t="s">
        <v>3202</v>
      </c>
      <c r="B3190">
        <f>HYPERLINK("https://www.suredividend.com/sure-analysis-CRT/","Cross Timbers Royalty Trust")</f>
        <v>0</v>
      </c>
      <c r="C3190">
        <v>0.023430987257353</v>
      </c>
      <c r="D3190">
        <v>0.04659836502306301</v>
      </c>
      <c r="E3190">
        <v>-0.05201833913613001</v>
      </c>
      <c r="F3190">
        <v>0.223766887983054</v>
      </c>
      <c r="G3190">
        <v>0.7461869626506481</v>
      </c>
      <c r="H3190">
        <v>2.37605578471813</v>
      </c>
      <c r="I3190">
        <v>0.341960922097948</v>
      </c>
    </row>
    <row r="3191" spans="1:9">
      <c r="A3191" s="1" t="s">
        <v>3203</v>
      </c>
      <c r="B3191">
        <f>HYPERLINK("https://www.suredividend.com/sure-analysis-DREUF/","Dream Industrial Real Estate Investment Trust")</f>
        <v>0</v>
      </c>
      <c r="C3191">
        <v>-0.017295597484276</v>
      </c>
      <c r="D3191">
        <v>-0.032522716366619</v>
      </c>
      <c r="E3191">
        <v>-0.06367041198501801</v>
      </c>
      <c r="F3191">
        <v>-0.07857879994102901</v>
      </c>
      <c r="G3191">
        <v>0.153083344864166</v>
      </c>
      <c r="H3191">
        <v>0.8733327338668581</v>
      </c>
      <c r="I3191">
        <v>1.020267321772017</v>
      </c>
    </row>
    <row r="3192" spans="1:9">
      <c r="A3192" s="1" t="s">
        <v>3204</v>
      </c>
      <c r="B3192">
        <f>HYPERLINK("https://www.suredividend.com/sure-analysis-GAIN/","Gladstone Investment Corporation")</f>
        <v>0</v>
      </c>
      <c r="C3192">
        <v>0.026862259477995</v>
      </c>
      <c r="D3192">
        <v>0.017877376306181</v>
      </c>
      <c r="E3192">
        <v>0.145200356945566</v>
      </c>
      <c r="F3192">
        <v>-0.03277904055509</v>
      </c>
      <c r="G3192">
        <v>0.240906160788286</v>
      </c>
      <c r="H3192">
        <v>0.9823707535951151</v>
      </c>
      <c r="I3192">
        <v>1.569072623568103</v>
      </c>
    </row>
    <row r="3193" spans="1:9">
      <c r="A3193" s="1" t="s">
        <v>3205</v>
      </c>
      <c r="B3193">
        <f>HYPERLINK("https://www.suredividend.com/sure-analysis-GLAD/","Gladstone Capital Corp.")</f>
        <v>0</v>
      </c>
      <c r="C3193">
        <v>0.057380882276529</v>
      </c>
      <c r="D3193">
        <v>0.100882689724193</v>
      </c>
      <c r="E3193">
        <v>0.104787412119183</v>
      </c>
      <c r="F3193">
        <v>0.07143797330618901</v>
      </c>
      <c r="G3193">
        <v>0.215167197452229</v>
      </c>
      <c r="H3193">
        <v>1.409567225149488</v>
      </c>
      <c r="I3193">
        <v>0.9241072835576291</v>
      </c>
    </row>
    <row r="3194" spans="1:9">
      <c r="A3194" s="1" t="s">
        <v>3206</v>
      </c>
      <c r="B3194">
        <f>HYPERLINK("https://www.suredividend.com/sure-analysis-research-database/","Harvest Capital Credit Corp")</f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1" t="s">
        <v>3207</v>
      </c>
      <c r="B3195">
        <f>HYPERLINK("https://www.suredividend.com/sure-analysis-HRZN/","Horizon Technology Finance Corp")</f>
        <v>0</v>
      </c>
      <c r="C3195">
        <v>0.030501089324618</v>
      </c>
      <c r="D3195">
        <v>-0.110629203201484</v>
      </c>
      <c r="E3195">
        <v>-0.147471251937565</v>
      </c>
      <c r="F3195">
        <v>-0.091077959761464</v>
      </c>
      <c r="G3195">
        <v>-0.124257871804682</v>
      </c>
      <c r="H3195">
        <v>0.8011271324126721</v>
      </c>
      <c r="I3195">
        <v>0.9909083256166341</v>
      </c>
    </row>
    <row r="3196" spans="1:9">
      <c r="A3196" s="1" t="s">
        <v>3208</v>
      </c>
      <c r="B3196">
        <f>HYPERLINK("https://www.suredividend.com/sure-analysis-MAIN/","Main Street Capital Corporation")</f>
        <v>0</v>
      </c>
      <c r="C3196">
        <v>0.025308145667519</v>
      </c>
      <c r="D3196">
        <v>-0.038324054813222</v>
      </c>
      <c r="E3196">
        <v>0.011882951592199</v>
      </c>
      <c r="F3196">
        <v>-0.050278311727354</v>
      </c>
      <c r="G3196">
        <v>0.050896664348141</v>
      </c>
      <c r="H3196">
        <v>0.9246390724808921</v>
      </c>
      <c r="I3196">
        <v>0.5451426199986661</v>
      </c>
    </row>
    <row r="3197" spans="1:9">
      <c r="A3197" s="1" t="s">
        <v>3209</v>
      </c>
      <c r="B3197">
        <f>HYPERLINK("https://www.suredividend.com/sure-analysis-OXSQ/","Oxford Square Capital Corp")</f>
        <v>0</v>
      </c>
      <c r="C3197">
        <v>0.012439616549445</v>
      </c>
      <c r="D3197">
        <v>-0.004601717646479001</v>
      </c>
      <c r="E3197">
        <v>0.027562555569668</v>
      </c>
      <c r="F3197">
        <v>0.025556513361391</v>
      </c>
      <c r="G3197">
        <v>-0.100951280227596</v>
      </c>
      <c r="H3197">
        <v>0.8778144004456611</v>
      </c>
      <c r="I3197">
        <v>-0.37524133137694</v>
      </c>
    </row>
    <row r="3198" spans="1:9">
      <c r="A3198" s="1" t="s">
        <v>3210</v>
      </c>
      <c r="B3198">
        <f>HYPERLINK("https://www.suredividend.com/sure-analysis-PBA/","Pembina Pipeline Corporation")</f>
        <v>0</v>
      </c>
      <c r="C3198">
        <v>0.111350492301407</v>
      </c>
      <c r="D3198">
        <v>0.251260080645161</v>
      </c>
      <c r="E3198">
        <v>0.190515440433764</v>
      </c>
      <c r="F3198">
        <v>0.329232746244382</v>
      </c>
      <c r="G3198">
        <v>0.433546873590183</v>
      </c>
      <c r="H3198">
        <v>1.409375454942495</v>
      </c>
      <c r="I3198">
        <v>0.610979972258048</v>
      </c>
    </row>
    <row r="3199" spans="1:9">
      <c r="A3199" s="1" t="s">
        <v>3211</v>
      </c>
      <c r="B3199">
        <f>HYPERLINK("https://www.suredividend.com/sure-analysis-PBT/","Permian Basin Royalty Trust")</f>
        <v>0</v>
      </c>
      <c r="C3199">
        <v>0.066041564852932</v>
      </c>
      <c r="D3199">
        <v>-0.012953546694889</v>
      </c>
      <c r="E3199">
        <v>1.098860059687862</v>
      </c>
      <c r="F3199">
        <v>0.282191780821917</v>
      </c>
      <c r="G3199">
        <v>2.379105731614461</v>
      </c>
      <c r="H3199">
        <v>3.60316892592725</v>
      </c>
      <c r="I3199">
        <v>0.811859443631039</v>
      </c>
    </row>
    <row r="3200" spans="1:9">
      <c r="A3200" s="1" t="s">
        <v>3212</v>
      </c>
      <c r="B3200">
        <f>HYPERLINK("https://www.suredividend.com/sure-analysis-PFLT/","PennantPark Floating Rate Capital Ltd")</f>
        <v>0</v>
      </c>
      <c r="C3200">
        <v>0.09322734248947201</v>
      </c>
      <c r="D3200">
        <v>0.09211850547238601</v>
      </c>
      <c r="E3200">
        <v>0.107364090789505</v>
      </c>
      <c r="F3200">
        <v>0.126593777374038</v>
      </c>
      <c r="G3200">
        <v>0.203775121980812</v>
      </c>
      <c r="H3200">
        <v>1.846953206665437</v>
      </c>
      <c r="I3200">
        <v>0.5977086855999171</v>
      </c>
    </row>
    <row r="3201" spans="1:9">
      <c r="A3201" s="1" t="s">
        <v>3213</v>
      </c>
      <c r="B3201">
        <f>HYPERLINK("https://www.suredividend.com/sure-analysis-PRT/","PermRock Royalty Trust")</f>
        <v>0</v>
      </c>
      <c r="C3201">
        <v>0.105839503510411</v>
      </c>
      <c r="D3201">
        <v>0.257219134793505</v>
      </c>
      <c r="E3201">
        <v>0.397066614194681</v>
      </c>
      <c r="F3201">
        <v>0.348823615373374</v>
      </c>
      <c r="G3201">
        <v>0.9238786059696511</v>
      </c>
      <c r="H3201">
        <v>3.637724851773691</v>
      </c>
      <c r="I3201">
        <v>-0.15088177661659</v>
      </c>
    </row>
    <row r="3202" spans="1:9">
      <c r="A3202" s="1" t="s">
        <v>3214</v>
      </c>
      <c r="B3202">
        <f>HYPERLINK("https://www.suredividend.com/sure-analysis-PSEC/","Prospect Capital Corp")</f>
        <v>0</v>
      </c>
      <c r="C3202">
        <v>0.041195679477518</v>
      </c>
      <c r="D3202">
        <v>-0.032784972581962</v>
      </c>
      <c r="E3202">
        <v>0.057640784874078</v>
      </c>
      <c r="F3202">
        <v>0.007461779646598001</v>
      </c>
      <c r="G3202">
        <v>0.12248490264576</v>
      </c>
      <c r="H3202">
        <v>1.478918724956641</v>
      </c>
      <c r="I3202">
        <v>0.558387848710429</v>
      </c>
    </row>
    <row r="3203" spans="1:9">
      <c r="A3203" s="1" t="s">
        <v>3215</v>
      </c>
      <c r="B3203">
        <f>HYPERLINK("https://www.suredividend.com/sure-analysis-SBR/","Sabine Royalty Trust")</f>
        <v>0</v>
      </c>
      <c r="C3203">
        <v>0.268362776420472</v>
      </c>
      <c r="D3203">
        <v>0.302547194467341</v>
      </c>
      <c r="E3203">
        <v>0.5822158836989511</v>
      </c>
      <c r="F3203">
        <v>0.6238990621036751</v>
      </c>
      <c r="G3203">
        <v>1.170999282923527</v>
      </c>
      <c r="H3203">
        <v>2.027273024609735</v>
      </c>
      <c r="I3203">
        <v>1.608303576101353</v>
      </c>
    </row>
    <row r="3204" spans="1:9">
      <c r="A3204" s="1" t="s">
        <v>3216</v>
      </c>
      <c r="B3204">
        <f>HYPERLINK("https://www.suredividend.com/sure-analysis-SUNS/","SLR Senior Investment Corp")</f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</sheetData>
  <autoFilter ref="A1:I3204"/>
  <conditionalFormatting sqref="A1:I1">
    <cfRule type="cellIs" dxfId="8" priority="10" operator="notEqual">
      <formula>-13.345</formula>
    </cfRule>
  </conditionalFormatting>
  <conditionalFormatting sqref="A2:A3204">
    <cfRule type="cellIs" dxfId="0" priority="1" operator="notEqual">
      <formula>"None"</formula>
    </cfRule>
  </conditionalFormatting>
  <conditionalFormatting sqref="B2:B3204">
    <cfRule type="cellIs" dxfId="0" priority="2" operator="notEqual">
      <formula>"None"</formula>
    </cfRule>
  </conditionalFormatting>
  <conditionalFormatting sqref="C2:C3204">
    <cfRule type="cellIs" dxfId="3" priority="3" operator="notEqual">
      <formula>"None"</formula>
    </cfRule>
  </conditionalFormatting>
  <conditionalFormatting sqref="D2:D3204">
    <cfRule type="cellIs" dxfId="3" priority="4" operator="notEqual">
      <formula>"None"</formula>
    </cfRule>
  </conditionalFormatting>
  <conditionalFormatting sqref="E2:E3204">
    <cfRule type="cellIs" dxfId="3" priority="5" operator="notEqual">
      <formula>"None"</formula>
    </cfRule>
  </conditionalFormatting>
  <conditionalFormatting sqref="F2:F3204">
    <cfRule type="cellIs" dxfId="3" priority="6" operator="notEqual">
      <formula>"None"</formula>
    </cfRule>
  </conditionalFormatting>
  <conditionalFormatting sqref="G2:G3204">
    <cfRule type="cellIs" dxfId="3" priority="7" operator="notEqual">
      <formula>"None"</formula>
    </cfRule>
  </conditionalFormatting>
  <conditionalFormatting sqref="H2:H3204">
    <cfRule type="cellIs" dxfId="3" priority="8" operator="notEqual">
      <formula>"None"</formula>
    </cfRule>
  </conditionalFormatting>
  <conditionalFormatting sqref="I2:I3204">
    <cfRule type="cellIs" dxfId="3" priority="9" operator="notEqual">
      <formula>"None"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5.7109375" customWidth="1"/>
    <col min="2" max="2" width="0" customWidth="1"/>
  </cols>
  <sheetData>
    <row r="1" spans="1:2">
      <c r="A1" s="1" t="s">
        <v>3236</v>
      </c>
      <c r="B1" s="1"/>
    </row>
    <row r="2" spans="1:2">
      <c r="A2" s="1" t="s">
        <v>3237</v>
      </c>
    </row>
    <row r="3" spans="1:2">
      <c r="A3" s="1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Performance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2022-04-17T12:42:39Z</dcterms:created>
  <dcterms:modified xsi:type="dcterms:W3CDTF">2022-04-17T12:42:39Z</dcterms:modified>
</cp:coreProperties>
</file>