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NCING\"/>
    </mc:Choice>
  </mc:AlternateContent>
  <xr:revisionPtr revIDLastSave="0" documentId="13_ncr:1_{5621CB8B-21A2-441A-A8E5-C5AEBC66DA8D}" xr6:coauthVersionLast="47" xr6:coauthVersionMax="47" xr10:uidLastSave="{00000000-0000-0000-0000-000000000000}"/>
  <bookViews>
    <workbookView xWindow="-120" yWindow="-120" windowWidth="38640" windowHeight="21120" xr2:uid="{2C047A19-3ACC-46EC-BDD5-E3F888957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1" i="1" l="1"/>
  <c r="N30" i="1"/>
  <c r="N29" i="1"/>
  <c r="M14" i="1"/>
  <c r="N24" i="1"/>
  <c r="M9" i="1"/>
  <c r="M3" i="1"/>
  <c r="N16" i="1"/>
  <c r="N3" i="1"/>
  <c r="M24" i="1"/>
  <c r="M25" i="1" s="1"/>
  <c r="M16" i="1"/>
  <c r="M11" i="1"/>
  <c r="M17" i="1" s="1"/>
  <c r="M8" i="1"/>
  <c r="M15" i="1"/>
  <c r="M22" i="1"/>
  <c r="M2" i="1"/>
  <c r="L14" i="1"/>
  <c r="L3" i="1"/>
  <c r="L4" i="1" s="1"/>
  <c r="L9" i="1"/>
  <c r="L15" i="1"/>
  <c r="L10" i="1"/>
  <c r="L11" i="1"/>
  <c r="L16" i="1"/>
  <c r="L8" i="1"/>
  <c r="L22" i="1"/>
  <c r="L24" i="1"/>
  <c r="L25" i="1"/>
  <c r="K3" i="1"/>
  <c r="K14" i="1"/>
  <c r="K9" i="1"/>
  <c r="K8" i="1"/>
  <c r="K12" i="1"/>
  <c r="K10" i="1"/>
  <c r="K11" i="1"/>
  <c r="K24" i="1"/>
  <c r="L2" i="1"/>
  <c r="K16" i="1"/>
  <c r="K22" i="1"/>
  <c r="K15" i="1"/>
  <c r="K13" i="1"/>
  <c r="J10" i="1"/>
  <c r="J14" i="1"/>
  <c r="J8" i="1"/>
  <c r="J11" i="1"/>
  <c r="J9" i="1"/>
  <c r="J24" i="1"/>
  <c r="J15" i="1"/>
  <c r="J3" i="1"/>
  <c r="J22" i="1"/>
  <c r="J25" i="1" s="1"/>
  <c r="J16" i="1"/>
  <c r="J4" i="1"/>
  <c r="J12" i="1"/>
  <c r="I9" i="1"/>
  <c r="I13" i="1"/>
  <c r="I14" i="1"/>
  <c r="I3" i="1"/>
  <c r="I4" i="1" s="1"/>
  <c r="I8" i="1"/>
  <c r="I11" i="1"/>
  <c r="I24" i="1"/>
  <c r="P4" i="1"/>
  <c r="N4" i="1"/>
  <c r="O4" i="1"/>
  <c r="I22" i="1"/>
  <c r="I25" i="1" s="1"/>
  <c r="H8" i="1"/>
  <c r="K25" i="1"/>
  <c r="N25" i="1"/>
  <c r="O25" i="1"/>
  <c r="P25" i="1"/>
  <c r="N17" i="1"/>
  <c r="O17" i="1"/>
  <c r="P17" i="1"/>
  <c r="H11" i="1"/>
  <c r="H9" i="1"/>
  <c r="H15" i="1"/>
  <c r="H3" i="1"/>
  <c r="H10" i="1"/>
  <c r="H24" i="1"/>
  <c r="H16" i="1"/>
  <c r="H22" i="1"/>
  <c r="H25" i="1" s="1"/>
  <c r="H14" i="1"/>
  <c r="G8" i="1"/>
  <c r="G13" i="1"/>
  <c r="G9" i="1"/>
  <c r="G3" i="1"/>
  <c r="G10" i="1"/>
  <c r="G12" i="1"/>
  <c r="G11" i="1"/>
  <c r="G24" i="1"/>
  <c r="G15" i="1"/>
  <c r="G22" i="1"/>
  <c r="G25" i="1" s="1"/>
  <c r="F10" i="1"/>
  <c r="E10" i="1"/>
  <c r="B9" i="1"/>
  <c r="G2" i="1"/>
  <c r="F3" i="1"/>
  <c r="F4" i="1" s="1"/>
  <c r="F14" i="1"/>
  <c r="F16" i="1"/>
  <c r="F8" i="1"/>
  <c r="F11" i="1"/>
  <c r="F24" i="1"/>
  <c r="F25" i="1" s="1"/>
  <c r="E15" i="1"/>
  <c r="F22" i="1"/>
  <c r="E3" i="1"/>
  <c r="E4" i="1" s="1"/>
  <c r="E14" i="1"/>
  <c r="E8" i="1"/>
  <c r="D4" i="1"/>
  <c r="C4" i="1"/>
  <c r="E25" i="1"/>
  <c r="B25" i="1"/>
  <c r="B30" i="1" s="1"/>
  <c r="C25" i="1"/>
  <c r="C30" i="1" s="1"/>
  <c r="D25" i="1"/>
  <c r="C17" i="1"/>
  <c r="C31" i="1" s="1"/>
  <c r="D17" i="1"/>
  <c r="B17" i="1"/>
  <c r="B31" i="1" s="1"/>
  <c r="B4" i="1"/>
  <c r="M29" i="1" l="1"/>
  <c r="M30" i="1"/>
  <c r="M4" i="1"/>
  <c r="M31" i="1"/>
  <c r="L17" i="1"/>
  <c r="L31" i="1" s="1"/>
  <c r="L30" i="1"/>
  <c r="K30" i="1"/>
  <c r="K4" i="1"/>
  <c r="K17" i="1"/>
  <c r="J30" i="1"/>
  <c r="J17" i="1"/>
  <c r="J31" i="1" s="1"/>
  <c r="I17" i="1"/>
  <c r="I29" i="1" s="1"/>
  <c r="I30" i="1"/>
  <c r="H17" i="1"/>
  <c r="H31" i="1" s="1"/>
  <c r="H30" i="1"/>
  <c r="H4" i="1"/>
  <c r="G17" i="1"/>
  <c r="G29" i="1" s="1"/>
  <c r="G31" i="1"/>
  <c r="G30" i="1"/>
  <c r="D29" i="1"/>
  <c r="G4" i="1"/>
  <c r="F17" i="1"/>
  <c r="F31" i="1" s="1"/>
  <c r="F30" i="1"/>
  <c r="E30" i="1"/>
  <c r="E17" i="1"/>
  <c r="E31" i="1" s="1"/>
  <c r="D31" i="1"/>
  <c r="D30" i="1"/>
  <c r="C29" i="1"/>
  <c r="B29" i="1"/>
  <c r="L29" i="1" l="1"/>
  <c r="K31" i="1"/>
  <c r="K29" i="1"/>
  <c r="J29" i="1"/>
  <c r="I31" i="1"/>
  <c r="H29" i="1"/>
  <c r="E29" i="1"/>
  <c r="F29" i="1"/>
</calcChain>
</file>

<file path=xl/sharedStrings.xml><?xml version="1.0" encoding="utf-8"?>
<sst xmlns="http://schemas.openxmlformats.org/spreadsheetml/2006/main" count="85" uniqueCount="41">
  <si>
    <t>INCOME</t>
  </si>
  <si>
    <t>EXPENSES</t>
  </si>
  <si>
    <t>PROJECTED INCOME</t>
  </si>
  <si>
    <t>ACTUAL INCOME</t>
  </si>
  <si>
    <t>ERROR</t>
  </si>
  <si>
    <t>DELIVERY</t>
  </si>
  <si>
    <t>TRANSPORTATION</t>
  </si>
  <si>
    <t>SHOPPING</t>
  </si>
  <si>
    <t>ENTERTAINMENT</t>
  </si>
  <si>
    <t>TOTAL</t>
  </si>
  <si>
    <t>HAIRCUT</t>
  </si>
  <si>
    <t>INVESTMENTS</t>
  </si>
  <si>
    <t>STOCKS</t>
  </si>
  <si>
    <t>ETFS</t>
  </si>
  <si>
    <t>CRYPTO</t>
  </si>
  <si>
    <t>RATIOS</t>
  </si>
  <si>
    <t>INVESTMENTS TO EXPENSES</t>
  </si>
  <si>
    <t>INVESTMENTS TO INCOME</t>
  </si>
  <si>
    <t>INCOME TO EXPENSES</t>
  </si>
  <si>
    <t>CASH BALANCE</t>
  </si>
  <si>
    <t xml:space="preserve"> OCT 24</t>
  </si>
  <si>
    <t>NOV 24</t>
  </si>
  <si>
    <t>DEC 24</t>
  </si>
  <si>
    <t>JAN 25</t>
  </si>
  <si>
    <t>FEB 25</t>
  </si>
  <si>
    <t>MAR 25</t>
  </si>
  <si>
    <t>APR 25</t>
  </si>
  <si>
    <t xml:space="preserve">MAY 25 </t>
  </si>
  <si>
    <t>JUNE 25</t>
  </si>
  <si>
    <t>OCT 24</t>
  </si>
  <si>
    <t>GIFTS</t>
  </si>
  <si>
    <t>RESTAURANT</t>
  </si>
  <si>
    <t>COFFEE/SNACKS</t>
  </si>
  <si>
    <t>JUN 25</t>
  </si>
  <si>
    <t>JUL 25</t>
  </si>
  <si>
    <t>AUG 25</t>
  </si>
  <si>
    <t>SEP 25</t>
  </si>
  <si>
    <t>OCT 25</t>
  </si>
  <si>
    <t>NOV 25</t>
  </si>
  <si>
    <t>DEC 25</t>
  </si>
  <si>
    <t>BOOKS/AI/GADGETS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</si>
</sst>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3F3F76"/>
      <name val="Arial Black"/>
      <family val="2"/>
      <charset val="161"/>
    </font>
    <font>
      <sz val="8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2" borderId="0" xfId="1" applyFont="1" applyBorder="1" applyAlignment="1">
      <alignment horizontal="center"/>
    </xf>
    <xf numFmtId="0" fontId="2" fillId="3" borderId="2" xfId="2"/>
    <xf numFmtId="8" fontId="0" fillId="0" borderId="0" xfId="0" applyNumberFormat="1"/>
    <xf numFmtId="0" fontId="2" fillId="3" borderId="3" xfId="2" applyBorder="1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INVESTMENTS </a:t>
            </a:r>
          </a:p>
          <a:p>
            <a:pPr>
              <a:defRPr sz="2800"/>
            </a:pPr>
            <a:endParaRPr lang="en-US" sz="2800"/>
          </a:p>
        </c:rich>
      </c:tx>
      <c:layout>
        <c:manualLayout>
          <c:xMode val="edge"/>
          <c:yMode val="edge"/>
          <c:x val="0.45882009637877469"/>
          <c:y val="9.01103247932444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INVESTMENTS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Sheet1!$B$20:$J$20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Sheet1!$B$25:$J$25</c:f>
              <c:numCache>
                <c:formatCode>"€"#,##0.00_);[Red]\("€"#,##0.00\)</c:formatCode>
                <c:ptCount val="9"/>
                <c:pt idx="0">
                  <c:v>450</c:v>
                </c:pt>
                <c:pt idx="1">
                  <c:v>280</c:v>
                </c:pt>
                <c:pt idx="2">
                  <c:v>550</c:v>
                </c:pt>
                <c:pt idx="3">
                  <c:v>500</c:v>
                </c:pt>
                <c:pt idx="4">
                  <c:v>490</c:v>
                </c:pt>
                <c:pt idx="5">
                  <c:v>610</c:v>
                </c:pt>
                <c:pt idx="6">
                  <c:v>800</c:v>
                </c:pt>
                <c:pt idx="7">
                  <c:v>550</c:v>
                </c:pt>
                <c:pt idx="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232-BD39-F225D6A8D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8449215"/>
        <c:axId val="1778439231"/>
      </c:lineChart>
      <c:catAx>
        <c:axId val="177844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39231"/>
        <c:crosses val="autoZero"/>
        <c:auto val="1"/>
        <c:lblAlgn val="ctr"/>
        <c:lblOffset val="100"/>
        <c:noMultiLvlLbl val="0"/>
      </c:catAx>
      <c:valAx>
        <c:axId val="1778439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RATIOS </a:t>
            </a:r>
          </a:p>
        </c:rich>
      </c:tx>
      <c:layout>
        <c:manualLayout>
          <c:xMode val="edge"/>
          <c:yMode val="edge"/>
          <c:x val="0.4654604904632153"/>
          <c:y val="0.13806706114398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37194553805774277"/>
          <c:w val="0.87232174103237092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INVESTMENTS TO INCOME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Sheet1!$B$30:$J$30</c:f>
              <c:numCache>
                <c:formatCode>0%</c:formatCode>
                <c:ptCount val="9"/>
                <c:pt idx="0">
                  <c:v>0.5625</c:v>
                </c:pt>
                <c:pt idx="1">
                  <c:v>0.21705426356589147</c:v>
                </c:pt>
                <c:pt idx="2">
                  <c:v>0.44897959183673469</c:v>
                </c:pt>
                <c:pt idx="3">
                  <c:v>0.67114093959731547</c:v>
                </c:pt>
                <c:pt idx="4">
                  <c:v>0.64052287581699341</c:v>
                </c:pt>
                <c:pt idx="5">
                  <c:v>0.55809698078682524</c:v>
                </c:pt>
                <c:pt idx="6">
                  <c:v>0.62992125984251968</c:v>
                </c:pt>
                <c:pt idx="7">
                  <c:v>0.62146892655367236</c:v>
                </c:pt>
                <c:pt idx="8">
                  <c:v>0.46413502109704641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F87-9CD7-1331DB945462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INVESTMENTS TO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Sheet1!$B$29:$J$29</c:f>
              <c:numCache>
                <c:formatCode>0%</c:formatCode>
                <c:ptCount val="9"/>
                <c:pt idx="0">
                  <c:v>1.218356572356843</c:v>
                </c:pt>
                <c:pt idx="1">
                  <c:v>0.44664220768862661</c:v>
                </c:pt>
                <c:pt idx="2">
                  <c:v>1.3317191283292977</c:v>
                </c:pt>
                <c:pt idx="3">
                  <c:v>1.1668611435239207</c:v>
                </c:pt>
                <c:pt idx="4">
                  <c:v>1.290492494074269</c:v>
                </c:pt>
                <c:pt idx="5">
                  <c:v>1.4366462552991051</c:v>
                </c:pt>
                <c:pt idx="6">
                  <c:v>1.747487986020096</c:v>
                </c:pt>
                <c:pt idx="7">
                  <c:v>1.249715973642354</c:v>
                </c:pt>
                <c:pt idx="8">
                  <c:v>1.0018214936247725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7-46A1-89E2-E10D50F3CA37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INCOME TO EXPENSES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Sheet1!$B$31:$J$31</c:f>
              <c:numCache>
                <c:formatCode>0%</c:formatCode>
                <c:ptCount val="9"/>
                <c:pt idx="0">
                  <c:v>2.1659672397454988</c:v>
                </c:pt>
                <c:pt idx="1">
                  <c:v>2.0577444568511725</c:v>
                </c:pt>
                <c:pt idx="2">
                  <c:v>2.9661016949152543</c:v>
                </c:pt>
                <c:pt idx="3">
                  <c:v>1.7386231038506417</c:v>
                </c:pt>
                <c:pt idx="4">
                  <c:v>2.0147484856465629</c:v>
                </c:pt>
                <c:pt idx="5">
                  <c:v>2.5741874705605272</c:v>
                </c:pt>
                <c:pt idx="6">
                  <c:v>2.7741371778069026</c:v>
                </c:pt>
                <c:pt idx="7">
                  <c:v>2.0109066121336059</c:v>
                </c:pt>
                <c:pt idx="8">
                  <c:v>2.1584699453551917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7-46A1-89E2-E10D50F3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50879"/>
        <c:axId val="1778441311"/>
      </c:lineChart>
      <c:catAx>
        <c:axId val="177845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1311"/>
        <c:crosses val="autoZero"/>
        <c:auto val="1"/>
        <c:lblAlgn val="ctr"/>
        <c:lblOffset val="100"/>
        <c:noMultiLvlLbl val="0"/>
      </c:catAx>
      <c:valAx>
        <c:axId val="177844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519793496887272"/>
          <c:y val="5.4121201812924589E-2"/>
          <c:w val="0.24728423518613021"/>
          <c:h val="2.858978078820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INCOME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Sheet1!$B$1:$J$1</c:f>
              <c:strCache>
                <c:ptCount val="9"/>
                <c:pt idx="0">
                  <c:v> 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 25</c:v>
                </c:pt>
              </c:strCache>
            </c:strRef>
          </c:cat>
          <c:val>
            <c:numRef>
              <c:f>Sheet1!$B$3:$J$3</c:f>
              <c:numCache>
                <c:formatCode>"€"#,##0.00_);[Red]\("€"#,##0.00\)</c:formatCode>
                <c:ptCount val="9"/>
                <c:pt idx="0">
                  <c:v>800</c:v>
                </c:pt>
                <c:pt idx="1">
                  <c:v>1290</c:v>
                </c:pt>
                <c:pt idx="2">
                  <c:v>1225</c:v>
                </c:pt>
                <c:pt idx="3">
                  <c:v>745</c:v>
                </c:pt>
                <c:pt idx="4">
                  <c:v>765</c:v>
                </c:pt>
                <c:pt idx="5">
                  <c:v>1093</c:v>
                </c:pt>
                <c:pt idx="6" formatCode="#,##0.00\ &quot;€&quot;">
                  <c:v>1270</c:v>
                </c:pt>
                <c:pt idx="7" formatCode="#,##0.00\ &quot;€&quot;">
                  <c:v>885</c:v>
                </c:pt>
                <c:pt idx="8" formatCode="#,##0.00\ &quot;€&quot;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2CC-8995-6A94C533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67807"/>
        <c:axId val="526168223"/>
      </c:lineChart>
      <c:catAx>
        <c:axId val="5261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8223"/>
        <c:crosses val="autoZero"/>
        <c:auto val="1"/>
        <c:lblAlgn val="ctr"/>
        <c:lblOffset val="100"/>
        <c:noMultiLvlLbl val="0"/>
      </c:catAx>
      <c:valAx>
        <c:axId val="5261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1"/>
      </a:solidFill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FA-40B2-9F4B-D4B7D42C68C6}"/>
              </c:ext>
            </c:extLst>
          </c:dPt>
          <c:dPt>
            <c:idx val="2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FA-40B2-9F4B-D4B7D42C68C6}"/>
              </c:ext>
            </c:extLst>
          </c:dPt>
          <c:cat>
            <c:strRef>
              <c:f>Sheet1!$B$7:$J$7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Sheet1!$B$17:$J$17</c:f>
              <c:numCache>
                <c:formatCode>"€"#,##0.00_);[Red]\("€"#,##0.00\)</c:formatCode>
                <c:ptCount val="9"/>
                <c:pt idx="0">
                  <c:v>369.35</c:v>
                </c:pt>
                <c:pt idx="1">
                  <c:v>626.9</c:v>
                </c:pt>
                <c:pt idx="2">
                  <c:v>413</c:v>
                </c:pt>
                <c:pt idx="3">
                  <c:v>428.5</c:v>
                </c:pt>
                <c:pt idx="4">
                  <c:v>379.70000000000005</c:v>
                </c:pt>
                <c:pt idx="5">
                  <c:v>424.6</c:v>
                </c:pt>
                <c:pt idx="6">
                  <c:v>457.8</c:v>
                </c:pt>
                <c:pt idx="7">
                  <c:v>440.1</c:v>
                </c:pt>
                <c:pt idx="8">
                  <c:v>548.99999999999989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0B2-9F4B-D4B7D42C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66239"/>
        <c:axId val="365706735"/>
      </c:lineChart>
      <c:catAx>
        <c:axId val="3629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706735"/>
        <c:crosses val="autoZero"/>
        <c:auto val="1"/>
        <c:lblAlgn val="ctr"/>
        <c:lblOffset val="100"/>
        <c:noMultiLvlLbl val="0"/>
      </c:catAx>
      <c:valAx>
        <c:axId val="365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9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35</xdr:col>
      <xdr:colOff>561975</xdr:colOff>
      <xdr:row>115</xdr:row>
      <xdr:rowOff>171449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189F777D-C1C2-4082-98F8-EA954091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119</xdr:row>
      <xdr:rowOff>47624</xdr:rowOff>
    </xdr:from>
    <xdr:to>
      <xdr:col>35</xdr:col>
      <xdr:colOff>561975</xdr:colOff>
      <xdr:row>164</xdr:row>
      <xdr:rowOff>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41475D3E-DF24-4156-9572-19F5E091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35</xdr:col>
      <xdr:colOff>600074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49B4C-2FB5-4874-8F9A-95BCF3268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171447</xdr:rowOff>
    </xdr:from>
    <xdr:to>
      <xdr:col>35</xdr:col>
      <xdr:colOff>590550</xdr:colOff>
      <xdr:row>73</xdr:row>
      <xdr:rowOff>56695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76D417-E735-49EE-876D-DDBF360D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7925-15D9-4267-A6E9-C5D6F6A3F942}">
  <dimension ref="A1:P32"/>
  <sheetViews>
    <sheetView tabSelected="1" zoomScale="130" zoomScaleNormal="130" workbookViewId="0">
      <selection activeCell="R22" sqref="R22"/>
    </sheetView>
  </sheetViews>
  <sheetFormatPr defaultColWidth="8.85546875" defaultRowHeight="15" x14ac:dyDescent="0.25"/>
  <cols>
    <col min="1" max="1" width="29.28515625" customWidth="1"/>
    <col min="2" max="2" width="15.7109375" customWidth="1"/>
    <col min="3" max="3" width="10.7109375" customWidth="1"/>
    <col min="4" max="4" width="20.42578125" customWidth="1"/>
    <col min="5" max="5" width="18.28515625" customWidth="1"/>
    <col min="6" max="6" width="12.28515625" customWidth="1"/>
    <col min="7" max="7" width="12.42578125" customWidth="1"/>
    <col min="8" max="8" width="11.85546875" customWidth="1"/>
    <col min="9" max="9" width="11.42578125" customWidth="1"/>
    <col min="10" max="10" width="11.7109375" customWidth="1"/>
    <col min="11" max="11" width="11" customWidth="1"/>
    <col min="12" max="12" width="10.7109375" customWidth="1"/>
    <col min="13" max="13" width="11.28515625" customWidth="1"/>
    <col min="14" max="14" width="10.85546875" customWidth="1"/>
    <col min="15" max="15" width="10" customWidth="1"/>
    <col min="16" max="16" width="12.42578125" customWidth="1"/>
    <col min="17" max="17" width="11.42578125" customWidth="1"/>
    <col min="18" max="18" width="10.85546875" customWidth="1"/>
  </cols>
  <sheetData>
    <row r="1" spans="1:16" ht="18.75" x14ac:dyDescent="0.4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s="6" customFormat="1" ht="15.75" thickBot="1" x14ac:dyDescent="0.3">
      <c r="A2" s="4" t="s">
        <v>2</v>
      </c>
      <c r="B2" s="3">
        <v>300</v>
      </c>
      <c r="C2" s="3">
        <v>1300</v>
      </c>
      <c r="D2" s="3">
        <v>400</v>
      </c>
      <c r="E2" s="3">
        <v>515</v>
      </c>
      <c r="F2" s="3">
        <v>850</v>
      </c>
      <c r="G2" s="3">
        <f>700</f>
        <v>700</v>
      </c>
      <c r="H2" s="3">
        <v>700</v>
      </c>
      <c r="I2" s="3">
        <v>850</v>
      </c>
      <c r="J2" s="3">
        <v>850</v>
      </c>
      <c r="K2" s="3">
        <v>850</v>
      </c>
      <c r="L2" s="6">
        <f>800</f>
        <v>800</v>
      </c>
      <c r="M2" s="6">
        <f>800</f>
        <v>800</v>
      </c>
      <c r="N2" s="6">
        <v>700</v>
      </c>
    </row>
    <row r="3" spans="1:16" s="6" customFormat="1" ht="16.5" thickTop="1" thickBot="1" x14ac:dyDescent="0.3">
      <c r="A3" s="2" t="s">
        <v>3</v>
      </c>
      <c r="B3" s="3">
        <v>800</v>
      </c>
      <c r="C3" s="3">
        <v>1290</v>
      </c>
      <c r="D3" s="3">
        <v>1225</v>
      </c>
      <c r="E3" s="3">
        <f>615+10+120</f>
        <v>745</v>
      </c>
      <c r="F3" s="3">
        <f>500+15+20+40+20+100+10+50+10</f>
        <v>765</v>
      </c>
      <c r="G3" s="3">
        <f>100+400+25+100+100+10+50+100+100+20+10+8+20+50</f>
        <v>1093</v>
      </c>
      <c r="H3" s="6">
        <f>400+25+20+100+20+20+25+100+20+100+10+200+10+10+100+10+100</f>
        <v>1270</v>
      </c>
      <c r="I3" s="6">
        <f>700+100+20+30+20+5+10</f>
        <v>885</v>
      </c>
      <c r="J3" s="6">
        <f>400+50+15+70+10+150+20+250+220</f>
        <v>1185</v>
      </c>
      <c r="K3" s="6">
        <f>140+20+400+100+100+150+100+55+100</f>
        <v>1165</v>
      </c>
      <c r="L3" s="6">
        <f>400+150+10</f>
        <v>560</v>
      </c>
      <c r="M3" s="6">
        <f>500+10+20+50+15+10+10+20+10+10+10+30+5+40+60</f>
        <v>800</v>
      </c>
      <c r="N3" s="6">
        <f>400</f>
        <v>400</v>
      </c>
    </row>
    <row r="4" spans="1:16" ht="16.5" thickTop="1" thickBot="1" x14ac:dyDescent="0.3">
      <c r="A4" s="2" t="s">
        <v>4</v>
      </c>
      <c r="B4" s="3">
        <f>B3-B2</f>
        <v>500</v>
      </c>
      <c r="C4" s="3">
        <f>C3-C2</f>
        <v>-10</v>
      </c>
      <c r="D4" s="3">
        <f>D3-D2</f>
        <v>825</v>
      </c>
      <c r="E4" s="3">
        <f>E3-E2</f>
        <v>230</v>
      </c>
      <c r="F4" s="3">
        <f t="shared" ref="F4" si="0">F3-F2</f>
        <v>-85</v>
      </c>
      <c r="G4" s="3">
        <f>G3-G2</f>
        <v>393</v>
      </c>
      <c r="H4" s="3">
        <f t="shared" ref="H4" si="1">H3-H2</f>
        <v>570</v>
      </c>
      <c r="I4" s="3">
        <f t="shared" ref="I4" si="2">I3-I2</f>
        <v>35</v>
      </c>
      <c r="J4" s="3">
        <f t="shared" ref="J4:P4" si="3">J3-J2</f>
        <v>335</v>
      </c>
      <c r="K4" s="3">
        <f t="shared" si="3"/>
        <v>315</v>
      </c>
      <c r="L4" s="3">
        <f t="shared" si="3"/>
        <v>-240</v>
      </c>
      <c r="M4" s="3">
        <f t="shared" si="3"/>
        <v>0</v>
      </c>
      <c r="N4" s="3">
        <f t="shared" si="3"/>
        <v>-300</v>
      </c>
      <c r="O4" s="3">
        <f t="shared" si="3"/>
        <v>0</v>
      </c>
      <c r="P4" s="3">
        <f t="shared" si="3"/>
        <v>0</v>
      </c>
    </row>
    <row r="5" spans="1:16" ht="15.75" thickTop="1" x14ac:dyDescent="0.25">
      <c r="J5" s="3"/>
    </row>
    <row r="7" spans="1:16" ht="18.75" x14ac:dyDescent="0.4">
      <c r="A7" s="1" t="s">
        <v>1</v>
      </c>
      <c r="B7" s="1" t="s">
        <v>29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34</v>
      </c>
      <c r="L7" s="1" t="s">
        <v>35</v>
      </c>
      <c r="M7" s="1" t="s">
        <v>36</v>
      </c>
      <c r="N7" s="1" t="s">
        <v>37</v>
      </c>
      <c r="O7" s="1" t="s">
        <v>38</v>
      </c>
      <c r="P7" s="1" t="s">
        <v>39</v>
      </c>
    </row>
    <row r="8" spans="1:16" s="6" customFormat="1" ht="15.75" thickBot="1" x14ac:dyDescent="0.3">
      <c r="A8" s="4" t="s">
        <v>5</v>
      </c>
      <c r="B8" s="3">
        <v>151.81</v>
      </c>
      <c r="C8" s="3">
        <v>8.6</v>
      </c>
      <c r="D8" s="3">
        <v>58</v>
      </c>
      <c r="E8" s="3">
        <f>65.5+37+9</f>
        <v>111.5</v>
      </c>
      <c r="F8" s="3">
        <f>16.6+14.3</f>
        <v>30.900000000000002</v>
      </c>
      <c r="G8" s="6">
        <f>9+13.5+22+16</f>
        <v>60.5</v>
      </c>
      <c r="H8" s="6">
        <f>11+20+15+9</f>
        <v>55</v>
      </c>
      <c r="I8" s="6">
        <f>15+9</f>
        <v>24</v>
      </c>
      <c r="J8" s="6">
        <f>16+9+12+8.8</f>
        <v>45.8</v>
      </c>
      <c r="K8" s="6">
        <f>5+8.19+18.72+6.5</f>
        <v>38.409999999999997</v>
      </c>
      <c r="L8" s="6">
        <f>11.5</f>
        <v>11.5</v>
      </c>
      <c r="M8" s="6">
        <f>20+20</f>
        <v>40</v>
      </c>
    </row>
    <row r="9" spans="1:16" s="6" customFormat="1" ht="16.5" thickTop="1" thickBot="1" x14ac:dyDescent="0.3">
      <c r="A9" s="4" t="s">
        <v>32</v>
      </c>
      <c r="B9" s="3">
        <f>40</f>
        <v>40</v>
      </c>
      <c r="C9" s="3">
        <v>80</v>
      </c>
      <c r="D9" s="3">
        <v>50</v>
      </c>
      <c r="E9" s="3">
        <v>50</v>
      </c>
      <c r="F9" s="3">
        <v>60</v>
      </c>
      <c r="G9" s="6">
        <f>3+3.5+6+3.1+3.3+3.3+6+3.7+2.6+4.4+7+5</f>
        <v>50.9</v>
      </c>
      <c r="H9" s="6">
        <f>2.6+2.6+2.2+5.8+5+5+8+10+2.1</f>
        <v>43.300000000000004</v>
      </c>
      <c r="I9" s="6">
        <f>2.8+8.2+2+4.2+0.5+8.1+20+2</f>
        <v>47.8</v>
      </c>
      <c r="J9" s="6">
        <f>2.3</f>
        <v>2.2999999999999998</v>
      </c>
      <c r="K9" s="6">
        <f>10+8.9+2.9+2.4</f>
        <v>24.199999999999996</v>
      </c>
      <c r="L9" s="6">
        <f>15+2.1+10</f>
        <v>27.1</v>
      </c>
      <c r="M9" s="6">
        <f>12.2+18.9+18.2+15+5+6.8+2.5+4</f>
        <v>82.6</v>
      </c>
    </row>
    <row r="10" spans="1:16" s="6" customFormat="1" ht="16.5" thickTop="1" thickBot="1" x14ac:dyDescent="0.3">
      <c r="A10" s="2" t="s">
        <v>31</v>
      </c>
      <c r="B10" s="3">
        <v>55.8</v>
      </c>
      <c r="C10" s="3">
        <v>110</v>
      </c>
      <c r="D10" s="3">
        <v>104</v>
      </c>
      <c r="E10" s="3">
        <f>223+2-50</f>
        <v>175</v>
      </c>
      <c r="F10" s="3">
        <f>60+8.3+12+47+25+6+6+10+20+3-60</f>
        <v>137.30000000000001</v>
      </c>
      <c r="G10" s="6">
        <f>80+17+16</f>
        <v>113</v>
      </c>
      <c r="H10" s="6">
        <f>10+150</f>
        <v>160</v>
      </c>
      <c r="I10" s="6">
        <v>0</v>
      </c>
      <c r="J10" s="6">
        <f>46+55+213+27.2</f>
        <v>341.2</v>
      </c>
      <c r="K10" s="6">
        <f>55+8.7+5.5+27.4+25</f>
        <v>121.6</v>
      </c>
      <c r="L10" s="6">
        <f>38+15</f>
        <v>53</v>
      </c>
      <c r="M10" s="6">
        <v>0</v>
      </c>
    </row>
    <row r="11" spans="1:16" s="6" customFormat="1" ht="16.5" thickTop="1" thickBot="1" x14ac:dyDescent="0.3">
      <c r="A11" s="2" t="s">
        <v>6</v>
      </c>
      <c r="B11" s="3">
        <v>51.74</v>
      </c>
      <c r="C11" s="3">
        <v>55.3</v>
      </c>
      <c r="D11" s="3">
        <v>5</v>
      </c>
      <c r="E11" s="3">
        <v>20.5</v>
      </c>
      <c r="F11" s="3">
        <f>5+12+13+12</f>
        <v>42</v>
      </c>
      <c r="G11" s="6">
        <f>9+12.5+2.2+6+6+13.5</f>
        <v>49.2</v>
      </c>
      <c r="H11" s="6">
        <f>14+13.5</f>
        <v>27.5</v>
      </c>
      <c r="I11" s="6">
        <f>5+4+8</f>
        <v>17</v>
      </c>
      <c r="J11" s="6">
        <f>2+8+2.2+10+2.3</f>
        <v>24.5</v>
      </c>
      <c r="K11" s="6">
        <f>6+7</f>
        <v>13</v>
      </c>
      <c r="L11" s="6">
        <f>20+10+5+5</f>
        <v>40</v>
      </c>
      <c r="M11" s="6">
        <f>4</f>
        <v>4</v>
      </c>
    </row>
    <row r="12" spans="1:16" s="6" customFormat="1" ht="16.5" thickTop="1" thickBot="1" x14ac:dyDescent="0.3">
      <c r="A12" s="2" t="s">
        <v>30</v>
      </c>
      <c r="B12" s="3">
        <v>0</v>
      </c>
      <c r="C12" s="3">
        <v>0</v>
      </c>
      <c r="D12" s="3">
        <v>160</v>
      </c>
      <c r="E12" s="3">
        <v>0</v>
      </c>
      <c r="F12" s="3">
        <v>0</v>
      </c>
      <c r="G12" s="6">
        <f>30+5+10</f>
        <v>45</v>
      </c>
      <c r="H12" s="6">
        <v>0</v>
      </c>
      <c r="I12" s="6">
        <v>0</v>
      </c>
      <c r="J12" s="6">
        <f>10</f>
        <v>10</v>
      </c>
      <c r="K12" s="6">
        <f>20</f>
        <v>20</v>
      </c>
      <c r="L12" s="6">
        <v>0</v>
      </c>
      <c r="M12" s="6">
        <v>5</v>
      </c>
    </row>
    <row r="13" spans="1:16" s="6" customFormat="1" ht="16.5" thickTop="1" thickBot="1" x14ac:dyDescent="0.3">
      <c r="A13" s="2" t="s">
        <v>7</v>
      </c>
      <c r="B13" s="3">
        <v>0</v>
      </c>
      <c r="C13" s="3">
        <v>335</v>
      </c>
      <c r="D13" s="3">
        <v>0</v>
      </c>
      <c r="E13" s="3">
        <v>0</v>
      </c>
      <c r="F13" s="3">
        <v>0</v>
      </c>
      <c r="G13" s="6">
        <f>50</f>
        <v>50</v>
      </c>
      <c r="H13" s="6">
        <v>0</v>
      </c>
      <c r="I13" s="6">
        <f>216</f>
        <v>216</v>
      </c>
      <c r="J13" s="6">
        <v>0</v>
      </c>
      <c r="K13" s="6">
        <f>30</f>
        <v>30</v>
      </c>
      <c r="L13" s="6">
        <v>0</v>
      </c>
      <c r="M13" s="6">
        <v>0</v>
      </c>
    </row>
    <row r="14" spans="1:16" s="6" customFormat="1" ht="16.5" thickTop="1" thickBot="1" x14ac:dyDescent="0.3">
      <c r="A14" s="2" t="s">
        <v>8</v>
      </c>
      <c r="B14" s="3">
        <v>46</v>
      </c>
      <c r="C14" s="3">
        <v>26</v>
      </c>
      <c r="D14" s="3">
        <v>0</v>
      </c>
      <c r="E14" s="3">
        <f>23.5</f>
        <v>23.5</v>
      </c>
      <c r="F14" s="3">
        <f>23+20+10+14.5+5</f>
        <v>72.5</v>
      </c>
      <c r="G14" s="6">
        <v>20</v>
      </c>
      <c r="H14" s="6">
        <f>10+10+7+29+14</f>
        <v>70</v>
      </c>
      <c r="I14" s="6">
        <f>20+13+5+50+10</f>
        <v>98</v>
      </c>
      <c r="J14" s="6">
        <f>15.9+7+35+14+5</f>
        <v>76.900000000000006</v>
      </c>
      <c r="K14" s="6">
        <f>9+15+50+10+8.2+13+192+12.5+18+14.84</f>
        <v>342.53999999999996</v>
      </c>
      <c r="L14" s="6">
        <f>400+33+10</f>
        <v>443</v>
      </c>
      <c r="M14" s="6">
        <f>21+21+20+6+20+10+4</f>
        <v>102</v>
      </c>
    </row>
    <row r="15" spans="1:16" s="6" customFormat="1" ht="16.5" thickTop="1" thickBot="1" x14ac:dyDescent="0.3">
      <c r="A15" s="2" t="s">
        <v>10</v>
      </c>
      <c r="B15" s="3">
        <v>24</v>
      </c>
      <c r="C15" s="3">
        <v>12</v>
      </c>
      <c r="D15" s="3">
        <v>12</v>
      </c>
      <c r="E15" s="3">
        <f>2*12</f>
        <v>24</v>
      </c>
      <c r="F15" s="3">
        <v>12</v>
      </c>
      <c r="G15" s="6">
        <f>12</f>
        <v>12</v>
      </c>
      <c r="H15" s="6">
        <f>12+55</f>
        <v>67</v>
      </c>
      <c r="I15" s="6">
        <v>15</v>
      </c>
      <c r="J15" s="6">
        <f>12+14</f>
        <v>26</v>
      </c>
      <c r="K15" s="6">
        <f>12</f>
        <v>12</v>
      </c>
      <c r="L15" s="6">
        <f>14</f>
        <v>14</v>
      </c>
      <c r="M15" s="6">
        <f>14</f>
        <v>14</v>
      </c>
    </row>
    <row r="16" spans="1:16" s="6" customFormat="1" ht="16.5" thickTop="1" thickBot="1" x14ac:dyDescent="0.3">
      <c r="A16" s="2" t="s">
        <v>40</v>
      </c>
      <c r="B16" s="3">
        <v>0</v>
      </c>
      <c r="C16" s="3">
        <v>0</v>
      </c>
      <c r="D16" s="3">
        <v>24</v>
      </c>
      <c r="E16" s="3">
        <v>24</v>
      </c>
      <c r="F16" s="6">
        <f>25</f>
        <v>25</v>
      </c>
      <c r="G16" s="6">
        <v>24</v>
      </c>
      <c r="H16" s="6">
        <f>24+11</f>
        <v>35</v>
      </c>
      <c r="I16" s="6">
        <v>22.3</v>
      </c>
      <c r="J16" s="6">
        <f>22.3</f>
        <v>22.3</v>
      </c>
      <c r="K16" s="6">
        <f>24</f>
        <v>24</v>
      </c>
      <c r="L16" s="6">
        <f>21.29</f>
        <v>21.29</v>
      </c>
      <c r="M16" s="6">
        <f>17+7+24</f>
        <v>48</v>
      </c>
      <c r="N16" s="6">
        <f>40</f>
        <v>40</v>
      </c>
    </row>
    <row r="17" spans="1:16" ht="16.5" thickTop="1" thickBot="1" x14ac:dyDescent="0.3">
      <c r="A17" s="2" t="s">
        <v>9</v>
      </c>
      <c r="B17" s="3">
        <f>SUM(B8:B16)</f>
        <v>369.35</v>
      </c>
      <c r="C17" s="3">
        <f t="shared" ref="C17:P17" si="4">SUM(C8:C16)</f>
        <v>626.9</v>
      </c>
      <c r="D17" s="3">
        <f t="shared" si="4"/>
        <v>413</v>
      </c>
      <c r="E17" s="3">
        <f t="shared" si="4"/>
        <v>428.5</v>
      </c>
      <c r="F17" s="3">
        <f t="shared" si="4"/>
        <v>379.70000000000005</v>
      </c>
      <c r="G17" s="3">
        <f t="shared" si="4"/>
        <v>424.6</v>
      </c>
      <c r="H17" s="3">
        <f t="shared" si="4"/>
        <v>457.8</v>
      </c>
      <c r="I17" s="3">
        <f t="shared" si="4"/>
        <v>440.1</v>
      </c>
      <c r="J17" s="3">
        <f t="shared" si="4"/>
        <v>548.99999999999989</v>
      </c>
      <c r="K17" s="3">
        <f t="shared" si="4"/>
        <v>625.75</v>
      </c>
      <c r="L17" s="3">
        <f t="shared" si="4"/>
        <v>609.89</v>
      </c>
      <c r="M17" s="3">
        <f t="shared" si="4"/>
        <v>295.60000000000002</v>
      </c>
      <c r="N17" s="3">
        <f t="shared" si="4"/>
        <v>40</v>
      </c>
      <c r="O17" s="3">
        <f t="shared" si="4"/>
        <v>0</v>
      </c>
      <c r="P17" s="3">
        <f t="shared" si="4"/>
        <v>0</v>
      </c>
    </row>
    <row r="18" spans="1:16" ht="15.75" thickTop="1" x14ac:dyDescent="0.25">
      <c r="J18" s="3"/>
      <c r="K18" s="3"/>
    </row>
    <row r="20" spans="1:16" ht="18.75" x14ac:dyDescent="0.4">
      <c r="A20" s="1" t="s">
        <v>11</v>
      </c>
      <c r="B20" s="1" t="s">
        <v>29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34</v>
      </c>
      <c r="L20" s="1" t="s">
        <v>35</v>
      </c>
      <c r="M20" s="1" t="s">
        <v>36</v>
      </c>
      <c r="N20" s="1" t="s">
        <v>37</v>
      </c>
      <c r="O20" s="1" t="s">
        <v>38</v>
      </c>
      <c r="P20" s="1" t="s">
        <v>39</v>
      </c>
    </row>
    <row r="21" spans="1:16" s="6" customFormat="1" ht="15.75" thickBot="1" x14ac:dyDescent="0.3">
      <c r="A21" s="4" t="s">
        <v>12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6" s="6" customFormat="1" ht="16.5" thickTop="1" thickBot="1" x14ac:dyDescent="0.3">
      <c r="A22" s="2" t="s">
        <v>13</v>
      </c>
      <c r="B22" s="3">
        <v>450</v>
      </c>
      <c r="C22" s="3">
        <v>280</v>
      </c>
      <c r="D22" s="3">
        <v>450</v>
      </c>
      <c r="E22" s="3">
        <v>350</v>
      </c>
      <c r="F22" s="3">
        <f>100+150</f>
        <v>250</v>
      </c>
      <c r="G22" s="6">
        <f>350+100</f>
        <v>450</v>
      </c>
      <c r="H22" s="6">
        <f>300+100+100</f>
        <v>500</v>
      </c>
      <c r="I22" s="6">
        <f>300</f>
        <v>300</v>
      </c>
      <c r="J22" s="6">
        <f>200+100</f>
        <v>300</v>
      </c>
      <c r="K22" s="6">
        <f>100</f>
        <v>100</v>
      </c>
      <c r="L22" s="6">
        <f>120</f>
        <v>120</v>
      </c>
      <c r="M22" s="6">
        <f>100</f>
        <v>100</v>
      </c>
    </row>
    <row r="23" spans="1:16" s="6" customFormat="1" ht="16.5" thickTop="1" thickBot="1" x14ac:dyDescent="0.3">
      <c r="A23" s="2" t="s">
        <v>14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6" s="6" customFormat="1" ht="16.5" thickTop="1" thickBot="1" x14ac:dyDescent="0.3">
      <c r="A24" s="2" t="s">
        <v>19</v>
      </c>
      <c r="B24" s="3">
        <v>0</v>
      </c>
      <c r="C24" s="3">
        <v>0</v>
      </c>
      <c r="D24" s="3">
        <v>100</v>
      </c>
      <c r="E24" s="3">
        <v>150</v>
      </c>
      <c r="F24" s="3">
        <f>100+100+40</f>
        <v>240</v>
      </c>
      <c r="G24" s="6">
        <f>200+60+150-350+100</f>
        <v>160</v>
      </c>
      <c r="H24" s="6">
        <f>70+30+100+100</f>
        <v>300</v>
      </c>
      <c r="I24" s="6">
        <f>150+100</f>
        <v>250</v>
      </c>
      <c r="J24" s="6">
        <f>50+100+100</f>
        <v>250</v>
      </c>
      <c r="K24" s="6">
        <f>300+50</f>
        <v>350</v>
      </c>
      <c r="L24" s="6">
        <f>30+125</f>
        <v>155</v>
      </c>
      <c r="M24" s="6">
        <f>250-100+100+50</f>
        <v>300</v>
      </c>
      <c r="N24" s="6">
        <f>250</f>
        <v>250</v>
      </c>
    </row>
    <row r="25" spans="1:16" ht="16.5" thickTop="1" thickBot="1" x14ac:dyDescent="0.3">
      <c r="A25" s="2" t="s">
        <v>9</v>
      </c>
      <c r="B25" s="3">
        <f t="shared" ref="B25:P25" si="5">SUM(B21:B24)</f>
        <v>450</v>
      </c>
      <c r="C25" s="3">
        <f t="shared" si="5"/>
        <v>280</v>
      </c>
      <c r="D25" s="3">
        <f t="shared" si="5"/>
        <v>550</v>
      </c>
      <c r="E25" s="3">
        <f t="shared" si="5"/>
        <v>500</v>
      </c>
      <c r="F25" s="3">
        <f t="shared" si="5"/>
        <v>490</v>
      </c>
      <c r="G25" s="3">
        <f t="shared" si="5"/>
        <v>610</v>
      </c>
      <c r="H25" s="3">
        <f t="shared" si="5"/>
        <v>800</v>
      </c>
      <c r="I25" s="3">
        <f t="shared" si="5"/>
        <v>550</v>
      </c>
      <c r="J25" s="3">
        <f t="shared" si="5"/>
        <v>550</v>
      </c>
      <c r="K25" s="3">
        <f t="shared" si="5"/>
        <v>450</v>
      </c>
      <c r="L25" s="3">
        <f t="shared" si="5"/>
        <v>275</v>
      </c>
      <c r="M25" s="3">
        <f t="shared" si="5"/>
        <v>400</v>
      </c>
      <c r="N25" s="3">
        <f t="shared" si="5"/>
        <v>250</v>
      </c>
      <c r="O25" s="3">
        <f t="shared" si="5"/>
        <v>0</v>
      </c>
      <c r="P25" s="3">
        <f t="shared" si="5"/>
        <v>0</v>
      </c>
    </row>
    <row r="26" spans="1:16" ht="15.75" thickTop="1" x14ac:dyDescent="0.25">
      <c r="J26" s="3"/>
      <c r="L26" s="3"/>
    </row>
    <row r="27" spans="1:16" x14ac:dyDescent="0.25">
      <c r="J27" s="3"/>
    </row>
    <row r="28" spans="1:16" ht="18.75" x14ac:dyDescent="0.4">
      <c r="A28" s="1" t="s">
        <v>15</v>
      </c>
      <c r="B28" s="1" t="s">
        <v>29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34</v>
      </c>
      <c r="L28" s="1" t="s">
        <v>35</v>
      </c>
      <c r="M28" s="1" t="s">
        <v>36</v>
      </c>
      <c r="N28" s="1" t="s">
        <v>37</v>
      </c>
      <c r="O28" s="1" t="s">
        <v>38</v>
      </c>
      <c r="P28" s="1" t="s">
        <v>39</v>
      </c>
    </row>
    <row r="29" spans="1:16" ht="15.75" thickBot="1" x14ac:dyDescent="0.3">
      <c r="A29" s="4" t="s">
        <v>16</v>
      </c>
      <c r="B29" s="5">
        <f t="shared" ref="B29:N29" si="6">B25/B17</f>
        <v>1.218356572356843</v>
      </c>
      <c r="C29" s="5">
        <f t="shared" si="6"/>
        <v>0.44664220768862661</v>
      </c>
      <c r="D29" s="5">
        <f t="shared" si="6"/>
        <v>1.3317191283292977</v>
      </c>
      <c r="E29" s="5">
        <f t="shared" si="6"/>
        <v>1.1668611435239207</v>
      </c>
      <c r="F29" s="5">
        <f t="shared" si="6"/>
        <v>1.290492494074269</v>
      </c>
      <c r="G29" s="5">
        <f t="shared" si="6"/>
        <v>1.4366462552991051</v>
      </c>
      <c r="H29" s="5">
        <f t="shared" si="6"/>
        <v>1.747487986020096</v>
      </c>
      <c r="I29" s="5">
        <f t="shared" si="6"/>
        <v>1.249715973642354</v>
      </c>
      <c r="J29" s="5">
        <f t="shared" si="6"/>
        <v>1.0018214936247725</v>
      </c>
      <c r="K29" s="5">
        <f t="shared" si="6"/>
        <v>0.71913703555733122</v>
      </c>
      <c r="L29" s="5">
        <f t="shared" si="6"/>
        <v>0.45090098214432112</v>
      </c>
      <c r="M29" s="5">
        <f t="shared" si="6"/>
        <v>1.3531799729364005</v>
      </c>
      <c r="N29" s="5">
        <f t="shared" si="6"/>
        <v>6.25</v>
      </c>
      <c r="O29" s="5"/>
      <c r="P29" s="5"/>
    </row>
    <row r="30" spans="1:16" ht="16.5" thickTop="1" thickBot="1" x14ac:dyDescent="0.3">
      <c r="A30" s="2" t="s">
        <v>17</v>
      </c>
      <c r="B30" s="5">
        <f t="shared" ref="B30:N30" si="7">B25/B3</f>
        <v>0.5625</v>
      </c>
      <c r="C30" s="5">
        <f t="shared" si="7"/>
        <v>0.21705426356589147</v>
      </c>
      <c r="D30" s="5">
        <f t="shared" si="7"/>
        <v>0.44897959183673469</v>
      </c>
      <c r="E30" s="5">
        <f t="shared" si="7"/>
        <v>0.67114093959731547</v>
      </c>
      <c r="F30" s="5">
        <f t="shared" si="7"/>
        <v>0.64052287581699341</v>
      </c>
      <c r="G30" s="5">
        <f t="shared" si="7"/>
        <v>0.55809698078682524</v>
      </c>
      <c r="H30" s="5">
        <f t="shared" si="7"/>
        <v>0.62992125984251968</v>
      </c>
      <c r="I30" s="5">
        <f t="shared" si="7"/>
        <v>0.62146892655367236</v>
      </c>
      <c r="J30" s="5">
        <f t="shared" si="7"/>
        <v>0.46413502109704641</v>
      </c>
      <c r="K30" s="5">
        <f t="shared" si="7"/>
        <v>0.38626609442060084</v>
      </c>
      <c r="L30" s="5">
        <f t="shared" si="7"/>
        <v>0.49107142857142855</v>
      </c>
      <c r="M30" s="5">
        <f t="shared" si="7"/>
        <v>0.5</v>
      </c>
      <c r="N30" s="5">
        <f t="shared" si="7"/>
        <v>0.625</v>
      </c>
      <c r="O30" s="3"/>
      <c r="P30" s="3"/>
    </row>
    <row r="31" spans="1:16" ht="16.5" thickTop="1" thickBot="1" x14ac:dyDescent="0.3">
      <c r="A31" s="2" t="s">
        <v>18</v>
      </c>
      <c r="B31" s="5">
        <f t="shared" ref="B31:N31" si="8">B3/B17</f>
        <v>2.1659672397454988</v>
      </c>
      <c r="C31" s="5">
        <f t="shared" si="8"/>
        <v>2.0577444568511725</v>
      </c>
      <c r="D31" s="5">
        <f t="shared" si="8"/>
        <v>2.9661016949152543</v>
      </c>
      <c r="E31" s="5">
        <f t="shared" si="8"/>
        <v>1.7386231038506417</v>
      </c>
      <c r="F31" s="5">
        <f t="shared" si="8"/>
        <v>2.0147484856465629</v>
      </c>
      <c r="G31" s="5">
        <f t="shared" si="8"/>
        <v>2.5741874705605272</v>
      </c>
      <c r="H31" s="5">
        <f t="shared" si="8"/>
        <v>2.7741371778069026</v>
      </c>
      <c r="I31" s="5">
        <f t="shared" si="8"/>
        <v>2.0109066121336059</v>
      </c>
      <c r="J31" s="5">
        <f t="shared" si="8"/>
        <v>2.1584699453551917</v>
      </c>
      <c r="K31" s="5">
        <f t="shared" si="8"/>
        <v>1.8617658809428685</v>
      </c>
      <c r="L31" s="5">
        <f t="shared" si="8"/>
        <v>0.91819836363934482</v>
      </c>
      <c r="M31" s="5">
        <f t="shared" si="8"/>
        <v>2.7063599458728009</v>
      </c>
      <c r="N31" s="5">
        <f t="shared" si="8"/>
        <v>10</v>
      </c>
      <c r="O31" s="3"/>
      <c r="P31" s="3"/>
    </row>
    <row r="32" spans="1:16" ht="15.75" thickTop="1" x14ac:dyDescent="0.25">
      <c r="A32" s="5"/>
      <c r="B32" s="3"/>
      <c r="C32" s="3"/>
      <c r="D32" s="3"/>
    </row>
  </sheetData>
  <phoneticPr fontId="4" type="noConversion"/>
  <conditionalFormatting sqref="B31:N31">
    <cfRule type="cellIs" dxfId="9" priority="2" operator="lessThanOrEqual">
      <formula>1</formula>
    </cfRule>
    <cfRule type="cellIs" dxfId="8" priority="3" operator="greaterThan">
      <formula>1</formula>
    </cfRule>
  </conditionalFormatting>
  <conditionalFormatting sqref="B4:P4"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B17:P17">
    <cfRule type="cellIs" dxfId="5" priority="1" operator="lessThanOrEqual">
      <formula>200</formula>
    </cfRule>
    <cfRule type="cellIs" dxfId="4" priority="14" operator="greaterThan">
      <formula>200</formula>
    </cfRule>
  </conditionalFormatting>
  <conditionalFormatting sqref="B25:P25">
    <cfRule type="cellIs" dxfId="3" priority="10" operator="lessThan">
      <formula>150</formula>
    </cfRule>
    <cfRule type="cellIs" dxfId="2" priority="11" operator="greaterThanOrEqual">
      <formula>150</formula>
    </cfRule>
  </conditionalFormatting>
  <conditionalFormatting sqref="O31:P31 B29:P30">
    <cfRule type="cellIs" dxfId="1" priority="4" operator="lessThan">
      <formula>0.5</formula>
    </cfRule>
    <cfRule type="cellIs" dxfId="0" priority="5" operator="greaterThanOrEqual">
      <formula>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BA6-59CA-43FA-947C-C4DC6C55F2EF}">
  <dimension ref="A1"/>
  <sheetViews>
    <sheetView zoomScale="84" zoomScaleNormal="84" workbookViewId="0">
      <selection activeCell="AP88" sqref="AP88"/>
    </sheetView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Papathanasioy</dc:creator>
  <cp:lastModifiedBy>Andreas Papathanasioy</cp:lastModifiedBy>
  <dcterms:created xsi:type="dcterms:W3CDTF">2024-10-25T20:29:43Z</dcterms:created>
  <dcterms:modified xsi:type="dcterms:W3CDTF">2025-10-01T08:50:52Z</dcterms:modified>
</cp:coreProperties>
</file>