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-120" yWindow="-120" windowWidth="29040" windowHeight="15840" activeTab="1"/>
  </bookViews>
  <sheets>
    <sheet name="Lineal" sheetId="1" r:id="rId1"/>
    <sheet name="No Lineal" sheetId="2" r:id="rId2"/>
  </sheets>
  <definedNames>
    <definedName name="solver_adj" localSheetId="1" hidden="1">'No Lineal'!$G$5:$G$7</definedName>
    <definedName name="solver_cvg" localSheetId="1" hidden="1">0.0000000001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'No Lineal'!$D$20</definedName>
    <definedName name="solver_pre" localSheetId="1" hidden="1">0.000000001</definedName>
    <definedName name="solver_rbv" localSheetId="1" hidden="1">1</definedName>
    <definedName name="solver_rlx" localSheetId="1" hidden="1">2</definedName>
    <definedName name="solver_rsd" localSheetId="1" hidden="1">100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1000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5" i="1"/>
  <c r="D5" i="2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5" i="2"/>
  <c r="J20" i="1"/>
  <c r="J21" i="1"/>
  <c r="C10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5" i="1"/>
  <c r="I5" i="1" s="1" a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  <c r="D20" i="2" l="1"/>
  <c r="C18" i="1"/>
  <c r="C14" i="1"/>
  <c r="C7" i="1"/>
  <c r="C5" i="1"/>
  <c r="C16" i="1"/>
  <c r="C12" i="1"/>
  <c r="C8" i="1"/>
  <c r="C17" i="1"/>
  <c r="C13" i="1"/>
  <c r="C9" i="1"/>
  <c r="C19" i="1"/>
  <c r="C15" i="1"/>
  <c r="C11" i="1"/>
  <c r="C6" i="1"/>
  <c r="I5" i="1"/>
  <c r="J14" i="1" s="1"/>
  <c r="J12" i="1"/>
  <c r="J16" i="1"/>
  <c r="J13" i="1"/>
  <c r="J19" i="1" l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<sst xmlns="http://schemas.openxmlformats.org/spreadsheetml/2006/main" count="28" uniqueCount="19">
  <si>
    <t>T (ºF)</t>
  </si>
  <si>
    <t>P (psia)</t>
  </si>
  <si>
    <t>Cálculo de los coeficientes de Antoine mediante regresión lineal</t>
  </si>
  <si>
    <t>y=log(P)</t>
  </si>
  <si>
    <t>x1=1/T</t>
  </si>
  <si>
    <t>x2=log(P)/T</t>
  </si>
  <si>
    <t>Estimación Lineal</t>
  </si>
  <si>
    <t>a0</t>
  </si>
  <si>
    <t>a1</t>
  </si>
  <si>
    <t>a2</t>
  </si>
  <si>
    <t>R²</t>
  </si>
  <si>
    <t>A</t>
  </si>
  <si>
    <t>B</t>
  </si>
  <si>
    <t>C</t>
  </si>
  <si>
    <t>Coeficientes de Antoine</t>
  </si>
  <si>
    <t>Pcalc (psia)</t>
  </si>
  <si>
    <t>SumaErrores²</t>
  </si>
  <si>
    <t>Error²</t>
  </si>
  <si>
    <t>Cálculo de los coeficientes de Antoine mediante regresión no lineal (mínimos cuadrados)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</si>
</sst>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73" formatCode="0.00000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3" fontId="0" fillId="0" borderId="0" xfId="0" applyNumberFormat="1"/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16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Lineal!$B$4</c:f>
              <c:strCache>
                <c:ptCount val="1"/>
                <c:pt idx="0">
                  <c:v>P (psia)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Lineal!$A$5:$A$19</c:f>
              <c:numCache>
                <c:formatCode>General</c:formatCode>
                <c:ptCount val="15"/>
                <c:pt idx="0">
                  <c:v>65.44</c:v>
                </c:pt>
                <c:pt idx="1">
                  <c:v>73.78</c:v>
                </c:pt>
                <c:pt idx="2">
                  <c:v>82.11</c:v>
                </c:pt>
                <c:pt idx="3">
                  <c:v>90.45</c:v>
                </c:pt>
                <c:pt idx="4">
                  <c:v>98.78</c:v>
                </c:pt>
                <c:pt idx="5">
                  <c:v>107.12</c:v>
                </c:pt>
                <c:pt idx="6">
                  <c:v>115.46</c:v>
                </c:pt>
                <c:pt idx="7">
                  <c:v>123.79</c:v>
                </c:pt>
                <c:pt idx="8">
                  <c:v>132.13</c:v>
                </c:pt>
                <c:pt idx="9">
                  <c:v>140.46</c:v>
                </c:pt>
                <c:pt idx="10">
                  <c:v>148.80000000000001</c:v>
                </c:pt>
                <c:pt idx="11">
                  <c:v>157.13</c:v>
                </c:pt>
                <c:pt idx="12">
                  <c:v>165.47</c:v>
                </c:pt>
                <c:pt idx="13">
                  <c:v>173.8</c:v>
                </c:pt>
                <c:pt idx="14">
                  <c:v>182.14</c:v>
                </c:pt>
              </c:numCache>
            </c:numRef>
          </c:cat>
          <c:val>
            <c:numRef>
              <c:f>Lineal!$B$5:$B$19</c:f>
              <c:numCache>
                <c:formatCode>General</c:formatCode>
                <c:ptCount val="15"/>
                <c:pt idx="0">
                  <c:v>41.17</c:v>
                </c:pt>
                <c:pt idx="1">
                  <c:v>47.32</c:v>
                </c:pt>
                <c:pt idx="2">
                  <c:v>54.15</c:v>
                </c:pt>
                <c:pt idx="3" formatCode="0.00">
                  <c:v>61.7</c:v>
                </c:pt>
                <c:pt idx="4">
                  <c:v>70.02</c:v>
                </c:pt>
                <c:pt idx="5">
                  <c:v>79.150000000000006</c:v>
                </c:pt>
                <c:pt idx="6">
                  <c:v>89.14</c:v>
                </c:pt>
                <c:pt idx="7">
                  <c:v>100.03</c:v>
                </c:pt>
                <c:pt idx="8">
                  <c:v>111.87</c:v>
                </c:pt>
                <c:pt idx="9">
                  <c:v>124.7</c:v>
                </c:pt>
                <c:pt idx="10">
                  <c:v>138.58000000000001</c:v>
                </c:pt>
                <c:pt idx="11">
                  <c:v>153.54</c:v>
                </c:pt>
                <c:pt idx="12">
                  <c:v>169.64</c:v>
                </c:pt>
                <c:pt idx="13">
                  <c:v>186.9</c:v>
                </c:pt>
                <c:pt idx="14">
                  <c:v>205.39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C1F-4876-ACAC-47D227EFAB6F}"/>
            </c:ext>
          </c:extLst>
        </c:ser>
        <c:ser>
          <c:idx val="0"/>
          <c:order val="1"/>
          <c:tx>
            <c:strRef>
              <c:f>Lineal!$C$4</c:f>
              <c:strCache>
                <c:ptCount val="1"/>
                <c:pt idx="0">
                  <c:v>Pcalc (psia)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Lineal!$C$5:$C$19</c:f>
              <c:numCache>
                <c:formatCode>0.00</c:formatCode>
                <c:ptCount val="15"/>
                <c:pt idx="0">
                  <c:v>41.167119732970285</c:v>
                </c:pt>
                <c:pt idx="1">
                  <c:v>47.324706879433457</c:v>
                </c:pt>
                <c:pt idx="2">
                  <c:v>54.150042835945001</c:v>
                </c:pt>
                <c:pt idx="3">
                  <c:v>61.704512006786111</c:v>
                </c:pt>
                <c:pt idx="4">
                  <c:v>70.015408727534634</c:v>
                </c:pt>
                <c:pt idx="5">
                  <c:v>79.14851748196844</c:v>
                </c:pt>
                <c:pt idx="6">
                  <c:v>89.140416859036819</c:v>
                </c:pt>
                <c:pt idx="7">
                  <c:v>100.0236446539038</c:v>
                </c:pt>
                <c:pt idx="8">
                  <c:v>111.87039637064007</c:v>
                </c:pt>
                <c:pt idx="9">
                  <c:v>124.69807729827042</c:v>
                </c:pt>
                <c:pt idx="10">
                  <c:v>138.58307752798302</c:v>
                </c:pt>
                <c:pt idx="11">
                  <c:v>153.53720809060331</c:v>
                </c:pt>
                <c:pt idx="12">
                  <c:v>169.64103511528199</c:v>
                </c:pt>
                <c:pt idx="13">
                  <c:v>186.8999112227674</c:v>
                </c:pt>
                <c:pt idx="14">
                  <c:v>205.39859963592528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C1F-4876-ACAC-47D227EFA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204224"/>
        <c:axId val="259206528"/>
      </c:lineChart>
      <c:catAx>
        <c:axId val="25920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 (ºF)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9206528"/>
        <c:crosses val="autoZero"/>
        <c:auto val="1"/>
        <c:lblAlgn val="ctr"/>
        <c:lblOffset val="100"/>
        <c:noMultiLvlLbl val="0"/>
      </c:catAx>
      <c:valAx>
        <c:axId val="25920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 (psia)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920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Lineal'!$B$4</c:f>
              <c:strCache>
                <c:ptCount val="1"/>
                <c:pt idx="0">
                  <c:v>P (psia)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'No Lineal'!$A$5:$A$19</c:f>
              <c:numCache>
                <c:formatCode>General</c:formatCode>
                <c:ptCount val="15"/>
                <c:pt idx="0">
                  <c:v>65.44</c:v>
                </c:pt>
                <c:pt idx="1">
                  <c:v>73.78</c:v>
                </c:pt>
                <c:pt idx="2">
                  <c:v>82.11</c:v>
                </c:pt>
                <c:pt idx="3">
                  <c:v>90.45</c:v>
                </c:pt>
                <c:pt idx="4">
                  <c:v>98.78</c:v>
                </c:pt>
                <c:pt idx="5">
                  <c:v>107.12</c:v>
                </c:pt>
                <c:pt idx="6">
                  <c:v>115.46</c:v>
                </c:pt>
                <c:pt idx="7">
                  <c:v>123.79</c:v>
                </c:pt>
                <c:pt idx="8">
                  <c:v>132.13</c:v>
                </c:pt>
                <c:pt idx="9">
                  <c:v>140.46</c:v>
                </c:pt>
                <c:pt idx="10">
                  <c:v>148.80000000000001</c:v>
                </c:pt>
                <c:pt idx="11">
                  <c:v>157.13</c:v>
                </c:pt>
                <c:pt idx="12">
                  <c:v>165.47</c:v>
                </c:pt>
                <c:pt idx="13">
                  <c:v>173.8</c:v>
                </c:pt>
                <c:pt idx="14">
                  <c:v>182.14</c:v>
                </c:pt>
              </c:numCache>
            </c:numRef>
          </c:cat>
          <c:val>
            <c:numRef>
              <c:f>'No Lineal'!$B$5:$B$19</c:f>
              <c:numCache>
                <c:formatCode>General</c:formatCode>
                <c:ptCount val="15"/>
                <c:pt idx="0">
                  <c:v>41.17</c:v>
                </c:pt>
                <c:pt idx="1">
                  <c:v>47.32</c:v>
                </c:pt>
                <c:pt idx="2">
                  <c:v>54.15</c:v>
                </c:pt>
                <c:pt idx="3">
                  <c:v>61.7</c:v>
                </c:pt>
                <c:pt idx="4">
                  <c:v>70.02</c:v>
                </c:pt>
                <c:pt idx="5">
                  <c:v>79.150000000000006</c:v>
                </c:pt>
                <c:pt idx="6">
                  <c:v>89.14</c:v>
                </c:pt>
                <c:pt idx="7">
                  <c:v>100.03</c:v>
                </c:pt>
                <c:pt idx="8">
                  <c:v>111.87</c:v>
                </c:pt>
                <c:pt idx="9">
                  <c:v>124.7</c:v>
                </c:pt>
                <c:pt idx="10">
                  <c:v>138.58000000000001</c:v>
                </c:pt>
                <c:pt idx="11">
                  <c:v>153.54</c:v>
                </c:pt>
                <c:pt idx="12">
                  <c:v>169.64</c:v>
                </c:pt>
                <c:pt idx="13">
                  <c:v>186.9</c:v>
                </c:pt>
                <c:pt idx="14">
                  <c:v>205.39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4C-4BB2-8901-552FC714E67A}"/>
            </c:ext>
          </c:extLst>
        </c:ser>
        <c:ser>
          <c:idx val="1"/>
          <c:order val="1"/>
          <c:tx>
            <c:strRef>
              <c:f>'No Lineal'!$C$4</c:f>
              <c:strCache>
                <c:ptCount val="1"/>
                <c:pt idx="0">
                  <c:v>Pcalc (psia)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'No Lineal'!$C$5:$C$19</c:f>
              <c:numCache>
                <c:formatCode>0.00</c:formatCode>
                <c:ptCount val="15"/>
                <c:pt idx="0">
                  <c:v>40.797029212813399</c:v>
                </c:pt>
                <c:pt idx="1">
                  <c:v>47.115343939871593</c:v>
                </c:pt>
                <c:pt idx="2">
                  <c:v>54.104838382353876</c:v>
                </c:pt>
                <c:pt idx="3">
                  <c:v>61.819891040708427</c:v>
                </c:pt>
                <c:pt idx="4">
                  <c:v>70.27876174998373</c:v>
                </c:pt>
                <c:pt idx="5">
                  <c:v>79.537660279979377</c:v>
                </c:pt>
                <c:pt idx="6">
                  <c:v>89.621778478344751</c:v>
                </c:pt>
                <c:pt idx="7">
                  <c:v>100.55119019579141</c:v>
                </c:pt>
                <c:pt idx="8">
                  <c:v>112.38456202767844</c:v>
                </c:pt>
                <c:pt idx="9">
                  <c:v>125.1245422044823</c:v>
                </c:pt>
                <c:pt idx="10">
                  <c:v>138.83137011077699</c:v>
                </c:pt>
                <c:pt idx="11">
                  <c:v>153.50029640955694</c:v>
                </c:pt>
                <c:pt idx="12">
                  <c:v>169.19317151021824</c:v>
                </c:pt>
                <c:pt idx="13">
                  <c:v>185.89738033750703</c:v>
                </c:pt>
                <c:pt idx="14">
                  <c:v>203.67648587591572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4C-4BB2-8901-552FC714E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244992"/>
        <c:axId val="260251648"/>
      </c:lineChart>
      <c:catAx>
        <c:axId val="26024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 (ºF)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251648"/>
        <c:crosses val="autoZero"/>
        <c:auto val="1"/>
        <c:lblAlgn val="ctr"/>
        <c:lblOffset val="100"/>
        <c:noMultiLvlLbl val="0"/>
      </c:catAx>
      <c:valAx>
        <c:axId val="2602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</a:t>
                </a:r>
                <a:r>
                  <a:rPr lang="es-ES" baseline="0"/>
                  <a:t> (psia)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2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295274</xdr:colOff>
      <xdr:row>3</xdr:row>
      <xdr:rowOff>23812</xdr:rowOff>
    </xdr:from>
    <xdr:to>
      <xdr:col>17</xdr:col>
      <xdr:colOff>761999</xdr:colOff>
      <xdr:row>21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E294C08E-BD99-433A-A6BC-14C87B232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166686</xdr:colOff>
      <xdr:row>3</xdr:row>
      <xdr:rowOff>14287</xdr:rowOff>
    </xdr:from>
    <xdr:to>
      <xdr:col>13</xdr:col>
      <xdr:colOff>723899</xdr:colOff>
      <xdr:row>19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7FB8107B-61D7-4BC3-BCD1-006666237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20" sqref="E20"/>
    </sheetView>
  </sheetViews>
  <sheetFormatPr baseColWidth="10" defaultRowHeight="15" x14ac:dyDescent="0.25"/>
  <cols>
    <col min="1" max="1" width="9" customWidth="1"/>
    <col min="2" max="2" width="12" bestFit="1" customWidth="1"/>
    <col min="3" max="3" width="12.85546875" bestFit="1" customWidth="1"/>
    <col min="4" max="4" width="14.7109375" customWidth="1"/>
    <col min="8" max="8" width="5.42578125" customWidth="1"/>
  </cols>
  <sheetData>
    <row r="1" spans="1:11" x14ac:dyDescent="0.25">
      <c r="A1" s="2" t="s">
        <v>2</v>
      </c>
    </row>
    <row r="3" spans="1:11" x14ac:dyDescent="0.25">
      <c r="E3" s="17"/>
      <c r="F3" s="17"/>
      <c r="G3" s="17"/>
    </row>
    <row r="4" spans="1:11" x14ac:dyDescent="0.25">
      <c r="A4" s="1" t="s">
        <v>0</v>
      </c>
      <c r="B4" s="19" t="s">
        <v>1</v>
      </c>
      <c r="C4" s="13" t="s">
        <v>15</v>
      </c>
      <c r="D4" s="21" t="s">
        <v>17</v>
      </c>
      <c r="E4" s="4" t="s">
        <v>3</v>
      </c>
      <c r="F4" s="4" t="s">
        <v>4</v>
      </c>
      <c r="G4" s="4" t="s">
        <v>5</v>
      </c>
      <c r="I4" s="16" t="s">
        <v>6</v>
      </c>
      <c r="J4" s="16"/>
      <c r="K4" s="16"/>
    </row>
    <row r="5" spans="1:11" x14ac:dyDescent="0.25">
      <c r="A5" s="3">
        <v>65.44</v>
      </c>
      <c r="B5" s="3">
        <v>41.17</v>
      </c>
      <c r="C5" s="12">
        <f>10^($J$19-$J$20/(A5+$J$21))</f>
        <v>41.167119732970285</v>
      </c>
      <c r="D5" s="22">
        <f>(-LOG10(B5)+$J$19-$J$20/(A5+$J$21))^2</f>
        <v>9.2321484476742973E-10</v>
      </c>
      <c r="E5" s="5">
        <f>LOG10(B5)</f>
        <v>1.6145808669974862</v>
      </c>
      <c r="F5" s="5">
        <f>1/A5</f>
        <v>1.528117359413203E-2</v>
      </c>
      <c r="G5" s="5">
        <f>LOG10(B5)/A5</f>
        <v>2.4672690510352785E-2</v>
      </c>
      <c r="I5" s="7" cm="1">
        <f t="array" ref="I5:K9">LINEST(E5:E19,F5:G19,TRUE,TRUE)</f>
        <v>-433.7311813470248</v>
      </c>
      <c r="J5" s="7">
        <v>459.20877238783436</v>
      </c>
      <c r="K5" s="7">
        <v>5.2984153320515004</v>
      </c>
    </row>
    <row r="6" spans="1:11" x14ac:dyDescent="0.25">
      <c r="A6" s="3">
        <v>73.78</v>
      </c>
      <c r="B6" s="3">
        <v>47.32</v>
      </c>
      <c r="C6" s="12">
        <f t="shared" ref="C6:C19" si="0">10^($J$19-$J$20/(A6+$J$21))</f>
        <v>47.324706879433457</v>
      </c>
      <c r="D6" s="22">
        <f t="shared" ref="D6:D19" si="1">(-LOG10(B6)+$J$19-$J$20/(A6+$J$21))^2</f>
        <v>1.8659590200805813E-9</v>
      </c>
      <c r="E6" s="5">
        <f t="shared" ref="E6:E19" si="2">LOG10(B6)</f>
        <v>1.6750447359558929</v>
      </c>
      <c r="F6" s="5">
        <f t="shared" ref="F6:F19" si="3">1/A6</f>
        <v>1.3553808620222282E-2</v>
      </c>
      <c r="G6" s="5">
        <f t="shared" ref="G6:G19" si="4">LOG10(B6)/A6</f>
        <v>2.2703235781456936E-2</v>
      </c>
      <c r="I6" s="6">
        <v>0.31995346462252255</v>
      </c>
      <c r="J6" s="6">
        <v>0.39229440712032732</v>
      </c>
      <c r="K6" s="6">
        <v>1.9723216942403418E-3</v>
      </c>
    </row>
    <row r="7" spans="1:11" x14ac:dyDescent="0.25">
      <c r="A7" s="3">
        <v>82.11</v>
      </c>
      <c r="B7" s="3">
        <v>54.15</v>
      </c>
      <c r="C7" s="12">
        <f t="shared" si="0"/>
        <v>54.150042835945001</v>
      </c>
      <c r="D7" s="22">
        <f t="shared" si="1"/>
        <v>1.1802881900414781E-13</v>
      </c>
      <c r="E7" s="5">
        <f t="shared" si="2"/>
        <v>1.7335984609613391</v>
      </c>
      <c r="F7" s="5">
        <f t="shared" si="3"/>
        <v>1.2178784557301181E-2</v>
      </c>
      <c r="G7" s="5">
        <f t="shared" si="4"/>
        <v>2.111312216491705E-2</v>
      </c>
      <c r="I7" s="7">
        <v>0.99999967750072505</v>
      </c>
      <c r="J7" s="6">
        <v>1.3651989596433171E-4</v>
      </c>
      <c r="K7" s="6" t="e">
        <v>#N/A</v>
      </c>
    </row>
    <row r="8" spans="1:11" x14ac:dyDescent="0.25">
      <c r="A8" s="3">
        <v>90.45</v>
      </c>
      <c r="B8" s="12">
        <v>61.7</v>
      </c>
      <c r="C8" s="12">
        <f t="shared" si="0"/>
        <v>61.704512006786111</v>
      </c>
      <c r="D8" s="22">
        <f t="shared" si="1"/>
        <v>1.0085699506998334E-9</v>
      </c>
      <c r="E8" s="5">
        <f t="shared" si="2"/>
        <v>1.7902851640332418</v>
      </c>
      <c r="F8" s="5">
        <f t="shared" si="3"/>
        <v>1.1055831951354339E-2</v>
      </c>
      <c r="G8" s="5">
        <f t="shared" si="4"/>
        <v>1.979309191855436E-2</v>
      </c>
      <c r="I8" s="6">
        <v>18604686.987579059</v>
      </c>
      <c r="J8" s="6">
        <v>12</v>
      </c>
      <c r="K8" s="6" t="e">
        <v>#N/A</v>
      </c>
    </row>
    <row r="9" spans="1:11" x14ac:dyDescent="0.25">
      <c r="A9" s="3">
        <v>98.78</v>
      </c>
      <c r="B9" s="3">
        <v>70.02</v>
      </c>
      <c r="C9" s="12">
        <f t="shared" si="0"/>
        <v>70.015408727534634</v>
      </c>
      <c r="D9" s="22">
        <f t="shared" si="1"/>
        <v>8.1099657548350499E-10</v>
      </c>
      <c r="E9" s="5">
        <f t="shared" si="2"/>
        <v>1.8452221064290137</v>
      </c>
      <c r="F9" s="5">
        <f t="shared" si="3"/>
        <v>1.0123506782749545E-2</v>
      </c>
      <c r="G9" s="5">
        <f t="shared" si="4"/>
        <v>1.8680118510113523E-2</v>
      </c>
      <c r="I9" s="6">
        <v>0.69349647934898251</v>
      </c>
      <c r="J9" s="6">
        <v>2.2365218392934345E-7</v>
      </c>
      <c r="K9" s="6" t="e">
        <v>#N/A</v>
      </c>
    </row>
    <row r="10" spans="1:11" x14ac:dyDescent="0.25">
      <c r="A10" s="3">
        <v>107.12</v>
      </c>
      <c r="B10" s="3">
        <v>79.150000000000006</v>
      </c>
      <c r="C10" s="12">
        <f t="shared" si="0"/>
        <v>79.14851748196844</v>
      </c>
      <c r="D10" s="22">
        <f t="shared" si="1"/>
        <v>6.6172095435699064E-11</v>
      </c>
      <c r="E10" s="5">
        <f t="shared" si="2"/>
        <v>1.8984509191983747</v>
      </c>
      <c r="F10" s="5">
        <f t="shared" si="3"/>
        <v>9.3353248693054513E-3</v>
      </c>
      <c r="G10" s="5">
        <f t="shared" si="4"/>
        <v>1.7722656079148382E-2</v>
      </c>
    </row>
    <row r="11" spans="1:11" x14ac:dyDescent="0.25">
      <c r="A11" s="3">
        <v>115.46</v>
      </c>
      <c r="B11" s="3">
        <v>89.14</v>
      </c>
      <c r="C11" s="12">
        <f t="shared" si="0"/>
        <v>89.140416859036819</v>
      </c>
      <c r="D11" s="22">
        <f t="shared" si="1"/>
        <v>4.1247703479569013E-12</v>
      </c>
      <c r="E11" s="5">
        <f t="shared" si="2"/>
        <v>1.9500726297501576</v>
      </c>
      <c r="F11" s="5">
        <f t="shared" si="3"/>
        <v>8.6610081413476536E-3</v>
      </c>
      <c r="G11" s="5">
        <f t="shared" si="4"/>
        <v>1.6889594922485342E-2</v>
      </c>
    </row>
    <row r="12" spans="1:11" x14ac:dyDescent="0.25">
      <c r="A12" s="11">
        <v>123.79</v>
      </c>
      <c r="B12" s="11">
        <v>100.03</v>
      </c>
      <c r="C12" s="12">
        <f t="shared" si="0"/>
        <v>100.0236446539038</v>
      </c>
      <c r="D12" s="22">
        <f t="shared" si="1"/>
        <v>7.6140213561596539E-10</v>
      </c>
      <c r="E12" s="5">
        <f t="shared" si="2"/>
        <v>2.0001302688052269</v>
      </c>
      <c r="F12" s="5">
        <f t="shared" si="3"/>
        <v>8.0781969464415546E-3</v>
      </c>
      <c r="G12" s="5">
        <f t="shared" si="4"/>
        <v>1.6157446229947709E-2</v>
      </c>
      <c r="I12" s="8" t="s">
        <v>7</v>
      </c>
      <c r="J12">
        <f>K5</f>
        <v>5.2984153320515004</v>
      </c>
    </row>
    <row r="13" spans="1:11" x14ac:dyDescent="0.25">
      <c r="A13" s="3">
        <v>132.13</v>
      </c>
      <c r="B13" s="3">
        <v>111.87</v>
      </c>
      <c r="C13" s="12">
        <f t="shared" si="0"/>
        <v>111.87039637064007</v>
      </c>
      <c r="D13" s="22">
        <f t="shared" si="1"/>
        <v>2.3677877178564362E-12</v>
      </c>
      <c r="E13" s="5">
        <f t="shared" si="2"/>
        <v>2.0487136380809696</v>
      </c>
      <c r="F13" s="5">
        <f t="shared" si="3"/>
        <v>7.5683039430863549E-3</v>
      </c>
      <c r="G13" s="5">
        <f t="shared" si="4"/>
        <v>1.5505287505342993E-2</v>
      </c>
      <c r="I13" s="8" t="s">
        <v>8</v>
      </c>
      <c r="J13">
        <f>J5</f>
        <v>459.20877238783436</v>
      </c>
    </row>
    <row r="14" spans="1:11" x14ac:dyDescent="0.25">
      <c r="A14" s="3">
        <v>140.46</v>
      </c>
      <c r="B14" s="3">
        <v>124.7</v>
      </c>
      <c r="C14" s="12">
        <f t="shared" si="0"/>
        <v>124.69807729827042</v>
      </c>
      <c r="D14" s="22">
        <f t="shared" si="1"/>
        <v>4.4840066281111576E-11</v>
      </c>
      <c r="E14" s="5">
        <f t="shared" si="2"/>
        <v>2.0958664534785427</v>
      </c>
      <c r="F14" s="5">
        <f t="shared" si="3"/>
        <v>7.1194646162608564E-3</v>
      </c>
      <c r="G14" s="5">
        <f t="shared" si="4"/>
        <v>1.4921447055948616E-2</v>
      </c>
      <c r="I14" s="8" t="s">
        <v>9</v>
      </c>
      <c r="J14">
        <f>I5</f>
        <v>-433.7311813470248</v>
      </c>
    </row>
    <row r="15" spans="1:11" x14ac:dyDescent="0.25">
      <c r="A15" s="3">
        <v>148.80000000000001</v>
      </c>
      <c r="B15" s="3">
        <v>138.58000000000001</v>
      </c>
      <c r="C15" s="12">
        <f t="shared" si="0"/>
        <v>138.58307752798302</v>
      </c>
      <c r="D15" s="22">
        <f t="shared" si="1"/>
        <v>9.3016905039668347E-11</v>
      </c>
      <c r="E15" s="5">
        <f t="shared" si="2"/>
        <v>2.1417005569973901</v>
      </c>
      <c r="F15" s="5">
        <f t="shared" si="3"/>
        <v>6.720430107526881E-3</v>
      </c>
      <c r="G15" s="5">
        <f t="shared" si="4"/>
        <v>1.4393148904552353E-2</v>
      </c>
      <c r="I15" s="8"/>
    </row>
    <row r="16" spans="1:11" x14ac:dyDescent="0.25">
      <c r="A16" s="3">
        <v>157.13</v>
      </c>
      <c r="B16" s="3">
        <v>153.54</v>
      </c>
      <c r="C16" s="12">
        <f t="shared" si="0"/>
        <v>153.53720809060331</v>
      </c>
      <c r="D16" s="22">
        <f t="shared" si="1"/>
        <v>6.2364305168089707E-11</v>
      </c>
      <c r="E16" s="5">
        <f t="shared" si="2"/>
        <v>2.1862215362708293</v>
      </c>
      <c r="F16" s="5">
        <f t="shared" si="3"/>
        <v>6.3641570673964231E-3</v>
      </c>
      <c r="G16" s="5">
        <f t="shared" si="4"/>
        <v>1.3913457240952264E-2</v>
      </c>
      <c r="I16" s="8" t="s">
        <v>10</v>
      </c>
      <c r="J16">
        <f>I7</f>
        <v>0.99999967750072505</v>
      </c>
    </row>
    <row r="17" spans="1:10" x14ac:dyDescent="0.25">
      <c r="A17" s="3">
        <v>165.47</v>
      </c>
      <c r="B17" s="3">
        <v>169.64</v>
      </c>
      <c r="C17" s="12">
        <f t="shared" si="0"/>
        <v>169.64103511528199</v>
      </c>
      <c r="D17" s="22">
        <f t="shared" si="1"/>
        <v>7.0224213798612442E-12</v>
      </c>
      <c r="E17" s="5">
        <f t="shared" si="2"/>
        <v>2.2295282637876719</v>
      </c>
      <c r="F17" s="5">
        <f t="shared" si="3"/>
        <v>6.0433915513386114E-3</v>
      </c>
      <c r="G17" s="5">
        <f t="shared" si="4"/>
        <v>1.3473912272845058E-2</v>
      </c>
    </row>
    <row r="18" spans="1:10" x14ac:dyDescent="0.25">
      <c r="A18" s="3">
        <v>173.8</v>
      </c>
      <c r="B18" s="3">
        <v>186.9</v>
      </c>
      <c r="C18" s="12">
        <f t="shared" si="0"/>
        <v>186.8999112227674</v>
      </c>
      <c r="D18" s="22">
        <f t="shared" si="1"/>
        <v>4.2555277986885309E-14</v>
      </c>
      <c r="E18" s="5">
        <f t="shared" si="2"/>
        <v>2.2716093013788319</v>
      </c>
      <c r="F18" s="5">
        <f t="shared" si="3"/>
        <v>5.7537399309551202E-3</v>
      </c>
      <c r="G18" s="5">
        <f t="shared" si="4"/>
        <v>1.307024914487245E-2</v>
      </c>
      <c r="I18" s="18" t="s">
        <v>14</v>
      </c>
      <c r="J18" s="18"/>
    </row>
    <row r="19" spans="1:10" x14ac:dyDescent="0.25">
      <c r="A19" s="3">
        <v>182.14</v>
      </c>
      <c r="B19" s="3">
        <v>205.39</v>
      </c>
      <c r="C19" s="12">
        <f t="shared" si="0"/>
        <v>205.39859963592528</v>
      </c>
      <c r="D19" s="22">
        <f t="shared" si="1"/>
        <v>3.3063740208361348E-10</v>
      </c>
      <c r="E19" s="5">
        <f t="shared" si="2"/>
        <v>2.3125792949061394</v>
      </c>
      <c r="F19" s="5">
        <f t="shared" si="3"/>
        <v>5.4902822005051064E-3</v>
      </c>
      <c r="G19" s="5">
        <f t="shared" si="4"/>
        <v>1.2696712940079827E-2</v>
      </c>
      <c r="I19" s="10" t="s">
        <v>11</v>
      </c>
      <c r="J19" s="6">
        <f>J12</f>
        <v>5.2984153320515004</v>
      </c>
    </row>
    <row r="20" spans="1:10" x14ac:dyDescent="0.25">
      <c r="C20" s="23" t="s">
        <v>16</v>
      </c>
      <c r="D20" s="22">
        <f>SUM(D5:D19)</f>
        <v>5.980848864198162E-9</v>
      </c>
      <c r="I20" s="10" t="s">
        <v>12</v>
      </c>
      <c r="J20" s="6">
        <f>J12*-J14-J13</f>
        <v>1838.8791688500514</v>
      </c>
    </row>
    <row r="21" spans="1:10" x14ac:dyDescent="0.25">
      <c r="I21" s="10" t="s">
        <v>13</v>
      </c>
      <c r="J21" s="6">
        <f>-1*J14</f>
        <v>433.7311813470248</v>
      </c>
    </row>
  </sheetData>
  <mergeCells count="3">
    <mergeCell ref="I4:K4"/>
    <mergeCell ref="E3:G3"/>
    <mergeCell ref="I18:J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2" sqref="F22"/>
    </sheetView>
  </sheetViews>
  <sheetFormatPr baseColWidth="10" defaultRowHeight="15" x14ac:dyDescent="0.25"/>
  <cols>
    <col min="1" max="1" width="9.28515625" customWidth="1"/>
    <col min="2" max="2" width="9.42578125" customWidth="1"/>
    <col min="3" max="3" width="12.85546875" bestFit="1" customWidth="1"/>
    <col min="4" max="4" width="14.5703125" customWidth="1"/>
    <col min="5" max="5" width="5.42578125" customWidth="1"/>
  </cols>
  <sheetData>
    <row r="1" spans="1:7" x14ac:dyDescent="0.25">
      <c r="A1" s="2" t="s">
        <v>18</v>
      </c>
    </row>
    <row r="4" spans="1:7" x14ac:dyDescent="0.25">
      <c r="A4" s="1" t="s">
        <v>0</v>
      </c>
      <c r="B4" s="19" t="s">
        <v>1</v>
      </c>
      <c r="C4" s="14" t="s">
        <v>15</v>
      </c>
      <c r="D4" s="9" t="s">
        <v>17</v>
      </c>
      <c r="F4" s="18" t="s">
        <v>14</v>
      </c>
      <c r="G4" s="18"/>
    </row>
    <row r="5" spans="1:7" x14ac:dyDescent="0.25">
      <c r="A5" s="3">
        <v>65.44</v>
      </c>
      <c r="B5" s="3">
        <v>41.17</v>
      </c>
      <c r="C5" s="15">
        <f>10^($G$5-$G$6/(A5+$G$7))</f>
        <v>40.797029212813399</v>
      </c>
      <c r="D5" s="24">
        <f>(-LOG10(B5)+($G$5-$G$6/(A5+$G$7)))^2</f>
        <v>1.5620892839002668E-5</v>
      </c>
      <c r="E5" s="20"/>
      <c r="F5" s="10" t="s">
        <v>11</v>
      </c>
      <c r="G5" s="5">
        <v>4.8213547689348832</v>
      </c>
    </row>
    <row r="6" spans="1:7" x14ac:dyDescent="0.25">
      <c r="A6" s="3">
        <v>73.78</v>
      </c>
      <c r="B6" s="3">
        <v>47.32</v>
      </c>
      <c r="C6" s="15">
        <f t="shared" ref="C6:C19" si="0">10^($G$5-$G$6/(A6+$G$7))</f>
        <v>47.115343939871593</v>
      </c>
      <c r="D6" s="24">
        <f t="shared" ref="D6:D19" si="1">(-LOG10(B6)+($G$5-$G$6/(A6+$G$7)))^2</f>
        <v>3.5433174197689003E-6</v>
      </c>
      <c r="E6" s="20"/>
      <c r="F6" s="10" t="s">
        <v>12</v>
      </c>
      <c r="G6" s="5">
        <v>1348.0797655970491</v>
      </c>
    </row>
    <row r="7" spans="1:7" x14ac:dyDescent="0.25">
      <c r="A7" s="3">
        <v>82.11</v>
      </c>
      <c r="B7" s="3">
        <v>54.15</v>
      </c>
      <c r="C7" s="15">
        <f t="shared" si="0"/>
        <v>54.104838382353876</v>
      </c>
      <c r="D7" s="24">
        <f t="shared" si="1"/>
        <v>1.3130250493263973E-7</v>
      </c>
      <c r="E7" s="20"/>
      <c r="F7" s="10" t="s">
        <v>13</v>
      </c>
      <c r="G7" s="5">
        <v>354.42755308755966</v>
      </c>
    </row>
    <row r="8" spans="1:7" x14ac:dyDescent="0.25">
      <c r="A8" s="3">
        <v>90.45</v>
      </c>
      <c r="B8" s="3">
        <v>61.7</v>
      </c>
      <c r="C8" s="15">
        <f t="shared" si="0"/>
        <v>61.819891040708427</v>
      </c>
      <c r="D8" s="24">
        <f t="shared" si="1"/>
        <v>7.1076911321198854E-7</v>
      </c>
      <c r="E8" s="20"/>
    </row>
    <row r="9" spans="1:7" x14ac:dyDescent="0.25">
      <c r="A9" s="3">
        <v>98.78</v>
      </c>
      <c r="B9" s="3">
        <v>70.02</v>
      </c>
      <c r="C9" s="15">
        <f t="shared" si="0"/>
        <v>70.27876174998373</v>
      </c>
      <c r="D9" s="24">
        <f t="shared" si="1"/>
        <v>2.5663866169481524E-6</v>
      </c>
      <c r="E9" s="20"/>
    </row>
    <row r="10" spans="1:7" x14ac:dyDescent="0.25">
      <c r="A10" s="3">
        <v>107.12</v>
      </c>
      <c r="B10" s="3">
        <v>79.150000000000006</v>
      </c>
      <c r="C10" s="15">
        <f t="shared" si="0"/>
        <v>79.537660279979377</v>
      </c>
      <c r="D10" s="24">
        <f t="shared" si="1"/>
        <v>4.5024265656017203E-6</v>
      </c>
      <c r="E10" s="20"/>
    </row>
    <row r="11" spans="1:7" x14ac:dyDescent="0.25">
      <c r="A11" s="3">
        <v>115.46</v>
      </c>
      <c r="B11" s="3">
        <v>89.14</v>
      </c>
      <c r="C11" s="15">
        <f t="shared" si="0"/>
        <v>89.621778478344751</v>
      </c>
      <c r="D11" s="24">
        <f t="shared" si="1"/>
        <v>5.4799446843500276E-6</v>
      </c>
      <c r="E11" s="20"/>
    </row>
    <row r="12" spans="1:7" x14ac:dyDescent="0.25">
      <c r="A12" s="11">
        <v>123.79</v>
      </c>
      <c r="B12" s="11">
        <v>100.03</v>
      </c>
      <c r="C12" s="15">
        <f t="shared" si="0"/>
        <v>100.55119019579141</v>
      </c>
      <c r="D12" s="24">
        <f t="shared" si="1"/>
        <v>5.0938087587708449E-6</v>
      </c>
      <c r="E12" s="20"/>
    </row>
    <row r="13" spans="1:7" x14ac:dyDescent="0.25">
      <c r="A13" s="3">
        <v>132.13</v>
      </c>
      <c r="B13" s="3">
        <v>111.87</v>
      </c>
      <c r="C13" s="15">
        <f t="shared" si="0"/>
        <v>112.38456202767844</v>
      </c>
      <c r="D13" s="24">
        <f t="shared" si="1"/>
        <v>3.9721261537501857E-6</v>
      </c>
      <c r="E13" s="20"/>
    </row>
    <row r="14" spans="1:7" x14ac:dyDescent="0.25">
      <c r="A14" s="3">
        <v>140.46</v>
      </c>
      <c r="B14" s="3">
        <v>124.7</v>
      </c>
      <c r="C14" s="15">
        <f t="shared" si="0"/>
        <v>125.1245422044823</v>
      </c>
      <c r="D14" s="24">
        <f t="shared" si="1"/>
        <v>2.1787178469228908E-6</v>
      </c>
      <c r="E14" s="20"/>
    </row>
    <row r="15" spans="1:7" x14ac:dyDescent="0.25">
      <c r="A15" s="3">
        <v>148.80000000000001</v>
      </c>
      <c r="B15" s="3">
        <v>138.58000000000001</v>
      </c>
      <c r="C15" s="15">
        <f t="shared" si="0"/>
        <v>138.83137011077699</v>
      </c>
      <c r="D15" s="24">
        <f t="shared" si="1"/>
        <v>6.1945192960709939E-7</v>
      </c>
      <c r="E15" s="20"/>
    </row>
    <row r="16" spans="1:7" x14ac:dyDescent="0.25">
      <c r="A16" s="3">
        <v>157.13</v>
      </c>
      <c r="B16" s="3">
        <v>153.54</v>
      </c>
      <c r="C16" s="15">
        <f t="shared" si="0"/>
        <v>153.50029640955694</v>
      </c>
      <c r="D16" s="24">
        <f t="shared" si="1"/>
        <v>1.2615295564632294E-8</v>
      </c>
      <c r="E16" s="20"/>
    </row>
    <row r="17" spans="1:5" x14ac:dyDescent="0.25">
      <c r="A17" s="3">
        <v>165.47</v>
      </c>
      <c r="B17" s="3">
        <v>169.64</v>
      </c>
      <c r="C17" s="15">
        <f t="shared" si="0"/>
        <v>169.19317151021824</v>
      </c>
      <c r="D17" s="24">
        <f t="shared" si="1"/>
        <v>1.3120155660344313E-6</v>
      </c>
      <c r="E17" s="20"/>
    </row>
    <row r="18" spans="1:5" x14ac:dyDescent="0.25">
      <c r="A18" s="3">
        <v>173.8</v>
      </c>
      <c r="B18" s="3">
        <v>186.9</v>
      </c>
      <c r="C18" s="15">
        <f t="shared" si="0"/>
        <v>185.89738033750703</v>
      </c>
      <c r="D18" s="24">
        <f t="shared" si="1"/>
        <v>5.4570437937850542E-6</v>
      </c>
      <c r="E18" s="20"/>
    </row>
    <row r="19" spans="1:5" x14ac:dyDescent="0.25">
      <c r="A19" s="3">
        <v>182.14</v>
      </c>
      <c r="B19" s="3">
        <v>205.39</v>
      </c>
      <c r="C19" s="15">
        <f t="shared" si="0"/>
        <v>203.67648587591572</v>
      </c>
      <c r="D19" s="24">
        <f t="shared" si="1"/>
        <v>1.3237966307329132E-5</v>
      </c>
      <c r="E19" s="20"/>
    </row>
    <row r="20" spans="1:5" x14ac:dyDescent="0.25">
      <c r="C20" s="23" t="s">
        <v>16</v>
      </c>
      <c r="D20" s="22">
        <f>SUM(D5:D19)</f>
        <v>6.4438785395580381E-5</v>
      </c>
      <c r="E20" s="20"/>
    </row>
  </sheetData>
  <mergeCells count="1">
    <mergeCell ref="F4:G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Lineal</vt:lpstr>
      <vt:lpstr>No Lineal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2021-06-23T23:07:21Z</dcterms:created>
  <dcterms:modified xsi:type="dcterms:W3CDTF">2021-06-23T23:25:53Z</dcterms:modified>
</cp:coreProperties>
</file>