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EstaPastaDeTrabalho" defaultThemeVersion="124226"/>
  <xr:revisionPtr revIDLastSave="0" documentId="13_ncr:1_{BDF86D52-A2A6-40E1-B64B-0A0F563BBAA6}" xr6:coauthVersionLast="47" xr6:coauthVersionMax="47" xr10:uidLastSave="{00000000-0000-0000-0000-000000000000}"/>
  <bookViews>
    <workbookView xWindow="-120" yWindow="-120" windowWidth="20730" windowHeight="11760" tabRatio="999" firstSheet="25" activeTab="25" xr2:uid="{00000000-000D-0000-FFFF-FFFF00000000}"/>
  </bookViews>
  <sheets>
    <sheet name="Maio" sheetId="1" r:id="rId1"/>
    <sheet name="Julho-2012 " sheetId="27" r:id="rId2"/>
    <sheet name="Dezembro-2012" sheetId="36" r:id="rId3"/>
    <sheet name="Janeiro-2013" sheetId="38" r:id="rId4"/>
    <sheet name="Fevereiro-2013" sheetId="40" r:id="rId5"/>
    <sheet name="Março-2013" sheetId="42" r:id="rId6"/>
    <sheet name="TD-TF-BU-Maio-2013" sheetId="47" r:id="rId7"/>
    <sheet name="Dezembro-2013" sheetId="60" r:id="rId8"/>
    <sheet name="Janeiro-2014" sheetId="62" r:id="rId9"/>
    <sheet name="Fevereiro-2014" sheetId="64" r:id="rId10"/>
    <sheet name="Março-2014" sheetId="66" r:id="rId11"/>
    <sheet name="Maio-2014" sheetId="70" r:id="rId12"/>
    <sheet name="Dezembro-2014" sheetId="84" r:id="rId13"/>
    <sheet name="Janeiro-2015" sheetId="86" r:id="rId14"/>
    <sheet name="Fevereiro-2015" sheetId="88" r:id="rId15"/>
    <sheet name="Março-2015 " sheetId="90" r:id="rId16"/>
    <sheet name="TD-TF-BU-Maio-2015" sheetId="95" r:id="rId17"/>
    <sheet name="Dezembro-2015 " sheetId="108" r:id="rId18"/>
    <sheet name="Janeiro-2016" sheetId="110" r:id="rId19"/>
    <sheet name="Fevereiro-2016" sheetId="112" r:id="rId20"/>
    <sheet name="Marco-2016 " sheetId="114" r:id="rId21"/>
    <sheet name="Dezembro-2016" sheetId="134" r:id="rId22"/>
    <sheet name="Janeiro-2017" sheetId="137" r:id="rId23"/>
    <sheet name="Fevereiro-2017" sheetId="142" r:id="rId24"/>
    <sheet name="Março-2017" sheetId="140" r:id="rId25"/>
    <sheet name="Setembro-2017" sheetId="159" r:id="rId26"/>
    <sheet name="TD-TF-BU-Setembro-2017" sheetId="160" r:id="rId27"/>
    <sheet name="Outubro-2017" sheetId="161" r:id="rId28"/>
    <sheet name="TD-TF-BU-Outubro-2017" sheetId="162" r:id="rId29"/>
    <sheet name="Novembro-2017" sheetId="163" r:id="rId30"/>
    <sheet name="TD-TF-BU-Novembro-2017" sheetId="164" r:id="rId31"/>
    <sheet name="Dezembro-2017" sheetId="165" r:id="rId32"/>
    <sheet name="TD-TF-BU-Dezembro-2017" sheetId="166" r:id="rId33"/>
    <sheet name="Janeiro-2018" sheetId="167" r:id="rId34"/>
    <sheet name="TD-TF-BU-Janeiro-2018" sheetId="168" r:id="rId35"/>
    <sheet name="Fevereiro-2018" sheetId="169" r:id="rId36"/>
    <sheet name="TD-TF-BU-Fevereiro-2018" sheetId="170" r:id="rId37"/>
    <sheet name="Março-2018 " sheetId="171" r:id="rId38"/>
    <sheet name="Abril-2018" sheetId="173" r:id="rId39"/>
    <sheet name="Junho-2024" sheetId="282" r:id="rId40"/>
    <sheet name="Agosto-2024" sheetId="284" r:id="rId41"/>
    <sheet name="Setembro-2024" sheetId="285" r:id="rId42"/>
  </sheets>
  <definedNames>
    <definedName name="_xlnm.Print_Area" localSheetId="38">'Abril-2018'!$A$2:$L$30</definedName>
    <definedName name="_xlnm.Print_Area" localSheetId="40">'Agosto-2024'!$A$1:$N$26</definedName>
    <definedName name="_xlnm.Print_Area" localSheetId="2">'Dezembro-2012'!$A$1:$L$23</definedName>
    <definedName name="_xlnm.Print_Area" localSheetId="7">'Dezembro-2013'!$A$1:$L$22</definedName>
    <definedName name="_xlnm.Print_Area" localSheetId="12">'Dezembro-2014'!$A$1:$L$22</definedName>
    <definedName name="_xlnm.Print_Area" localSheetId="17">'Dezembro-2015 '!$A$1:$L$21</definedName>
    <definedName name="_xlnm.Print_Area" localSheetId="21">'Dezembro-2016'!$A$2:$L$25</definedName>
    <definedName name="_xlnm.Print_Area" localSheetId="31">'Dezembro-2017'!$A$2:$L$24</definedName>
    <definedName name="_xlnm.Print_Area" localSheetId="4">'Fevereiro-2013'!$A$1:$L$24</definedName>
    <definedName name="_xlnm.Print_Area" localSheetId="9">'Fevereiro-2014'!$A$1:$L$24</definedName>
    <definedName name="_xlnm.Print_Area" localSheetId="14">'Fevereiro-2015'!$A$1:$L$24</definedName>
    <definedName name="_xlnm.Print_Area" localSheetId="19">'Fevereiro-2016'!$A$1:$L$25</definedName>
    <definedName name="_xlnm.Print_Area" localSheetId="23">'Fevereiro-2017'!$A$2:$L$25</definedName>
    <definedName name="_xlnm.Print_Area" localSheetId="35">'Fevereiro-2018'!$A$2:$L$29</definedName>
    <definedName name="_xlnm.Print_Area" localSheetId="3">'Janeiro-2013'!$A$1:$L$26</definedName>
    <definedName name="_xlnm.Print_Area" localSheetId="8">'Janeiro-2014'!$A$1:$L$25</definedName>
    <definedName name="_xlnm.Print_Area" localSheetId="13">'Janeiro-2015'!$A$1:$L$25</definedName>
    <definedName name="_xlnm.Print_Area" localSheetId="18">'Janeiro-2016'!$A$1:$L$24</definedName>
    <definedName name="_xlnm.Print_Area" localSheetId="22">'Janeiro-2017'!$A$2:$L$27</definedName>
    <definedName name="_xlnm.Print_Area" localSheetId="33">'Janeiro-2018'!$A$2:$L$31</definedName>
    <definedName name="_xlnm.Print_Area" localSheetId="1">'Julho-2012 '!$A$1:$L$28</definedName>
    <definedName name="_xlnm.Print_Area" localSheetId="39">'Junho-2024'!$A$1:$N$28</definedName>
    <definedName name="_xlnm.Print_Area" localSheetId="11">'Maio-2014'!$A$1:$L$25</definedName>
    <definedName name="_xlnm.Print_Area" localSheetId="5">'Março-2013'!$A$1:$L$24</definedName>
    <definedName name="_xlnm.Print_Area" localSheetId="10">'Março-2014'!$A$1:$L$25</definedName>
    <definedName name="_xlnm.Print_Area" localSheetId="15">'Março-2015 '!$A$1:$L$26</definedName>
    <definedName name="_xlnm.Print_Area" localSheetId="20">'Marco-2016 '!$A$1:$L$26</definedName>
    <definedName name="_xlnm.Print_Area" localSheetId="24">'Março-2017'!$A$2:$L$28</definedName>
    <definedName name="_xlnm.Print_Area" localSheetId="37">'Março-2018 '!$A$2:$L$31</definedName>
    <definedName name="_xlnm.Print_Area" localSheetId="29">'Novembro-2017'!$A$2:$L$28</definedName>
    <definedName name="_xlnm.Print_Area" localSheetId="27">'Outubro-2017'!$A$2:$L$29</definedName>
    <definedName name="_xlnm.Print_Area" localSheetId="25">'Setembro-2017'!$A$2:$L$30</definedName>
    <definedName name="_xlnm.Print_Area" localSheetId="41">'Setembro-2024'!$A$1:$N$28</definedName>
    <definedName name="_xlnm.Print_Area" localSheetId="6">'TD-TF-BU-Maio-2013'!$A$1:$CD$38</definedName>
    <definedName name="_xlnm.Print_Area" localSheetId="16">'TD-TF-BU-Maio-2015'!$A$1:$CD$38</definedName>
    <definedName name="Z_8CCF584C_33B2_457C_9038_DAA45D1E098E_.wvu.PrintArea" localSheetId="38" hidden="1">'Abril-2018'!$A$2:$L$30</definedName>
    <definedName name="Z_8CCF584C_33B2_457C_9038_DAA45D1E098E_.wvu.PrintArea" localSheetId="40" hidden="1">'Agosto-2024'!$A$2:$M$26</definedName>
    <definedName name="Z_8CCF584C_33B2_457C_9038_DAA45D1E098E_.wvu.PrintArea" localSheetId="21" hidden="1">'Dezembro-2016'!$A$2:$L$25</definedName>
    <definedName name="Z_8CCF584C_33B2_457C_9038_DAA45D1E098E_.wvu.PrintArea" localSheetId="31" hidden="1">'Dezembro-2017'!$A$2:$L$24</definedName>
    <definedName name="Z_8CCF584C_33B2_457C_9038_DAA45D1E098E_.wvu.PrintArea" localSheetId="23" hidden="1">'Fevereiro-2017'!$A$2:$L$25</definedName>
    <definedName name="Z_8CCF584C_33B2_457C_9038_DAA45D1E098E_.wvu.PrintArea" localSheetId="35" hidden="1">'Fevereiro-2018'!$A$2:$L$29</definedName>
    <definedName name="Z_8CCF584C_33B2_457C_9038_DAA45D1E098E_.wvu.PrintArea" localSheetId="22" hidden="1">'Janeiro-2017'!$A$2:$L$27</definedName>
    <definedName name="Z_8CCF584C_33B2_457C_9038_DAA45D1E098E_.wvu.PrintArea" localSheetId="33" hidden="1">'Janeiro-2018'!$A$2:$L$31</definedName>
    <definedName name="Z_8CCF584C_33B2_457C_9038_DAA45D1E098E_.wvu.PrintArea" localSheetId="39" hidden="1">'Junho-2024'!$A$2:$M$28</definedName>
    <definedName name="Z_8CCF584C_33B2_457C_9038_DAA45D1E098E_.wvu.PrintArea" localSheetId="24" hidden="1">'Março-2017'!$A$2:$L$28</definedName>
    <definedName name="Z_8CCF584C_33B2_457C_9038_DAA45D1E098E_.wvu.PrintArea" localSheetId="37" hidden="1">'Março-2018 '!$A$2:$L$31</definedName>
    <definedName name="Z_8CCF584C_33B2_457C_9038_DAA45D1E098E_.wvu.PrintArea" localSheetId="29" hidden="1">'Novembro-2017'!$A$2:$L$28</definedName>
    <definedName name="Z_8CCF584C_33B2_457C_9038_DAA45D1E098E_.wvu.PrintArea" localSheetId="27" hidden="1">'Outubro-2017'!$A$2:$L$29</definedName>
    <definedName name="Z_8CCF584C_33B2_457C_9038_DAA45D1E098E_.wvu.PrintArea" localSheetId="25" hidden="1">'Setembro-2017'!$A$2:$L$30</definedName>
    <definedName name="Z_8CCF584C_33B2_457C_9038_DAA45D1E098E_.wvu.PrintArea" localSheetId="41" hidden="1">'Setembro-2024'!$A$2:$M$28</definedName>
    <definedName name="Z_F0432EFA_6F82_43D8_A126_B7D5FEAF2940_.wvu.PrintArea" localSheetId="38" hidden="1">'Abril-2018'!$A$2:$L$30</definedName>
    <definedName name="Z_F0432EFA_6F82_43D8_A126_B7D5FEAF2940_.wvu.PrintArea" localSheetId="40" hidden="1">'Agosto-2024'!$A$2:$M$26</definedName>
    <definedName name="Z_F0432EFA_6F82_43D8_A126_B7D5FEAF2940_.wvu.PrintArea" localSheetId="21" hidden="1">'Dezembro-2016'!$A$2:$L$25</definedName>
    <definedName name="Z_F0432EFA_6F82_43D8_A126_B7D5FEAF2940_.wvu.PrintArea" localSheetId="31" hidden="1">'Dezembro-2017'!$A$2:$L$24</definedName>
    <definedName name="Z_F0432EFA_6F82_43D8_A126_B7D5FEAF2940_.wvu.PrintArea" localSheetId="23" hidden="1">'Fevereiro-2017'!$A$2:$L$25</definedName>
    <definedName name="Z_F0432EFA_6F82_43D8_A126_B7D5FEAF2940_.wvu.PrintArea" localSheetId="35" hidden="1">'Fevereiro-2018'!$A$2:$L$29</definedName>
    <definedName name="Z_F0432EFA_6F82_43D8_A126_B7D5FEAF2940_.wvu.PrintArea" localSheetId="22" hidden="1">'Janeiro-2017'!$A$2:$L$27</definedName>
    <definedName name="Z_F0432EFA_6F82_43D8_A126_B7D5FEAF2940_.wvu.PrintArea" localSheetId="33" hidden="1">'Janeiro-2018'!$A$2:$L$31</definedName>
    <definedName name="Z_F0432EFA_6F82_43D8_A126_B7D5FEAF2940_.wvu.PrintArea" localSheetId="39" hidden="1">'Junho-2024'!$A$2:$M$28</definedName>
    <definedName name="Z_F0432EFA_6F82_43D8_A126_B7D5FEAF2940_.wvu.PrintArea" localSheetId="24" hidden="1">'Março-2017'!$A$2:$L$28</definedName>
    <definedName name="Z_F0432EFA_6F82_43D8_A126_B7D5FEAF2940_.wvu.PrintArea" localSheetId="37" hidden="1">'Março-2018 '!$A$2:$L$31</definedName>
    <definedName name="Z_F0432EFA_6F82_43D8_A126_B7D5FEAF2940_.wvu.PrintArea" localSheetId="29" hidden="1">'Novembro-2017'!$A$2:$L$28</definedName>
    <definedName name="Z_F0432EFA_6F82_43D8_A126_B7D5FEAF2940_.wvu.PrintArea" localSheetId="27" hidden="1">'Outubro-2017'!$A$2:$L$29</definedName>
    <definedName name="Z_F0432EFA_6F82_43D8_A126_B7D5FEAF2940_.wvu.PrintArea" localSheetId="25" hidden="1">'Setembro-2017'!$A$2:$L$30</definedName>
    <definedName name="Z_F0432EFA_6F82_43D8_A126_B7D5FEAF2940_.wvu.PrintArea" localSheetId="41" hidden="1">'Setembro-2024'!$A$2:$M$28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85" l="1"/>
  <c r="M26" i="285" s="1"/>
  <c r="C29" i="285"/>
  <c r="F11" i="285" s="1"/>
  <c r="I29" i="285"/>
  <c r="O28" i="285"/>
  <c r="L28" i="285"/>
  <c r="K28" i="285"/>
  <c r="E28" i="285"/>
  <c r="O27" i="285"/>
  <c r="L27" i="285"/>
  <c r="K27" i="285"/>
  <c r="E27" i="285"/>
  <c r="O26" i="285"/>
  <c r="L26" i="285"/>
  <c r="K26" i="285"/>
  <c r="E26" i="285"/>
  <c r="O25" i="285"/>
  <c r="L25" i="285"/>
  <c r="K25" i="285"/>
  <c r="E25" i="285"/>
  <c r="O24" i="285"/>
  <c r="L24" i="285"/>
  <c r="K24" i="285"/>
  <c r="E24" i="285"/>
  <c r="O23" i="285"/>
  <c r="L23" i="285"/>
  <c r="K23" i="285"/>
  <c r="E23" i="285"/>
  <c r="O22" i="285"/>
  <c r="L22" i="285"/>
  <c r="K22" i="285"/>
  <c r="E22" i="285"/>
  <c r="O21" i="285"/>
  <c r="L21" i="285"/>
  <c r="K21" i="285"/>
  <c r="E21" i="285"/>
  <c r="O20" i="285"/>
  <c r="L20" i="285"/>
  <c r="K20" i="285"/>
  <c r="E20" i="285"/>
  <c r="O19" i="285"/>
  <c r="L19" i="285"/>
  <c r="K19" i="285"/>
  <c r="E19" i="285"/>
  <c r="O18" i="285"/>
  <c r="L18" i="285"/>
  <c r="M30" i="285" s="1"/>
  <c r="K18" i="285"/>
  <c r="E18" i="285"/>
  <c r="F30" i="285" s="1"/>
  <c r="L17" i="285"/>
  <c r="K17" i="285"/>
  <c r="E17" i="285"/>
  <c r="L16" i="285"/>
  <c r="K16" i="285"/>
  <c r="E16" i="285"/>
  <c r="O15" i="285"/>
  <c r="L15" i="285"/>
  <c r="K15" i="285"/>
  <c r="E15" i="285"/>
  <c r="L14" i="285"/>
  <c r="K14" i="285"/>
  <c r="E14" i="285"/>
  <c r="L13" i="285"/>
  <c r="K13" i="285"/>
  <c r="E13" i="285"/>
  <c r="L12" i="285"/>
  <c r="K12" i="285"/>
  <c r="E12" i="285"/>
  <c r="L11" i="285"/>
  <c r="K11" i="285"/>
  <c r="E11" i="285"/>
  <c r="L10" i="285"/>
  <c r="K10" i="285"/>
  <c r="E10" i="285"/>
  <c r="L9" i="285"/>
  <c r="K9" i="285"/>
  <c r="E9" i="285"/>
  <c r="L8" i="285"/>
  <c r="K8" i="285"/>
  <c r="E8" i="285"/>
  <c r="AG7" i="285"/>
  <c r="AD7" i="285"/>
  <c r="AA7" i="285"/>
  <c r="X7" i="285"/>
  <c r="U7" i="285"/>
  <c r="R7" i="285"/>
  <c r="L7" i="285"/>
  <c r="K7" i="285"/>
  <c r="E7" i="285"/>
  <c r="AG6" i="285"/>
  <c r="AD6" i="285"/>
  <c r="AA6" i="285"/>
  <c r="X6" i="285"/>
  <c r="U6" i="285"/>
  <c r="R6" i="285"/>
  <c r="L6" i="285"/>
  <c r="K6" i="285"/>
  <c r="E6" i="285"/>
  <c r="O5" i="285"/>
  <c r="M5" i="285"/>
  <c r="N11" i="285" s="1"/>
  <c r="L5" i="285"/>
  <c r="K5" i="285"/>
  <c r="F5" i="285"/>
  <c r="D13" i="285" s="1"/>
  <c r="E5" i="285"/>
  <c r="S2" i="285"/>
  <c r="S5" i="285" s="1"/>
  <c r="J32" i="284"/>
  <c r="M31" i="284" s="1"/>
  <c r="C32" i="284"/>
  <c r="F28" i="284" s="1"/>
  <c r="L31" i="284"/>
  <c r="M33" i="284" s="1"/>
  <c r="K31" i="284"/>
  <c r="E31" i="284"/>
  <c r="F33" i="284" s="1"/>
  <c r="L30" i="284"/>
  <c r="K30" i="284"/>
  <c r="E30" i="284"/>
  <c r="L29" i="284"/>
  <c r="K29" i="284"/>
  <c r="E29" i="284"/>
  <c r="L28" i="284"/>
  <c r="K28" i="284"/>
  <c r="E28" i="284"/>
  <c r="L27" i="284"/>
  <c r="K27" i="284"/>
  <c r="E27" i="284"/>
  <c r="L26" i="284"/>
  <c r="K26" i="284"/>
  <c r="E26" i="284"/>
  <c r="L25" i="284"/>
  <c r="K25" i="284"/>
  <c r="E25" i="284"/>
  <c r="L24" i="284"/>
  <c r="K24" i="284"/>
  <c r="E24" i="284"/>
  <c r="L23" i="284"/>
  <c r="K23" i="284"/>
  <c r="E23" i="284"/>
  <c r="L22" i="284"/>
  <c r="K22" i="284"/>
  <c r="E22" i="284"/>
  <c r="L21" i="284"/>
  <c r="K21" i="284"/>
  <c r="E21" i="284"/>
  <c r="L20" i="284"/>
  <c r="K20" i="284"/>
  <c r="E20" i="284"/>
  <c r="L19" i="284"/>
  <c r="K19" i="284"/>
  <c r="E19" i="284"/>
  <c r="L18" i="284"/>
  <c r="K18" i="284"/>
  <c r="E18" i="284"/>
  <c r="L17" i="284"/>
  <c r="K17" i="284"/>
  <c r="E17" i="284"/>
  <c r="L16" i="284"/>
  <c r="K16" i="284"/>
  <c r="E16" i="284"/>
  <c r="L15" i="284"/>
  <c r="K15" i="284"/>
  <c r="E15" i="284"/>
  <c r="L14" i="284"/>
  <c r="K14" i="284"/>
  <c r="E14" i="284"/>
  <c r="L13" i="284"/>
  <c r="K13" i="284"/>
  <c r="E13" i="284"/>
  <c r="L12" i="284"/>
  <c r="K12" i="284"/>
  <c r="E12" i="284"/>
  <c r="L11" i="284"/>
  <c r="K11" i="284"/>
  <c r="E11" i="284"/>
  <c r="L10" i="284"/>
  <c r="K10" i="284"/>
  <c r="E10" i="284"/>
  <c r="L9" i="284"/>
  <c r="K9" i="284"/>
  <c r="E9" i="284"/>
  <c r="L8" i="284"/>
  <c r="K8" i="284"/>
  <c r="E8" i="284"/>
  <c r="AF7" i="284"/>
  <c r="AC7" i="284"/>
  <c r="Z7" i="284"/>
  <c r="W7" i="284"/>
  <c r="T7" i="284"/>
  <c r="Q7" i="284"/>
  <c r="L7" i="284"/>
  <c r="K7" i="284"/>
  <c r="E7" i="284"/>
  <c r="AF6" i="284"/>
  <c r="AC6" i="284"/>
  <c r="Z6" i="284"/>
  <c r="W6" i="284"/>
  <c r="T6" i="284"/>
  <c r="Q6" i="284"/>
  <c r="L6" i="284"/>
  <c r="K6" i="284"/>
  <c r="E6" i="284"/>
  <c r="M5" i="284"/>
  <c r="N29" i="284" s="1"/>
  <c r="L5" i="284"/>
  <c r="K5" i="284"/>
  <c r="F5" i="284"/>
  <c r="D31" i="284" s="1"/>
  <c r="E5" i="284"/>
  <c r="R2" i="284"/>
  <c r="R5" i="284" s="1"/>
  <c r="J29" i="282"/>
  <c r="D6" i="285" l="1"/>
  <c r="D10" i="285"/>
  <c r="D11" i="285"/>
  <c r="D12" i="285"/>
  <c r="F7" i="285"/>
  <c r="F17" i="285"/>
  <c r="F19" i="285"/>
  <c r="F25" i="285"/>
  <c r="F28" i="285"/>
  <c r="F13" i="285"/>
  <c r="F23" i="285"/>
  <c r="F10" i="285"/>
  <c r="F8" i="285"/>
  <c r="F21" i="285"/>
  <c r="F12" i="285"/>
  <c r="F14" i="285"/>
  <c r="F16" i="285"/>
  <c r="F6" i="285"/>
  <c r="F9" i="285"/>
  <c r="M11" i="285"/>
  <c r="M14" i="285"/>
  <c r="M18" i="285"/>
  <c r="M7" i="285"/>
  <c r="M9" i="285"/>
  <c r="M15" i="285"/>
  <c r="M6" i="285"/>
  <c r="M19" i="285"/>
  <c r="M22" i="285"/>
  <c r="M28" i="285"/>
  <c r="M10" i="285"/>
  <c r="M16" i="285"/>
  <c r="M25" i="285"/>
  <c r="M21" i="285"/>
  <c r="M24" i="285"/>
  <c r="M27" i="285"/>
  <c r="M12" i="285"/>
  <c r="M20" i="285"/>
  <c r="M13" i="285"/>
  <c r="M8" i="285"/>
  <c r="M17" i="285"/>
  <c r="M23" i="285"/>
  <c r="F15" i="285"/>
  <c r="F18" i="285"/>
  <c r="F20" i="285"/>
  <c r="F22" i="285"/>
  <c r="F24" i="285"/>
  <c r="F26" i="285"/>
  <c r="F27" i="285"/>
  <c r="V5" i="285"/>
  <c r="Y5" i="285" s="1"/>
  <c r="AB5" i="285" s="1"/>
  <c r="AE5" i="285" s="1"/>
  <c r="P5" i="285"/>
  <c r="N9" i="285"/>
  <c r="N22" i="285"/>
  <c r="N6" i="285"/>
  <c r="N10" i="285"/>
  <c r="N28" i="285"/>
  <c r="N17" i="285"/>
  <c r="N18" i="285"/>
  <c r="N26" i="285"/>
  <c r="D9" i="285"/>
  <c r="N15" i="285"/>
  <c r="N16" i="285"/>
  <c r="D18" i="285"/>
  <c r="D19" i="285"/>
  <c r="D20" i="285"/>
  <c r="D21" i="285"/>
  <c r="D22" i="285"/>
  <c r="D23" i="285"/>
  <c r="D24" i="285"/>
  <c r="D25" i="285"/>
  <c r="D26" i="285"/>
  <c r="D27" i="285"/>
  <c r="D28" i="285"/>
  <c r="N20" i="285"/>
  <c r="N25" i="285"/>
  <c r="D5" i="285"/>
  <c r="D8" i="285"/>
  <c r="N14" i="285"/>
  <c r="D17" i="285"/>
  <c r="N23" i="285"/>
  <c r="N5" i="285"/>
  <c r="N7" i="285"/>
  <c r="N13" i="285"/>
  <c r="D15" i="285"/>
  <c r="D16" i="285"/>
  <c r="N27" i="285"/>
  <c r="N12" i="285"/>
  <c r="D14" i="285"/>
  <c r="N19" i="285"/>
  <c r="N21" i="285"/>
  <c r="N24" i="285"/>
  <c r="N8" i="285"/>
  <c r="D7" i="285"/>
  <c r="F6" i="284"/>
  <c r="M18" i="284"/>
  <c r="M6" i="284"/>
  <c r="M10" i="284"/>
  <c r="F12" i="284"/>
  <c r="F14" i="284"/>
  <c r="F16" i="284"/>
  <c r="F17" i="284"/>
  <c r="F29" i="284"/>
  <c r="F30" i="284"/>
  <c r="F8" i="284"/>
  <c r="F9" i="284"/>
  <c r="F10" i="284"/>
  <c r="F11" i="284"/>
  <c r="F13" i="284"/>
  <c r="F15" i="284"/>
  <c r="F18" i="284"/>
  <c r="F7" i="284"/>
  <c r="F19" i="284"/>
  <c r="F20" i="284"/>
  <c r="F21" i="284"/>
  <c r="F22" i="284"/>
  <c r="F23" i="284"/>
  <c r="F24" i="284"/>
  <c r="F25" i="284"/>
  <c r="F26" i="284"/>
  <c r="F27" i="284"/>
  <c r="M23" i="284"/>
  <c r="M12" i="284"/>
  <c r="M20" i="284"/>
  <c r="M7" i="284"/>
  <c r="M9" i="284"/>
  <c r="M17" i="284"/>
  <c r="M25" i="284"/>
  <c r="M30" i="284"/>
  <c r="M28" i="284"/>
  <c r="M14" i="284"/>
  <c r="M22" i="284"/>
  <c r="M26" i="284"/>
  <c r="M15" i="284"/>
  <c r="M8" i="284"/>
  <c r="M16" i="284"/>
  <c r="M24" i="284"/>
  <c r="M29" i="284"/>
  <c r="M11" i="284"/>
  <c r="M19" i="284"/>
  <c r="M27" i="284"/>
  <c r="M13" i="284"/>
  <c r="M21" i="284"/>
  <c r="F31" i="284"/>
  <c r="O5" i="284"/>
  <c r="U5" i="284"/>
  <c r="X5" i="284" s="1"/>
  <c r="AA5" i="284" s="1"/>
  <c r="AD5" i="284" s="1"/>
  <c r="N12" i="284"/>
  <c r="D14" i="284"/>
  <c r="N20" i="284"/>
  <c r="D22" i="284"/>
  <c r="N28" i="284"/>
  <c r="D30" i="284"/>
  <c r="D7" i="284"/>
  <c r="N11" i="284"/>
  <c r="D13" i="284"/>
  <c r="N19" i="284"/>
  <c r="D21" i="284"/>
  <c r="N27" i="284"/>
  <c r="D29" i="284"/>
  <c r="N6" i="284"/>
  <c r="N10" i="284"/>
  <c r="D12" i="284"/>
  <c r="N18" i="284"/>
  <c r="D20" i="284"/>
  <c r="N26" i="284"/>
  <c r="D28" i="284"/>
  <c r="N9" i="284"/>
  <c r="D11" i="284"/>
  <c r="N17" i="284"/>
  <c r="D19" i="284"/>
  <c r="N25" i="284"/>
  <c r="D27" i="284"/>
  <c r="D6" i="284"/>
  <c r="N8" i="284"/>
  <c r="D10" i="284"/>
  <c r="N16" i="284"/>
  <c r="D18" i="284"/>
  <c r="N24" i="284"/>
  <c r="D26" i="284"/>
  <c r="N5" i="284"/>
  <c r="D9" i="284"/>
  <c r="N15" i="284"/>
  <c r="D17" i="284"/>
  <c r="N23" i="284"/>
  <c r="D25" i="284"/>
  <c r="N31" i="284"/>
  <c r="D8" i="284"/>
  <c r="N14" i="284"/>
  <c r="D16" i="284"/>
  <c r="N22" i="284"/>
  <c r="D24" i="284"/>
  <c r="N30" i="284"/>
  <c r="D5" i="284"/>
  <c r="N7" i="284"/>
  <c r="N13" i="284"/>
  <c r="D15" i="284"/>
  <c r="N21" i="284"/>
  <c r="D23" i="284"/>
  <c r="M16" i="282"/>
  <c r="I29" i="282"/>
  <c r="C29" i="282"/>
  <c r="F12" i="282" s="1"/>
  <c r="O28" i="282"/>
  <c r="L28" i="282"/>
  <c r="M30" i="282" s="1"/>
  <c r="K28" i="282"/>
  <c r="E28" i="282"/>
  <c r="F30" i="282" s="1"/>
  <c r="O27" i="282"/>
  <c r="M27" i="282"/>
  <c r="L27" i="282"/>
  <c r="K27" i="282"/>
  <c r="E27" i="282"/>
  <c r="O26" i="282"/>
  <c r="L26" i="282"/>
  <c r="K26" i="282"/>
  <c r="E26" i="282"/>
  <c r="O25" i="282"/>
  <c r="L25" i="282"/>
  <c r="K25" i="282"/>
  <c r="E25" i="282"/>
  <c r="O24" i="282"/>
  <c r="L24" i="282"/>
  <c r="K24" i="282"/>
  <c r="E24" i="282"/>
  <c r="O23" i="282"/>
  <c r="L23" i="282"/>
  <c r="K23" i="282"/>
  <c r="E23" i="282"/>
  <c r="O22" i="282"/>
  <c r="L22" i="282"/>
  <c r="K22" i="282"/>
  <c r="E22" i="282"/>
  <c r="O21" i="282"/>
  <c r="L21" i="282"/>
  <c r="K21" i="282"/>
  <c r="E21" i="282"/>
  <c r="O20" i="282"/>
  <c r="M20" i="282"/>
  <c r="L20" i="282"/>
  <c r="K20" i="282"/>
  <c r="E20" i="282"/>
  <c r="O19" i="282"/>
  <c r="L19" i="282"/>
  <c r="K19" i="282"/>
  <c r="E19" i="282"/>
  <c r="O18" i="282"/>
  <c r="L18" i="282"/>
  <c r="K18" i="282"/>
  <c r="E18" i="282"/>
  <c r="L17" i="282"/>
  <c r="K17" i="282"/>
  <c r="E17" i="282"/>
  <c r="L16" i="282"/>
  <c r="K16" i="282"/>
  <c r="E16" i="282"/>
  <c r="O15" i="282"/>
  <c r="L15" i="282"/>
  <c r="K15" i="282"/>
  <c r="E15" i="282"/>
  <c r="M14" i="282"/>
  <c r="L14" i="282"/>
  <c r="K14" i="282"/>
  <c r="E14" i="282"/>
  <c r="L13" i="282"/>
  <c r="K13" i="282"/>
  <c r="E13" i="282"/>
  <c r="L12" i="282"/>
  <c r="K12" i="282"/>
  <c r="E12" i="282"/>
  <c r="L11" i="282"/>
  <c r="K11" i="282"/>
  <c r="E11" i="282"/>
  <c r="L10" i="282"/>
  <c r="K10" i="282"/>
  <c r="E10" i="282"/>
  <c r="L9" i="282"/>
  <c r="K9" i="282"/>
  <c r="E9" i="282"/>
  <c r="L8" i="282"/>
  <c r="K8" i="282"/>
  <c r="E8" i="282"/>
  <c r="AG7" i="282"/>
  <c r="AD7" i="282"/>
  <c r="AA7" i="282"/>
  <c r="X7" i="282"/>
  <c r="U7" i="282"/>
  <c r="R7" i="282"/>
  <c r="L7" i="282"/>
  <c r="K7" i="282"/>
  <c r="E7" i="282"/>
  <c r="AG6" i="282"/>
  <c r="AD6" i="282"/>
  <c r="AA6" i="282"/>
  <c r="X6" i="282"/>
  <c r="U6" i="282"/>
  <c r="R6" i="282"/>
  <c r="L6" i="282"/>
  <c r="K6" i="282"/>
  <c r="E6" i="282"/>
  <c r="O5" i="282"/>
  <c r="M5" i="282"/>
  <c r="N16" i="282" s="1"/>
  <c r="L5" i="282"/>
  <c r="K5" i="282"/>
  <c r="F5" i="282"/>
  <c r="D10" i="282" s="1"/>
  <c r="E5" i="282"/>
  <c r="S2" i="282"/>
  <c r="S5" i="282" s="1"/>
  <c r="N6" i="282" l="1"/>
  <c r="N14" i="282"/>
  <c r="D17" i="282"/>
  <c r="D19" i="282"/>
  <c r="D23" i="282"/>
  <c r="M22" i="282"/>
  <c r="M24" i="282"/>
  <c r="D16" i="282"/>
  <c r="F6" i="282"/>
  <c r="F10" i="282"/>
  <c r="F18" i="282"/>
  <c r="F20" i="282"/>
  <c r="F9" i="282"/>
  <c r="F11" i="282"/>
  <c r="F21" i="282"/>
  <c r="F23" i="282"/>
  <c r="F7" i="282"/>
  <c r="F13" i="282"/>
  <c r="F14" i="282"/>
  <c r="F19" i="282"/>
  <c r="F22" i="282"/>
  <c r="F24" i="282"/>
  <c r="M9" i="282"/>
  <c r="M19" i="282"/>
  <c r="M7" i="282"/>
  <c r="M13" i="282"/>
  <c r="M18" i="282"/>
  <c r="M23" i="282"/>
  <c r="M26" i="282"/>
  <c r="M12" i="282"/>
  <c r="M17" i="282"/>
  <c r="M21" i="282"/>
  <c r="M8" i="282"/>
  <c r="M28" i="282"/>
  <c r="M25" i="282"/>
  <c r="M6" i="282"/>
  <c r="F25" i="282"/>
  <c r="D11" i="282"/>
  <c r="D22" i="282"/>
  <c r="D28" i="282"/>
  <c r="D8" i="282"/>
  <c r="D21" i="282"/>
  <c r="D5" i="282"/>
  <c r="D13" i="282"/>
  <c r="D20" i="282"/>
  <c r="D27" i="282"/>
  <c r="D25" i="282"/>
  <c r="D18" i="282"/>
  <c r="D26" i="282"/>
  <c r="D7" i="282"/>
  <c r="D12" i="282"/>
  <c r="D9" i="282"/>
  <c r="D15" i="282"/>
  <c r="D24" i="282"/>
  <c r="N15" i="282"/>
  <c r="N10" i="282"/>
  <c r="P5" i="282"/>
  <c r="V5" i="282"/>
  <c r="Y5" i="282" s="1"/>
  <c r="AB5" i="282" s="1"/>
  <c r="AE5" i="282" s="1"/>
  <c r="N7" i="282"/>
  <c r="N13" i="282"/>
  <c r="F26" i="282"/>
  <c r="F27" i="282"/>
  <c r="F28" i="282"/>
  <c r="F8" i="282"/>
  <c r="M11" i="282"/>
  <c r="N12" i="282"/>
  <c r="D14" i="282"/>
  <c r="F17" i="282"/>
  <c r="M10" i="282"/>
  <c r="N11" i="282"/>
  <c r="F15" i="282"/>
  <c r="F16" i="282"/>
  <c r="N9" i="282"/>
  <c r="N18" i="282"/>
  <c r="N19" i="282"/>
  <c r="N20" i="282"/>
  <c r="N21" i="282"/>
  <c r="N22" i="282"/>
  <c r="N23" i="282"/>
  <c r="N24" i="282"/>
  <c r="N25" i="282"/>
  <c r="N26" i="282"/>
  <c r="N27" i="282"/>
  <c r="N28" i="282"/>
  <c r="N5" i="282"/>
  <c r="D6" i="282"/>
  <c r="N8" i="282"/>
  <c r="M15" i="282"/>
  <c r="N17" i="282"/>
  <c r="I30" i="173" l="1"/>
  <c r="C30" i="173"/>
  <c r="L29" i="173"/>
  <c r="J29" i="173" s="1"/>
  <c r="K29" i="173"/>
  <c r="F29" i="173"/>
  <c r="D29" i="173" s="1"/>
  <c r="E29" i="173"/>
  <c r="L28" i="173"/>
  <c r="J28" i="173" s="1"/>
  <c r="K28" i="173"/>
  <c r="F28" i="173"/>
  <c r="D28" i="173" s="1"/>
  <c r="E28" i="173"/>
  <c r="L27" i="173"/>
  <c r="J27" i="173" s="1"/>
  <c r="K27" i="173"/>
  <c r="F27" i="173"/>
  <c r="D27" i="173" s="1"/>
  <c r="E27" i="173"/>
  <c r="L26" i="173"/>
  <c r="J26" i="173" s="1"/>
  <c r="K26" i="173"/>
  <c r="F26" i="173"/>
  <c r="D26" i="173" s="1"/>
  <c r="E26" i="173"/>
  <c r="L25" i="173"/>
  <c r="J25" i="173" s="1"/>
  <c r="K25" i="173"/>
  <c r="F25" i="173"/>
  <c r="D25" i="173" s="1"/>
  <c r="E25" i="173"/>
  <c r="L24" i="173"/>
  <c r="J24" i="173" s="1"/>
  <c r="K24" i="173"/>
  <c r="F24" i="173"/>
  <c r="D24" i="173" s="1"/>
  <c r="E24" i="173"/>
  <c r="L23" i="173"/>
  <c r="J23" i="173" s="1"/>
  <c r="K23" i="173"/>
  <c r="F23" i="173"/>
  <c r="D23" i="173" s="1"/>
  <c r="E23" i="173"/>
  <c r="L22" i="173"/>
  <c r="J22" i="173" s="1"/>
  <c r="K22" i="173"/>
  <c r="F22" i="173"/>
  <c r="D22" i="173" s="1"/>
  <c r="E22" i="173"/>
  <c r="L21" i="173"/>
  <c r="J21" i="173" s="1"/>
  <c r="K21" i="173"/>
  <c r="F21" i="173"/>
  <c r="D21" i="173" s="1"/>
  <c r="E21" i="173"/>
  <c r="L20" i="173"/>
  <c r="J20" i="173" s="1"/>
  <c r="K20" i="173"/>
  <c r="F20" i="173"/>
  <c r="D20" i="173" s="1"/>
  <c r="E20" i="173"/>
  <c r="L19" i="173"/>
  <c r="J19" i="173" s="1"/>
  <c r="K19" i="173"/>
  <c r="F19" i="173"/>
  <c r="D19" i="173" s="1"/>
  <c r="E19" i="173"/>
  <c r="L18" i="173"/>
  <c r="J18" i="173" s="1"/>
  <c r="K18" i="173"/>
  <c r="F18" i="173"/>
  <c r="D18" i="173" s="1"/>
  <c r="E18" i="173"/>
  <c r="L17" i="173"/>
  <c r="J17" i="173" s="1"/>
  <c r="K17" i="173"/>
  <c r="F17" i="173"/>
  <c r="D17" i="173" s="1"/>
  <c r="E17" i="173"/>
  <c r="L16" i="173"/>
  <c r="J16" i="173" s="1"/>
  <c r="K16" i="173"/>
  <c r="F16" i="173"/>
  <c r="D16" i="173" s="1"/>
  <c r="E16" i="173"/>
  <c r="L15" i="173"/>
  <c r="J15" i="173" s="1"/>
  <c r="K15" i="173"/>
  <c r="F15" i="173"/>
  <c r="D15" i="173" s="1"/>
  <c r="E15" i="173"/>
  <c r="L14" i="173"/>
  <c r="J14" i="173" s="1"/>
  <c r="K14" i="173"/>
  <c r="F14" i="173"/>
  <c r="D14" i="173" s="1"/>
  <c r="E14" i="173"/>
  <c r="L13" i="173"/>
  <c r="J13" i="173" s="1"/>
  <c r="K13" i="173"/>
  <c r="F13" i="173"/>
  <c r="D13" i="173" s="1"/>
  <c r="E13" i="173"/>
  <c r="L12" i="173"/>
  <c r="J12" i="173" s="1"/>
  <c r="K12" i="173"/>
  <c r="F12" i="173"/>
  <c r="D12" i="173" s="1"/>
  <c r="E12" i="173"/>
  <c r="L11" i="173"/>
  <c r="J11" i="173" s="1"/>
  <c r="K11" i="173"/>
  <c r="F11" i="173"/>
  <c r="D11" i="173" s="1"/>
  <c r="E11" i="173"/>
  <c r="L10" i="173"/>
  <c r="J10" i="173" s="1"/>
  <c r="K10" i="173"/>
  <c r="F10" i="173"/>
  <c r="D10" i="173" s="1"/>
  <c r="E10" i="173"/>
  <c r="L9" i="173"/>
  <c r="J9" i="173" s="1"/>
  <c r="K9" i="173"/>
  <c r="F9" i="173"/>
  <c r="D9" i="173" s="1"/>
  <c r="E9" i="173"/>
  <c r="L8" i="173"/>
  <c r="J8" i="173" s="1"/>
  <c r="K8" i="173"/>
  <c r="F8" i="173"/>
  <c r="D8" i="173" s="1"/>
  <c r="E8" i="173"/>
  <c r="L7" i="173"/>
  <c r="J7" i="173" s="1"/>
  <c r="K7" i="173"/>
  <c r="F7" i="173"/>
  <c r="D7" i="173" s="1"/>
  <c r="E7" i="173"/>
  <c r="L6" i="173"/>
  <c r="J6" i="173" s="1"/>
  <c r="K6" i="173"/>
  <c r="F6" i="173"/>
  <c r="D6" i="173" s="1"/>
  <c r="E6" i="173"/>
  <c r="L5" i="173"/>
  <c r="J5" i="173" s="1"/>
  <c r="K5" i="173"/>
  <c r="F5" i="173"/>
  <c r="D5" i="173" s="1"/>
  <c r="E5" i="173"/>
  <c r="I31" i="171"/>
  <c r="C31" i="171"/>
  <c r="L30" i="171"/>
  <c r="J30" i="171" s="1"/>
  <c r="K30" i="171"/>
  <c r="F30" i="171"/>
  <c r="D30" i="171" s="1"/>
  <c r="E30" i="171"/>
  <c r="L29" i="171"/>
  <c r="J29" i="171" s="1"/>
  <c r="K29" i="171"/>
  <c r="F29" i="171"/>
  <c r="D29" i="171" s="1"/>
  <c r="E29" i="171"/>
  <c r="L28" i="171"/>
  <c r="J28" i="171" s="1"/>
  <c r="K28" i="171"/>
  <c r="F28" i="171"/>
  <c r="D28" i="171" s="1"/>
  <c r="E28" i="171"/>
  <c r="L27" i="171"/>
  <c r="J27" i="171" s="1"/>
  <c r="K27" i="171"/>
  <c r="F27" i="171"/>
  <c r="D27" i="171" s="1"/>
  <c r="E27" i="171"/>
  <c r="L26" i="171"/>
  <c r="J26" i="171" s="1"/>
  <c r="K26" i="171"/>
  <c r="F26" i="171"/>
  <c r="D26" i="171" s="1"/>
  <c r="E26" i="171"/>
  <c r="L25" i="171"/>
  <c r="J25" i="171" s="1"/>
  <c r="K25" i="171"/>
  <c r="F25" i="171"/>
  <c r="D25" i="171" s="1"/>
  <c r="E25" i="171"/>
  <c r="L24" i="171"/>
  <c r="J24" i="171" s="1"/>
  <c r="K24" i="171"/>
  <c r="F24" i="171"/>
  <c r="D24" i="171" s="1"/>
  <c r="E24" i="171"/>
  <c r="L23" i="171"/>
  <c r="J23" i="171" s="1"/>
  <c r="K23" i="171"/>
  <c r="F23" i="171"/>
  <c r="D23" i="171" s="1"/>
  <c r="E23" i="171"/>
  <c r="L22" i="171"/>
  <c r="J22" i="171" s="1"/>
  <c r="K22" i="171"/>
  <c r="F22" i="171"/>
  <c r="D22" i="171" s="1"/>
  <c r="E22" i="171"/>
  <c r="L21" i="171"/>
  <c r="J21" i="171" s="1"/>
  <c r="K21" i="171"/>
  <c r="F21" i="171"/>
  <c r="D21" i="171" s="1"/>
  <c r="E21" i="171"/>
  <c r="L20" i="171"/>
  <c r="J20" i="171" s="1"/>
  <c r="K20" i="171"/>
  <c r="F20" i="171"/>
  <c r="D20" i="171" s="1"/>
  <c r="E20" i="171"/>
  <c r="L19" i="171"/>
  <c r="J19" i="171" s="1"/>
  <c r="K19" i="171"/>
  <c r="F19" i="171"/>
  <c r="D19" i="171" s="1"/>
  <c r="E19" i="171"/>
  <c r="L18" i="171"/>
  <c r="J18" i="171" s="1"/>
  <c r="K18" i="171"/>
  <c r="F18" i="171"/>
  <c r="D18" i="171" s="1"/>
  <c r="E18" i="171"/>
  <c r="L17" i="171"/>
  <c r="J17" i="171" s="1"/>
  <c r="K17" i="171"/>
  <c r="F17" i="171"/>
  <c r="D17" i="171" s="1"/>
  <c r="E17" i="171"/>
  <c r="L16" i="171"/>
  <c r="J16" i="171" s="1"/>
  <c r="K16" i="171"/>
  <c r="F16" i="171"/>
  <c r="D16" i="171" s="1"/>
  <c r="E16" i="171"/>
  <c r="L15" i="171"/>
  <c r="J15" i="171" s="1"/>
  <c r="K15" i="171"/>
  <c r="F15" i="171"/>
  <c r="D15" i="171" s="1"/>
  <c r="E15" i="171"/>
  <c r="L14" i="171"/>
  <c r="J14" i="171" s="1"/>
  <c r="K14" i="171"/>
  <c r="F14" i="171"/>
  <c r="D14" i="171" s="1"/>
  <c r="E14" i="171"/>
  <c r="L13" i="171"/>
  <c r="J13" i="171" s="1"/>
  <c r="K13" i="171"/>
  <c r="F13" i="171"/>
  <c r="D13" i="171" s="1"/>
  <c r="E13" i="171"/>
  <c r="L12" i="171"/>
  <c r="J12" i="171" s="1"/>
  <c r="K12" i="171"/>
  <c r="F12" i="171"/>
  <c r="D12" i="171" s="1"/>
  <c r="E12" i="171"/>
  <c r="L11" i="171"/>
  <c r="J11" i="171" s="1"/>
  <c r="K11" i="171"/>
  <c r="F11" i="171"/>
  <c r="D11" i="171" s="1"/>
  <c r="E11" i="171"/>
  <c r="L10" i="171"/>
  <c r="J10" i="171" s="1"/>
  <c r="K10" i="171"/>
  <c r="F10" i="171"/>
  <c r="D10" i="171" s="1"/>
  <c r="E10" i="171"/>
  <c r="L9" i="171"/>
  <c r="J9" i="171" s="1"/>
  <c r="K9" i="171"/>
  <c r="F9" i="171"/>
  <c r="D9" i="171" s="1"/>
  <c r="E9" i="171"/>
  <c r="L8" i="171"/>
  <c r="J8" i="171" s="1"/>
  <c r="K8" i="171"/>
  <c r="F8" i="171"/>
  <c r="D8" i="171" s="1"/>
  <c r="E8" i="171"/>
  <c r="L7" i="171"/>
  <c r="J7" i="171" s="1"/>
  <c r="K7" i="171"/>
  <c r="F7" i="171"/>
  <c r="D7" i="171" s="1"/>
  <c r="E7" i="171"/>
  <c r="L6" i="171"/>
  <c r="J6" i="171" s="1"/>
  <c r="K6" i="171"/>
  <c r="F6" i="171"/>
  <c r="D6" i="171" s="1"/>
  <c r="E6" i="171"/>
  <c r="L5" i="171"/>
  <c r="J5" i="171" s="1"/>
  <c r="K5" i="171"/>
  <c r="F5" i="171"/>
  <c r="D5" i="171" s="1"/>
  <c r="E5" i="171"/>
  <c r="CB38" i="170"/>
  <c r="CB39" i="170" s="1"/>
  <c r="CA38" i="170"/>
  <c r="CA39" i="170" s="1"/>
  <c r="BQ38" i="170"/>
  <c r="BP38" i="170"/>
  <c r="BM38" i="170"/>
  <c r="BL38" i="170"/>
  <c r="BI38" i="170"/>
  <c r="BH38" i="170"/>
  <c r="AX38" i="170"/>
  <c r="AW38" i="170"/>
  <c r="AT38" i="170"/>
  <c r="AS38" i="170"/>
  <c r="AP38" i="170"/>
  <c r="AO38" i="170"/>
  <c r="AE38" i="170"/>
  <c r="AD38" i="170"/>
  <c r="AA38" i="170"/>
  <c r="Z38" i="170"/>
  <c r="W38" i="170"/>
  <c r="V38" i="170"/>
  <c r="L38" i="170"/>
  <c r="K38" i="170"/>
  <c r="H38" i="170"/>
  <c r="G38" i="170"/>
  <c r="D38" i="170"/>
  <c r="C38" i="170"/>
  <c r="CD37" i="170"/>
  <c r="CC37" i="170"/>
  <c r="BU37" i="170"/>
  <c r="BT37" i="170"/>
  <c r="BS37" i="170"/>
  <c r="BR37" i="170"/>
  <c r="BO37" i="170"/>
  <c r="BN37" i="170"/>
  <c r="BK37" i="170"/>
  <c r="BJ37" i="170"/>
  <c r="BB37" i="170"/>
  <c r="BC37" i="170" s="1"/>
  <c r="BA37" i="170"/>
  <c r="AZ37" i="170"/>
  <c r="AY37" i="170"/>
  <c r="AV37" i="170"/>
  <c r="AU37" i="170"/>
  <c r="AR37" i="170"/>
  <c r="AQ37" i="170"/>
  <c r="AI37" i="170"/>
  <c r="AK37" i="170" s="1"/>
  <c r="AH37" i="170"/>
  <c r="AG37" i="170"/>
  <c r="AF37" i="170"/>
  <c r="AC37" i="170"/>
  <c r="AB37" i="170"/>
  <c r="Y37" i="170"/>
  <c r="X37" i="170"/>
  <c r="U37" i="170"/>
  <c r="AN37" i="170" s="1"/>
  <c r="BG37" i="170" s="1"/>
  <c r="BZ37" i="170" s="1"/>
  <c r="P37" i="170"/>
  <c r="O37" i="170"/>
  <c r="N37" i="170"/>
  <c r="M37" i="170"/>
  <c r="J37" i="170"/>
  <c r="I37" i="170"/>
  <c r="F37" i="170"/>
  <c r="E37" i="170"/>
  <c r="CD36" i="170"/>
  <c r="CC36" i="170"/>
  <c r="BU36" i="170"/>
  <c r="BV36" i="170" s="1"/>
  <c r="BT36" i="170"/>
  <c r="BS36" i="170"/>
  <c r="BR36" i="170"/>
  <c r="BO36" i="170"/>
  <c r="BN36" i="170"/>
  <c r="BK36" i="170"/>
  <c r="BJ36" i="170"/>
  <c r="BB36" i="170"/>
  <c r="BC36" i="170" s="1"/>
  <c r="BA36" i="170"/>
  <c r="AZ36" i="170"/>
  <c r="AY36" i="170"/>
  <c r="AV36" i="170"/>
  <c r="AU36" i="170"/>
  <c r="AR36" i="170"/>
  <c r="AQ36" i="170"/>
  <c r="AI36" i="170"/>
  <c r="AH36" i="170"/>
  <c r="AG36" i="170"/>
  <c r="AF36" i="170"/>
  <c r="AC36" i="170"/>
  <c r="AB36" i="170"/>
  <c r="Y36" i="170"/>
  <c r="X36" i="170"/>
  <c r="U36" i="170"/>
  <c r="AN36" i="170" s="1"/>
  <c r="BG36" i="170" s="1"/>
  <c r="BZ36" i="170" s="1"/>
  <c r="P36" i="170"/>
  <c r="Q36" i="170" s="1"/>
  <c r="O36" i="170"/>
  <c r="N36" i="170"/>
  <c r="M36" i="170"/>
  <c r="J36" i="170"/>
  <c r="I36" i="170"/>
  <c r="F36" i="170"/>
  <c r="E36" i="170"/>
  <c r="CD35" i="170"/>
  <c r="CC35" i="170"/>
  <c r="BU35" i="170"/>
  <c r="BV35" i="170" s="1"/>
  <c r="BT35" i="170"/>
  <c r="BS35" i="170"/>
  <c r="BR35" i="170"/>
  <c r="BO35" i="170"/>
  <c r="BN35" i="170"/>
  <c r="BK35" i="170"/>
  <c r="BJ35" i="170"/>
  <c r="BB35" i="170"/>
  <c r="BA35" i="170"/>
  <c r="AZ35" i="170"/>
  <c r="AY35" i="170"/>
  <c r="AV35" i="170"/>
  <c r="AU35" i="170"/>
  <c r="AR35" i="170"/>
  <c r="AQ35" i="170"/>
  <c r="AI35" i="170"/>
  <c r="AH35" i="170"/>
  <c r="AG35" i="170"/>
  <c r="AF35" i="170"/>
  <c r="AC35" i="170"/>
  <c r="AB35" i="170"/>
  <c r="Y35" i="170"/>
  <c r="X35" i="170"/>
  <c r="U35" i="170"/>
  <c r="AN35" i="170" s="1"/>
  <c r="BG35" i="170" s="1"/>
  <c r="BZ35" i="170" s="1"/>
  <c r="P35" i="170"/>
  <c r="R35" i="170" s="1"/>
  <c r="O35" i="170"/>
  <c r="N35" i="170"/>
  <c r="M35" i="170"/>
  <c r="J35" i="170"/>
  <c r="I35" i="170"/>
  <c r="F35" i="170"/>
  <c r="E35" i="170"/>
  <c r="CD34" i="170"/>
  <c r="CC34" i="170"/>
  <c r="BU34" i="170"/>
  <c r="BT34" i="170"/>
  <c r="BS34" i="170"/>
  <c r="BR34" i="170"/>
  <c r="BO34" i="170"/>
  <c r="BN34" i="170"/>
  <c r="BK34" i="170"/>
  <c r="BJ34" i="170"/>
  <c r="BB34" i="170"/>
  <c r="BA34" i="170"/>
  <c r="AZ34" i="170"/>
  <c r="AY34" i="170"/>
  <c r="AV34" i="170"/>
  <c r="AU34" i="170"/>
  <c r="AR34" i="170"/>
  <c r="AQ34" i="170"/>
  <c r="AI34" i="170"/>
  <c r="AH34" i="170"/>
  <c r="AG34" i="170"/>
  <c r="AF34" i="170"/>
  <c r="AC34" i="170"/>
  <c r="AB34" i="170"/>
  <c r="Y34" i="170"/>
  <c r="X34" i="170"/>
  <c r="U34" i="170"/>
  <c r="AN34" i="170" s="1"/>
  <c r="BG34" i="170" s="1"/>
  <c r="BZ34" i="170" s="1"/>
  <c r="P34" i="170"/>
  <c r="O34" i="170"/>
  <c r="N34" i="170"/>
  <c r="M34" i="170"/>
  <c r="J34" i="170"/>
  <c r="I34" i="170"/>
  <c r="F34" i="170"/>
  <c r="E34" i="170"/>
  <c r="CD33" i="170"/>
  <c r="CC33" i="170"/>
  <c r="BU33" i="170"/>
  <c r="BT33" i="170"/>
  <c r="BS33" i="170"/>
  <c r="BR33" i="170"/>
  <c r="BO33" i="170"/>
  <c r="BN33" i="170"/>
  <c r="BK33" i="170"/>
  <c r="BJ33" i="170"/>
  <c r="BB33" i="170"/>
  <c r="BA33" i="170"/>
  <c r="AZ33" i="170"/>
  <c r="AY33" i="170"/>
  <c r="AV33" i="170"/>
  <c r="AU33" i="170"/>
  <c r="AR33" i="170"/>
  <c r="AQ33" i="170"/>
  <c r="AI33" i="170"/>
  <c r="AH33" i="170"/>
  <c r="AG33" i="170"/>
  <c r="AF33" i="170"/>
  <c r="AC33" i="170"/>
  <c r="AB33" i="170"/>
  <c r="Y33" i="170"/>
  <c r="X33" i="170"/>
  <c r="U33" i="170"/>
  <c r="AN33" i="170" s="1"/>
  <c r="BG33" i="170" s="1"/>
  <c r="BZ33" i="170" s="1"/>
  <c r="P33" i="170"/>
  <c r="O33" i="170"/>
  <c r="N33" i="170"/>
  <c r="M33" i="170"/>
  <c r="J33" i="170"/>
  <c r="I33" i="170"/>
  <c r="F33" i="170"/>
  <c r="E33" i="170"/>
  <c r="CD32" i="170"/>
  <c r="CC32" i="170"/>
  <c r="BU32" i="170"/>
  <c r="BT32" i="170"/>
  <c r="BS32" i="170"/>
  <c r="BR32" i="170"/>
  <c r="BO32" i="170"/>
  <c r="BN32" i="170"/>
  <c r="BK32" i="170"/>
  <c r="BJ32" i="170"/>
  <c r="BB32" i="170"/>
  <c r="BA32" i="170"/>
  <c r="AZ32" i="170"/>
  <c r="AY32" i="170"/>
  <c r="AV32" i="170"/>
  <c r="AU32" i="170"/>
  <c r="AR32" i="170"/>
  <c r="AQ32" i="170"/>
  <c r="AI32" i="170"/>
  <c r="AH32" i="170"/>
  <c r="AG32" i="170"/>
  <c r="AF32" i="170"/>
  <c r="AC32" i="170"/>
  <c r="AB32" i="170"/>
  <c r="Y32" i="170"/>
  <c r="X32" i="170"/>
  <c r="U32" i="170"/>
  <c r="AN32" i="170" s="1"/>
  <c r="BG32" i="170" s="1"/>
  <c r="BZ32" i="170" s="1"/>
  <c r="P32" i="170"/>
  <c r="O32" i="170"/>
  <c r="N32" i="170"/>
  <c r="M32" i="170"/>
  <c r="J32" i="170"/>
  <c r="I32" i="170"/>
  <c r="F32" i="170"/>
  <c r="E32" i="170"/>
  <c r="CD31" i="170"/>
  <c r="CC31" i="170"/>
  <c r="BU31" i="170"/>
  <c r="BV31" i="170" s="1"/>
  <c r="BT31" i="170"/>
  <c r="BS31" i="170"/>
  <c r="BR31" i="170"/>
  <c r="BO31" i="170"/>
  <c r="BN31" i="170"/>
  <c r="BK31" i="170"/>
  <c r="BJ31" i="170"/>
  <c r="BB31" i="170"/>
  <c r="BD31" i="170" s="1"/>
  <c r="BA31" i="170"/>
  <c r="AZ31" i="170"/>
  <c r="AY31" i="170"/>
  <c r="AV31" i="170"/>
  <c r="AU31" i="170"/>
  <c r="AR31" i="170"/>
  <c r="AQ31" i="170"/>
  <c r="AI31" i="170"/>
  <c r="AH31" i="170"/>
  <c r="AG31" i="170"/>
  <c r="AF31" i="170"/>
  <c r="AC31" i="170"/>
  <c r="AB31" i="170"/>
  <c r="Y31" i="170"/>
  <c r="X31" i="170"/>
  <c r="U31" i="170"/>
  <c r="AN31" i="170" s="1"/>
  <c r="BG31" i="170" s="1"/>
  <c r="BZ31" i="170" s="1"/>
  <c r="P31" i="170"/>
  <c r="R31" i="170" s="1"/>
  <c r="O31" i="170"/>
  <c r="N31" i="170"/>
  <c r="M31" i="170"/>
  <c r="J31" i="170"/>
  <c r="I31" i="170"/>
  <c r="F31" i="170"/>
  <c r="E31" i="170"/>
  <c r="CD30" i="170"/>
  <c r="CC30" i="170"/>
  <c r="BU30" i="170"/>
  <c r="BT30" i="170"/>
  <c r="BS30" i="170"/>
  <c r="BR30" i="170"/>
  <c r="BO30" i="170"/>
  <c r="BN30" i="170"/>
  <c r="BK30" i="170"/>
  <c r="BJ30" i="170"/>
  <c r="BB30" i="170"/>
  <c r="BA30" i="170"/>
  <c r="AZ30" i="170"/>
  <c r="AY30" i="170"/>
  <c r="AV30" i="170"/>
  <c r="AU30" i="170"/>
  <c r="AR30" i="170"/>
  <c r="AQ30" i="170"/>
  <c r="AI30" i="170"/>
  <c r="AH30" i="170"/>
  <c r="AG30" i="170"/>
  <c r="AF30" i="170"/>
  <c r="AC30" i="170"/>
  <c r="AB30" i="170"/>
  <c r="Y30" i="170"/>
  <c r="X30" i="170"/>
  <c r="U30" i="170"/>
  <c r="AN30" i="170" s="1"/>
  <c r="BG30" i="170" s="1"/>
  <c r="BZ30" i="170" s="1"/>
  <c r="P30" i="170"/>
  <c r="O30" i="170"/>
  <c r="N30" i="170"/>
  <c r="M30" i="170"/>
  <c r="J30" i="170"/>
  <c r="I30" i="170"/>
  <c r="F30" i="170"/>
  <c r="E30" i="170"/>
  <c r="CD29" i="170"/>
  <c r="CC29" i="170"/>
  <c r="BU29" i="170"/>
  <c r="BT29" i="170"/>
  <c r="BS29" i="170"/>
  <c r="BR29" i="170"/>
  <c r="BO29" i="170"/>
  <c r="BN29" i="170"/>
  <c r="BK29" i="170"/>
  <c r="BJ29" i="170"/>
  <c r="BB29" i="170"/>
  <c r="BA29" i="170"/>
  <c r="AZ29" i="170"/>
  <c r="AY29" i="170"/>
  <c r="AV29" i="170"/>
  <c r="AU29" i="170"/>
  <c r="AR29" i="170"/>
  <c r="AQ29" i="170"/>
  <c r="AI29" i="170"/>
  <c r="AH29" i="170"/>
  <c r="AG29" i="170"/>
  <c r="AF29" i="170"/>
  <c r="AC29" i="170"/>
  <c r="AB29" i="170"/>
  <c r="Y29" i="170"/>
  <c r="X29" i="170"/>
  <c r="U29" i="170"/>
  <c r="AN29" i="170" s="1"/>
  <c r="BG29" i="170" s="1"/>
  <c r="BZ29" i="170" s="1"/>
  <c r="P29" i="170"/>
  <c r="O29" i="170"/>
  <c r="N29" i="170"/>
  <c r="M29" i="170"/>
  <c r="J29" i="170"/>
  <c r="I29" i="170"/>
  <c r="F29" i="170"/>
  <c r="E29" i="170"/>
  <c r="CD28" i="170"/>
  <c r="CC28" i="170"/>
  <c r="BU28" i="170"/>
  <c r="BT28" i="170"/>
  <c r="BS28" i="170"/>
  <c r="BR28" i="170"/>
  <c r="BO28" i="170"/>
  <c r="BN28" i="170"/>
  <c r="BK28" i="170"/>
  <c r="BJ28" i="170"/>
  <c r="BB28" i="170"/>
  <c r="BA28" i="170"/>
  <c r="AZ28" i="170"/>
  <c r="AY28" i="170"/>
  <c r="AV28" i="170"/>
  <c r="AU28" i="170"/>
  <c r="AR28" i="170"/>
  <c r="AQ28" i="170"/>
  <c r="AI28" i="170"/>
  <c r="AH28" i="170"/>
  <c r="AG28" i="170"/>
  <c r="AF28" i="170"/>
  <c r="AC28" i="170"/>
  <c r="AB28" i="170"/>
  <c r="Y28" i="170"/>
  <c r="X28" i="170"/>
  <c r="U28" i="170"/>
  <c r="AN28" i="170" s="1"/>
  <c r="BG28" i="170" s="1"/>
  <c r="BZ28" i="170" s="1"/>
  <c r="P28" i="170"/>
  <c r="O28" i="170"/>
  <c r="M28" i="170"/>
  <c r="J28" i="170"/>
  <c r="I28" i="170"/>
  <c r="F28" i="170"/>
  <c r="E28" i="170"/>
  <c r="CD27" i="170"/>
  <c r="CC27" i="170"/>
  <c r="BU27" i="170"/>
  <c r="BT27" i="170"/>
  <c r="BS27" i="170"/>
  <c r="BR27" i="170"/>
  <c r="BO27" i="170"/>
  <c r="BN27" i="170"/>
  <c r="BK27" i="170"/>
  <c r="BJ27" i="170"/>
  <c r="BB27" i="170"/>
  <c r="BA27" i="170"/>
  <c r="AZ27" i="170"/>
  <c r="AY27" i="170"/>
  <c r="AV27" i="170"/>
  <c r="AU27" i="170"/>
  <c r="AR27" i="170"/>
  <c r="AQ27" i="170"/>
  <c r="AI27" i="170"/>
  <c r="AH27" i="170"/>
  <c r="AG27" i="170"/>
  <c r="AF27" i="170"/>
  <c r="AC27" i="170"/>
  <c r="AB27" i="170"/>
  <c r="Y27" i="170"/>
  <c r="X27" i="170"/>
  <c r="U27" i="170"/>
  <c r="AN27" i="170" s="1"/>
  <c r="BG27" i="170" s="1"/>
  <c r="BZ27" i="170" s="1"/>
  <c r="P27" i="170"/>
  <c r="O27" i="170"/>
  <c r="N27" i="170"/>
  <c r="M27" i="170"/>
  <c r="J27" i="170"/>
  <c r="I27" i="170"/>
  <c r="F27" i="170"/>
  <c r="E27" i="170"/>
  <c r="CD26" i="170"/>
  <c r="CC26" i="170"/>
  <c r="BU26" i="170"/>
  <c r="BT26" i="170"/>
  <c r="BS26" i="170"/>
  <c r="BR26" i="170"/>
  <c r="BO26" i="170"/>
  <c r="BN26" i="170"/>
  <c r="BK26" i="170"/>
  <c r="BJ26" i="170"/>
  <c r="BB26" i="170"/>
  <c r="BA26" i="170"/>
  <c r="AZ26" i="170"/>
  <c r="AY26" i="170"/>
  <c r="AV26" i="170"/>
  <c r="AU26" i="170"/>
  <c r="AR26" i="170"/>
  <c r="AQ26" i="170"/>
  <c r="AI26" i="170"/>
  <c r="AH26" i="170"/>
  <c r="AG26" i="170"/>
  <c r="AF26" i="170"/>
  <c r="AC26" i="170"/>
  <c r="AB26" i="170"/>
  <c r="Y26" i="170"/>
  <c r="X26" i="170"/>
  <c r="U26" i="170"/>
  <c r="AN26" i="170" s="1"/>
  <c r="BG26" i="170" s="1"/>
  <c r="BZ26" i="170" s="1"/>
  <c r="P26" i="170"/>
  <c r="O26" i="170"/>
  <c r="N26" i="170"/>
  <c r="M26" i="170"/>
  <c r="J26" i="170"/>
  <c r="I26" i="170"/>
  <c r="F26" i="170"/>
  <c r="E26" i="170"/>
  <c r="CD25" i="170"/>
  <c r="CC25" i="170"/>
  <c r="BU25" i="170"/>
  <c r="BT25" i="170"/>
  <c r="BS25" i="170"/>
  <c r="BR25" i="170"/>
  <c r="BO25" i="170"/>
  <c r="BN25" i="170"/>
  <c r="BK25" i="170"/>
  <c r="BJ25" i="170"/>
  <c r="BB25" i="170"/>
  <c r="BA25" i="170"/>
  <c r="AZ25" i="170"/>
  <c r="AY25" i="170"/>
  <c r="AV25" i="170"/>
  <c r="AU25" i="170"/>
  <c r="AR25" i="170"/>
  <c r="AQ25" i="170"/>
  <c r="AI25" i="170"/>
  <c r="AH25" i="170"/>
  <c r="AG25" i="170"/>
  <c r="AF25" i="170"/>
  <c r="AC25" i="170"/>
  <c r="AB25" i="170"/>
  <c r="Y25" i="170"/>
  <c r="X25" i="170"/>
  <c r="U25" i="170"/>
  <c r="AN25" i="170" s="1"/>
  <c r="BG25" i="170" s="1"/>
  <c r="BZ25" i="170" s="1"/>
  <c r="P25" i="170"/>
  <c r="O25" i="170"/>
  <c r="N25" i="170"/>
  <c r="M25" i="170"/>
  <c r="J25" i="170"/>
  <c r="I25" i="170"/>
  <c r="F25" i="170"/>
  <c r="E25" i="170"/>
  <c r="CD24" i="170"/>
  <c r="CC24" i="170"/>
  <c r="BU24" i="170"/>
  <c r="BW24" i="170" s="1"/>
  <c r="BT24" i="170"/>
  <c r="BS24" i="170"/>
  <c r="BR24" i="170"/>
  <c r="BO24" i="170"/>
  <c r="BN24" i="170"/>
  <c r="BK24" i="170"/>
  <c r="BJ24" i="170"/>
  <c r="BB24" i="170"/>
  <c r="BA24" i="170"/>
  <c r="AZ24" i="170"/>
  <c r="AY24" i="170"/>
  <c r="AV24" i="170"/>
  <c r="AU24" i="170"/>
  <c r="AR24" i="170"/>
  <c r="AQ24" i="170"/>
  <c r="AI24" i="170"/>
  <c r="AH24" i="170"/>
  <c r="AG24" i="170"/>
  <c r="AF24" i="170"/>
  <c r="AC24" i="170"/>
  <c r="AB24" i="170"/>
  <c r="Y24" i="170"/>
  <c r="X24" i="170"/>
  <c r="U24" i="170"/>
  <c r="AN24" i="170" s="1"/>
  <c r="BG24" i="170" s="1"/>
  <c r="BZ24" i="170" s="1"/>
  <c r="P24" i="170"/>
  <c r="O24" i="170"/>
  <c r="N24" i="170"/>
  <c r="M24" i="170"/>
  <c r="J24" i="170"/>
  <c r="I24" i="170"/>
  <c r="F24" i="170"/>
  <c r="E24" i="170"/>
  <c r="CD23" i="170"/>
  <c r="CC23" i="170"/>
  <c r="BU23" i="170"/>
  <c r="BT23" i="170"/>
  <c r="BS23" i="170"/>
  <c r="BR23" i="170"/>
  <c r="BO23" i="170"/>
  <c r="BN23" i="170"/>
  <c r="BK23" i="170"/>
  <c r="BJ23" i="170"/>
  <c r="BB23" i="170"/>
  <c r="BA23" i="170"/>
  <c r="AZ23" i="170"/>
  <c r="AY23" i="170"/>
  <c r="AV23" i="170"/>
  <c r="AU23" i="170"/>
  <c r="AR23" i="170"/>
  <c r="AQ23" i="170"/>
  <c r="AI23" i="170"/>
  <c r="AH23" i="170"/>
  <c r="AG23" i="170"/>
  <c r="AF23" i="170"/>
  <c r="AC23" i="170"/>
  <c r="AB23" i="170"/>
  <c r="Y23" i="170"/>
  <c r="X23" i="170"/>
  <c r="U23" i="170"/>
  <c r="AN23" i="170" s="1"/>
  <c r="BG23" i="170" s="1"/>
  <c r="BZ23" i="170" s="1"/>
  <c r="P23" i="170"/>
  <c r="O23" i="170"/>
  <c r="N23" i="170"/>
  <c r="M23" i="170"/>
  <c r="J23" i="170"/>
  <c r="I23" i="170"/>
  <c r="F23" i="170"/>
  <c r="E23" i="170"/>
  <c r="CD22" i="170"/>
  <c r="CC22" i="170"/>
  <c r="BU22" i="170"/>
  <c r="BT22" i="170"/>
  <c r="BS22" i="170"/>
  <c r="BR22" i="170"/>
  <c r="BO22" i="170"/>
  <c r="BN22" i="170"/>
  <c r="BK22" i="170"/>
  <c r="BJ22" i="170"/>
  <c r="BB22" i="170"/>
  <c r="BA22" i="170"/>
  <c r="AZ22" i="170"/>
  <c r="AY22" i="170"/>
  <c r="AV22" i="170"/>
  <c r="AU22" i="170"/>
  <c r="AR22" i="170"/>
  <c r="AQ22" i="170"/>
  <c r="AI22" i="170"/>
  <c r="AH22" i="170"/>
  <c r="AG22" i="170"/>
  <c r="AF22" i="170"/>
  <c r="AC22" i="170"/>
  <c r="AB22" i="170"/>
  <c r="Y22" i="170"/>
  <c r="X22" i="170"/>
  <c r="U22" i="170"/>
  <c r="AN22" i="170" s="1"/>
  <c r="BG22" i="170" s="1"/>
  <c r="BZ22" i="170" s="1"/>
  <c r="P22" i="170"/>
  <c r="O22" i="170"/>
  <c r="N22" i="170"/>
  <c r="M22" i="170"/>
  <c r="J22" i="170"/>
  <c r="I22" i="170"/>
  <c r="F22" i="170"/>
  <c r="E22" i="170"/>
  <c r="CD21" i="170"/>
  <c r="CC21" i="170"/>
  <c r="BU21" i="170"/>
  <c r="BT21" i="170"/>
  <c r="BS21" i="170"/>
  <c r="BR21" i="170"/>
  <c r="BO21" i="170"/>
  <c r="BN21" i="170"/>
  <c r="BK21" i="170"/>
  <c r="BJ21" i="170"/>
  <c r="BB21" i="170"/>
  <c r="BA21" i="170"/>
  <c r="AZ21" i="170"/>
  <c r="AY21" i="170"/>
  <c r="AV21" i="170"/>
  <c r="AU21" i="170"/>
  <c r="AR21" i="170"/>
  <c r="AQ21" i="170"/>
  <c r="AI21" i="170"/>
  <c r="AH21" i="170"/>
  <c r="AG21" i="170"/>
  <c r="AF21" i="170"/>
  <c r="AC21" i="170"/>
  <c r="AB21" i="170"/>
  <c r="Y21" i="170"/>
  <c r="X21" i="170"/>
  <c r="U21" i="170"/>
  <c r="AN21" i="170" s="1"/>
  <c r="BG21" i="170" s="1"/>
  <c r="BZ21" i="170" s="1"/>
  <c r="P21" i="170"/>
  <c r="O21" i="170"/>
  <c r="N21" i="170"/>
  <c r="M21" i="170"/>
  <c r="J21" i="170"/>
  <c r="I21" i="170"/>
  <c r="F21" i="170"/>
  <c r="E21" i="170"/>
  <c r="CD20" i="170"/>
  <c r="CC20" i="170"/>
  <c r="BU20" i="170"/>
  <c r="BT20" i="170"/>
  <c r="BS20" i="170"/>
  <c r="BR20" i="170"/>
  <c r="BO20" i="170"/>
  <c r="BN20" i="170"/>
  <c r="BK20" i="170"/>
  <c r="BJ20" i="170"/>
  <c r="BB20" i="170"/>
  <c r="BA20" i="170"/>
  <c r="AZ20" i="170"/>
  <c r="AY20" i="170"/>
  <c r="AV20" i="170"/>
  <c r="AU20" i="170"/>
  <c r="AR20" i="170"/>
  <c r="AQ20" i="170"/>
  <c r="AI20" i="170"/>
  <c r="AH20" i="170"/>
  <c r="AG20" i="170"/>
  <c r="AF20" i="170"/>
  <c r="AC20" i="170"/>
  <c r="AB20" i="170"/>
  <c r="Y20" i="170"/>
  <c r="X20" i="170"/>
  <c r="U20" i="170"/>
  <c r="AN20" i="170" s="1"/>
  <c r="BG20" i="170" s="1"/>
  <c r="BZ20" i="170" s="1"/>
  <c r="P20" i="170"/>
  <c r="O20" i="170"/>
  <c r="N20" i="170"/>
  <c r="M20" i="170"/>
  <c r="J20" i="170"/>
  <c r="I20" i="170"/>
  <c r="F20" i="170"/>
  <c r="E20" i="170"/>
  <c r="CD19" i="170"/>
  <c r="CC19" i="170"/>
  <c r="BU19" i="170"/>
  <c r="BT19" i="170"/>
  <c r="BS19" i="170"/>
  <c r="BR19" i="170"/>
  <c r="BO19" i="170"/>
  <c r="BN19" i="170"/>
  <c r="BK19" i="170"/>
  <c r="BJ19" i="170"/>
  <c r="BB19" i="170"/>
  <c r="BA19" i="170"/>
  <c r="AZ19" i="170"/>
  <c r="AY19" i="170"/>
  <c r="AV19" i="170"/>
  <c r="AU19" i="170"/>
  <c r="AR19" i="170"/>
  <c r="AQ19" i="170"/>
  <c r="AI19" i="170"/>
  <c r="AH19" i="170"/>
  <c r="AG19" i="170"/>
  <c r="AF19" i="170"/>
  <c r="AC19" i="170"/>
  <c r="AB19" i="170"/>
  <c r="Y19" i="170"/>
  <c r="X19" i="170"/>
  <c r="U19" i="170"/>
  <c r="AN19" i="170" s="1"/>
  <c r="BG19" i="170" s="1"/>
  <c r="BZ19" i="170" s="1"/>
  <c r="P19" i="170"/>
  <c r="O19" i="170"/>
  <c r="N19" i="170"/>
  <c r="M19" i="170"/>
  <c r="J19" i="170"/>
  <c r="I19" i="170"/>
  <c r="F19" i="170"/>
  <c r="E19" i="170"/>
  <c r="CD18" i="170"/>
  <c r="CC18" i="170"/>
  <c r="BU18" i="170"/>
  <c r="BT18" i="170"/>
  <c r="BS18" i="170"/>
  <c r="BR18" i="170"/>
  <c r="BO18" i="170"/>
  <c r="BN18" i="170"/>
  <c r="BK18" i="170"/>
  <c r="BJ18" i="170"/>
  <c r="BB18" i="170"/>
  <c r="BA18" i="170"/>
  <c r="AZ18" i="170"/>
  <c r="AY18" i="170"/>
  <c r="AV18" i="170"/>
  <c r="AU18" i="170"/>
  <c r="AR18" i="170"/>
  <c r="AQ18" i="170"/>
  <c r="AI18" i="170"/>
  <c r="AH18" i="170"/>
  <c r="AG18" i="170"/>
  <c r="AF18" i="170"/>
  <c r="AC18" i="170"/>
  <c r="AB18" i="170"/>
  <c r="Y18" i="170"/>
  <c r="X18" i="170"/>
  <c r="U18" i="170"/>
  <c r="AN18" i="170" s="1"/>
  <c r="BG18" i="170" s="1"/>
  <c r="BZ18" i="170" s="1"/>
  <c r="P18" i="170"/>
  <c r="O18" i="170"/>
  <c r="N18" i="170"/>
  <c r="M18" i="170"/>
  <c r="J18" i="170"/>
  <c r="I18" i="170"/>
  <c r="F18" i="170"/>
  <c r="E18" i="170"/>
  <c r="CD17" i="170"/>
  <c r="CC17" i="170"/>
  <c r="BU17" i="170"/>
  <c r="BV17" i="170" s="1"/>
  <c r="BT17" i="170"/>
  <c r="BS17" i="170"/>
  <c r="BR17" i="170"/>
  <c r="BO17" i="170"/>
  <c r="BN17" i="170"/>
  <c r="BK17" i="170"/>
  <c r="BJ17" i="170"/>
  <c r="BB17" i="170"/>
  <c r="BC17" i="170" s="1"/>
  <c r="BA17" i="170"/>
  <c r="AZ17" i="170"/>
  <c r="AY17" i="170"/>
  <c r="AV17" i="170"/>
  <c r="AU17" i="170"/>
  <c r="AR17" i="170"/>
  <c r="AQ17" i="170"/>
  <c r="AI17" i="170"/>
  <c r="AH17" i="170"/>
  <c r="AG17" i="170"/>
  <c r="AF17" i="170"/>
  <c r="AC17" i="170"/>
  <c r="AB17" i="170"/>
  <c r="Y17" i="170"/>
  <c r="X17" i="170"/>
  <c r="U17" i="170"/>
  <c r="AN17" i="170" s="1"/>
  <c r="BG17" i="170" s="1"/>
  <c r="BZ17" i="170" s="1"/>
  <c r="P17" i="170"/>
  <c r="Q17" i="170" s="1"/>
  <c r="O17" i="170"/>
  <c r="N17" i="170"/>
  <c r="M17" i="170"/>
  <c r="J17" i="170"/>
  <c r="I17" i="170"/>
  <c r="F17" i="170"/>
  <c r="E17" i="170"/>
  <c r="CD16" i="170"/>
  <c r="CC16" i="170"/>
  <c r="BU16" i="170"/>
  <c r="BT16" i="170"/>
  <c r="BS16" i="170"/>
  <c r="BR16" i="170"/>
  <c r="BO16" i="170"/>
  <c r="BN16" i="170"/>
  <c r="BK16" i="170"/>
  <c r="BJ16" i="170"/>
  <c r="BB16" i="170"/>
  <c r="BA16" i="170"/>
  <c r="AZ16" i="170"/>
  <c r="AY16" i="170"/>
  <c r="AV16" i="170"/>
  <c r="AU16" i="170"/>
  <c r="AR16" i="170"/>
  <c r="AQ16" i="170"/>
  <c r="AI16" i="170"/>
  <c r="AH16" i="170"/>
  <c r="AG16" i="170"/>
  <c r="AF16" i="170"/>
  <c r="AC16" i="170"/>
  <c r="AB16" i="170"/>
  <c r="Y16" i="170"/>
  <c r="X16" i="170"/>
  <c r="U16" i="170"/>
  <c r="AN16" i="170" s="1"/>
  <c r="BG16" i="170" s="1"/>
  <c r="BZ16" i="170" s="1"/>
  <c r="P16" i="170"/>
  <c r="O16" i="170"/>
  <c r="N16" i="170"/>
  <c r="M16" i="170"/>
  <c r="J16" i="170"/>
  <c r="I16" i="170"/>
  <c r="F16" i="170"/>
  <c r="E16" i="170"/>
  <c r="CD15" i="170"/>
  <c r="CC15" i="170"/>
  <c r="BU15" i="170"/>
  <c r="BT15" i="170"/>
  <c r="BS15" i="170"/>
  <c r="BR15" i="170"/>
  <c r="BO15" i="170"/>
  <c r="BN15" i="170"/>
  <c r="BK15" i="170"/>
  <c r="BJ15" i="170"/>
  <c r="BB15" i="170"/>
  <c r="BA15" i="170"/>
  <c r="AZ15" i="170"/>
  <c r="AY15" i="170"/>
  <c r="AV15" i="170"/>
  <c r="AU15" i="170"/>
  <c r="AR15" i="170"/>
  <c r="AQ15" i="170"/>
  <c r="AI15" i="170"/>
  <c r="AH15" i="170"/>
  <c r="AG15" i="170"/>
  <c r="AF15" i="170"/>
  <c r="AC15" i="170"/>
  <c r="AB15" i="170"/>
  <c r="Y15" i="170"/>
  <c r="X15" i="170"/>
  <c r="U15" i="170"/>
  <c r="AN15" i="170" s="1"/>
  <c r="BG15" i="170" s="1"/>
  <c r="BZ15" i="170" s="1"/>
  <c r="P15" i="170"/>
  <c r="O15" i="170"/>
  <c r="N15" i="170"/>
  <c r="M15" i="170"/>
  <c r="J15" i="170"/>
  <c r="I15" i="170"/>
  <c r="F15" i="170"/>
  <c r="E15" i="170"/>
  <c r="CD14" i="170"/>
  <c r="CC14" i="170"/>
  <c r="BU14" i="170"/>
  <c r="BT14" i="170"/>
  <c r="BS14" i="170"/>
  <c r="BR14" i="170"/>
  <c r="BO14" i="170"/>
  <c r="BN14" i="170"/>
  <c r="BK14" i="170"/>
  <c r="BJ14" i="170"/>
  <c r="BB14" i="170"/>
  <c r="BA14" i="170"/>
  <c r="AZ14" i="170"/>
  <c r="AY14" i="170"/>
  <c r="AV14" i="170"/>
  <c r="AU14" i="170"/>
  <c r="AR14" i="170"/>
  <c r="AQ14" i="170"/>
  <c r="AI14" i="170"/>
  <c r="AH14" i="170"/>
  <c r="AG14" i="170"/>
  <c r="AF14" i="170"/>
  <c r="AC14" i="170"/>
  <c r="AB14" i="170"/>
  <c r="Y14" i="170"/>
  <c r="X14" i="170"/>
  <c r="U14" i="170"/>
  <c r="AN14" i="170" s="1"/>
  <c r="BG14" i="170" s="1"/>
  <c r="BZ14" i="170" s="1"/>
  <c r="P14" i="170"/>
  <c r="O14" i="170"/>
  <c r="N14" i="170"/>
  <c r="M14" i="170"/>
  <c r="J14" i="170"/>
  <c r="I14" i="170"/>
  <c r="F14" i="170"/>
  <c r="E14" i="170"/>
  <c r="CD13" i="170"/>
  <c r="CC13" i="170"/>
  <c r="BU13" i="170"/>
  <c r="BT13" i="170"/>
  <c r="BS13" i="170"/>
  <c r="BR13" i="170"/>
  <c r="BO13" i="170"/>
  <c r="BN13" i="170"/>
  <c r="BK13" i="170"/>
  <c r="BJ13" i="170"/>
  <c r="BB13" i="170"/>
  <c r="BA13" i="170"/>
  <c r="AZ13" i="170"/>
  <c r="AY13" i="170"/>
  <c r="AV13" i="170"/>
  <c r="AU13" i="170"/>
  <c r="AR13" i="170"/>
  <c r="AQ13" i="170"/>
  <c r="AI13" i="170"/>
  <c r="AH13" i="170"/>
  <c r="AG13" i="170"/>
  <c r="AF13" i="170"/>
  <c r="AC13" i="170"/>
  <c r="AB13" i="170"/>
  <c r="Y13" i="170"/>
  <c r="X13" i="170"/>
  <c r="U13" i="170"/>
  <c r="AN13" i="170" s="1"/>
  <c r="BG13" i="170" s="1"/>
  <c r="BZ13" i="170" s="1"/>
  <c r="P13" i="170"/>
  <c r="O13" i="170"/>
  <c r="N13" i="170"/>
  <c r="M13" i="170"/>
  <c r="J13" i="170"/>
  <c r="I13" i="170"/>
  <c r="F13" i="170"/>
  <c r="E13" i="170"/>
  <c r="CD12" i="170"/>
  <c r="CC12" i="170"/>
  <c r="BU12" i="170"/>
  <c r="BT12" i="170"/>
  <c r="BS12" i="170"/>
  <c r="BR12" i="170"/>
  <c r="BO12" i="170"/>
  <c r="BN12" i="170"/>
  <c r="BK12" i="170"/>
  <c r="BJ12" i="170"/>
  <c r="BB12" i="170"/>
  <c r="BA12" i="170"/>
  <c r="AZ12" i="170"/>
  <c r="AY12" i="170"/>
  <c r="AV12" i="170"/>
  <c r="AU12" i="170"/>
  <c r="AR12" i="170"/>
  <c r="AQ12" i="170"/>
  <c r="AI12" i="170"/>
  <c r="AH12" i="170"/>
  <c r="AG12" i="170"/>
  <c r="AF12" i="170"/>
  <c r="AC12" i="170"/>
  <c r="AB12" i="170"/>
  <c r="Y12" i="170"/>
  <c r="X12" i="170"/>
  <c r="U12" i="170"/>
  <c r="AN12" i="170" s="1"/>
  <c r="BG12" i="170" s="1"/>
  <c r="BZ12" i="170" s="1"/>
  <c r="P12" i="170"/>
  <c r="O12" i="170"/>
  <c r="N12" i="170"/>
  <c r="M12" i="170"/>
  <c r="J12" i="170"/>
  <c r="I12" i="170"/>
  <c r="F12" i="170"/>
  <c r="E12" i="170"/>
  <c r="CD11" i="170"/>
  <c r="CC11" i="170"/>
  <c r="BU11" i="170"/>
  <c r="BT11" i="170"/>
  <c r="BS11" i="170"/>
  <c r="BR11" i="170"/>
  <c r="BO11" i="170"/>
  <c r="BN11" i="170"/>
  <c r="BK11" i="170"/>
  <c r="BJ11" i="170"/>
  <c r="BB11" i="170"/>
  <c r="BA11" i="170"/>
  <c r="AZ11" i="170"/>
  <c r="AY11" i="170"/>
  <c r="AV11" i="170"/>
  <c r="AU11" i="170"/>
  <c r="AR11" i="170"/>
  <c r="AQ11" i="170"/>
  <c r="AI11" i="170"/>
  <c r="AH11" i="170"/>
  <c r="AG11" i="170"/>
  <c r="AF11" i="170"/>
  <c r="AC11" i="170"/>
  <c r="AB11" i="170"/>
  <c r="Y11" i="170"/>
  <c r="X11" i="170"/>
  <c r="U11" i="170"/>
  <c r="AN11" i="170" s="1"/>
  <c r="BG11" i="170" s="1"/>
  <c r="BZ11" i="170" s="1"/>
  <c r="P11" i="170"/>
  <c r="O11" i="170"/>
  <c r="N11" i="170"/>
  <c r="M11" i="170"/>
  <c r="J11" i="170"/>
  <c r="I11" i="170"/>
  <c r="F11" i="170"/>
  <c r="E11" i="170"/>
  <c r="CD10" i="170"/>
  <c r="CC10" i="170"/>
  <c r="BU10" i="170"/>
  <c r="BT10" i="170"/>
  <c r="BS10" i="170"/>
  <c r="BR10" i="170"/>
  <c r="BO10" i="170"/>
  <c r="BN10" i="170"/>
  <c r="BK10" i="170"/>
  <c r="BJ10" i="170"/>
  <c r="BB10" i="170"/>
  <c r="BA10" i="170"/>
  <c r="AZ10" i="170"/>
  <c r="AY10" i="170"/>
  <c r="AV10" i="170"/>
  <c r="AU10" i="170"/>
  <c r="AR10" i="170"/>
  <c r="AQ10" i="170"/>
  <c r="AI10" i="170"/>
  <c r="AH10" i="170"/>
  <c r="AG10" i="170"/>
  <c r="AF10" i="170"/>
  <c r="AC10" i="170"/>
  <c r="AB10" i="170"/>
  <c r="Y10" i="170"/>
  <c r="X10" i="170"/>
  <c r="U10" i="170"/>
  <c r="AN10" i="170" s="1"/>
  <c r="BG10" i="170" s="1"/>
  <c r="BZ10" i="170" s="1"/>
  <c r="P10" i="170"/>
  <c r="O10" i="170"/>
  <c r="N10" i="170"/>
  <c r="M10" i="170"/>
  <c r="J10" i="170"/>
  <c r="I10" i="170"/>
  <c r="F10" i="170"/>
  <c r="E10" i="170"/>
  <c r="CD9" i="170"/>
  <c r="CC9" i="170"/>
  <c r="BU9" i="170"/>
  <c r="BT9" i="170"/>
  <c r="BS9" i="170"/>
  <c r="BR9" i="170"/>
  <c r="BO9" i="170"/>
  <c r="BN9" i="170"/>
  <c r="BK9" i="170"/>
  <c r="BJ9" i="170"/>
  <c r="BB9" i="170"/>
  <c r="BA9" i="170"/>
  <c r="AZ9" i="170"/>
  <c r="AY9" i="170"/>
  <c r="AV9" i="170"/>
  <c r="AU9" i="170"/>
  <c r="AR9" i="170"/>
  <c r="AQ9" i="170"/>
  <c r="AI9" i="170"/>
  <c r="AH9" i="170"/>
  <c r="AG9" i="170"/>
  <c r="AF9" i="170"/>
  <c r="AC9" i="170"/>
  <c r="AB9" i="170"/>
  <c r="Y9" i="170"/>
  <c r="X9" i="170"/>
  <c r="U9" i="170"/>
  <c r="AN9" i="170" s="1"/>
  <c r="BG9" i="170" s="1"/>
  <c r="BZ9" i="170" s="1"/>
  <c r="P9" i="170"/>
  <c r="O9" i="170"/>
  <c r="N9" i="170"/>
  <c r="M9" i="170"/>
  <c r="J9" i="170"/>
  <c r="I9" i="170"/>
  <c r="F9" i="170"/>
  <c r="E9" i="170"/>
  <c r="CD8" i="170"/>
  <c r="CC8" i="170"/>
  <c r="BY8" i="170"/>
  <c r="BY9" i="170" s="1"/>
  <c r="BY10" i="170" s="1"/>
  <c r="BY11" i="170" s="1"/>
  <c r="BY12" i="170" s="1"/>
  <c r="BY13" i="170" s="1"/>
  <c r="BY14" i="170" s="1"/>
  <c r="BY15" i="170" s="1"/>
  <c r="BY16" i="170" s="1"/>
  <c r="BY17" i="170" s="1"/>
  <c r="BY18" i="170" s="1"/>
  <c r="BY19" i="170" s="1"/>
  <c r="BY20" i="170" s="1"/>
  <c r="BY21" i="170" s="1"/>
  <c r="BY22" i="170" s="1"/>
  <c r="BY23" i="170" s="1"/>
  <c r="BY24" i="170" s="1"/>
  <c r="BY25" i="170" s="1"/>
  <c r="BY26" i="170" s="1"/>
  <c r="BY27" i="170" s="1"/>
  <c r="BY28" i="170" s="1"/>
  <c r="BY29" i="170" s="1"/>
  <c r="BY30" i="170" s="1"/>
  <c r="BY31" i="170" s="1"/>
  <c r="BY32" i="170" s="1"/>
  <c r="BY33" i="170" s="1"/>
  <c r="BY34" i="170" s="1"/>
  <c r="BY35" i="170" s="1"/>
  <c r="BY36" i="170" s="1"/>
  <c r="BU8" i="170"/>
  <c r="BT8" i="170"/>
  <c r="BS8" i="170"/>
  <c r="BR8" i="170"/>
  <c r="BO8" i="170"/>
  <c r="BN8" i="170"/>
  <c r="BK8" i="170"/>
  <c r="BJ8" i="170"/>
  <c r="BF8" i="170"/>
  <c r="BF9" i="170" s="1"/>
  <c r="BF10" i="170" s="1"/>
  <c r="BF11" i="170" s="1"/>
  <c r="BF12" i="170" s="1"/>
  <c r="BF13" i="170" s="1"/>
  <c r="BF14" i="170" s="1"/>
  <c r="BF15" i="170" s="1"/>
  <c r="BF16" i="170" s="1"/>
  <c r="BF17" i="170" s="1"/>
  <c r="BF18" i="170" s="1"/>
  <c r="BF19" i="170" s="1"/>
  <c r="BF20" i="170" s="1"/>
  <c r="BF21" i="170" s="1"/>
  <c r="BF22" i="170" s="1"/>
  <c r="BF23" i="170" s="1"/>
  <c r="BF24" i="170" s="1"/>
  <c r="BF25" i="170" s="1"/>
  <c r="BF26" i="170" s="1"/>
  <c r="BF27" i="170" s="1"/>
  <c r="BF28" i="170" s="1"/>
  <c r="BF29" i="170" s="1"/>
  <c r="BF30" i="170" s="1"/>
  <c r="BF31" i="170" s="1"/>
  <c r="BF32" i="170" s="1"/>
  <c r="BF33" i="170" s="1"/>
  <c r="BF34" i="170" s="1"/>
  <c r="BF35" i="170" s="1"/>
  <c r="BF36" i="170" s="1"/>
  <c r="BB8" i="170"/>
  <c r="BA8" i="170"/>
  <c r="AZ8" i="170"/>
  <c r="AY8" i="170"/>
  <c r="AV8" i="170"/>
  <c r="AU8" i="170"/>
  <c r="AR8" i="170"/>
  <c r="AQ8" i="170"/>
  <c r="AM8" i="170"/>
  <c r="AM9" i="170" s="1"/>
  <c r="AM10" i="170" s="1"/>
  <c r="AM11" i="170" s="1"/>
  <c r="AM12" i="170" s="1"/>
  <c r="AM13" i="170" s="1"/>
  <c r="AM14" i="170" s="1"/>
  <c r="AM15" i="170" s="1"/>
  <c r="AM16" i="170" s="1"/>
  <c r="AM17" i="170" s="1"/>
  <c r="AM18" i="170" s="1"/>
  <c r="AM19" i="170" s="1"/>
  <c r="AM20" i="170" s="1"/>
  <c r="AM21" i="170" s="1"/>
  <c r="AM22" i="170" s="1"/>
  <c r="AM23" i="170" s="1"/>
  <c r="AM24" i="170" s="1"/>
  <c r="AM25" i="170" s="1"/>
  <c r="AM26" i="170" s="1"/>
  <c r="AM27" i="170" s="1"/>
  <c r="AM28" i="170" s="1"/>
  <c r="AM29" i="170" s="1"/>
  <c r="AM30" i="170" s="1"/>
  <c r="AM31" i="170" s="1"/>
  <c r="AM32" i="170" s="1"/>
  <c r="AM33" i="170" s="1"/>
  <c r="AM34" i="170" s="1"/>
  <c r="AM35" i="170" s="1"/>
  <c r="AM36" i="170" s="1"/>
  <c r="AI8" i="170"/>
  <c r="AH8" i="170"/>
  <c r="AG8" i="170"/>
  <c r="AF8" i="170"/>
  <c r="AC8" i="170"/>
  <c r="AB8" i="170"/>
  <c r="Y8" i="170"/>
  <c r="X8" i="170"/>
  <c r="U8" i="170"/>
  <c r="AN8" i="170" s="1"/>
  <c r="BG8" i="170" s="1"/>
  <c r="BZ8" i="170" s="1"/>
  <c r="T8" i="170"/>
  <c r="T9" i="170" s="1"/>
  <c r="T10" i="170" s="1"/>
  <c r="T11" i="170" s="1"/>
  <c r="T12" i="170" s="1"/>
  <c r="T13" i="170" s="1"/>
  <c r="T14" i="170" s="1"/>
  <c r="T15" i="170" s="1"/>
  <c r="T16" i="170" s="1"/>
  <c r="T17" i="170" s="1"/>
  <c r="T18" i="170" s="1"/>
  <c r="T19" i="170" s="1"/>
  <c r="T20" i="170" s="1"/>
  <c r="T21" i="170" s="1"/>
  <c r="T22" i="170" s="1"/>
  <c r="T23" i="170" s="1"/>
  <c r="T24" i="170" s="1"/>
  <c r="T25" i="170" s="1"/>
  <c r="T26" i="170" s="1"/>
  <c r="T27" i="170" s="1"/>
  <c r="T28" i="170" s="1"/>
  <c r="T29" i="170" s="1"/>
  <c r="T30" i="170" s="1"/>
  <c r="T31" i="170" s="1"/>
  <c r="T32" i="170" s="1"/>
  <c r="T33" i="170" s="1"/>
  <c r="T34" i="170" s="1"/>
  <c r="T35" i="170" s="1"/>
  <c r="T36" i="170" s="1"/>
  <c r="P8" i="170"/>
  <c r="O8" i="170"/>
  <c r="N8" i="170"/>
  <c r="M8" i="170"/>
  <c r="J8" i="170"/>
  <c r="I8" i="170"/>
  <c r="F8" i="170"/>
  <c r="E8" i="170"/>
  <c r="A8" i="170"/>
  <c r="A9" i="170" s="1"/>
  <c r="A10" i="170" s="1"/>
  <c r="A11" i="170" s="1"/>
  <c r="A12" i="170" s="1"/>
  <c r="A13" i="170" s="1"/>
  <c r="A14" i="170" s="1"/>
  <c r="A15" i="170" s="1"/>
  <c r="A16" i="170" s="1"/>
  <c r="A17" i="170" s="1"/>
  <c r="A18" i="170" s="1"/>
  <c r="A19" i="170" s="1"/>
  <c r="A20" i="170" s="1"/>
  <c r="A21" i="170" s="1"/>
  <c r="A22" i="170" s="1"/>
  <c r="A23" i="170" s="1"/>
  <c r="A24" i="170" s="1"/>
  <c r="A25" i="170" s="1"/>
  <c r="A26" i="170" s="1"/>
  <c r="A27" i="170" s="1"/>
  <c r="A28" i="170" s="1"/>
  <c r="A29" i="170" s="1"/>
  <c r="A30" i="170" s="1"/>
  <c r="A31" i="170" s="1"/>
  <c r="A32" i="170" s="1"/>
  <c r="A33" i="170" s="1"/>
  <c r="A34" i="170" s="1"/>
  <c r="A35" i="170" s="1"/>
  <c r="A36" i="170" s="1"/>
  <c r="CD7" i="170"/>
  <c r="CC7" i="170"/>
  <c r="BU7" i="170"/>
  <c r="BT7" i="170"/>
  <c r="BS7" i="170"/>
  <c r="BR7" i="170"/>
  <c r="BO7" i="170"/>
  <c r="BN7" i="170"/>
  <c r="BK7" i="170"/>
  <c r="BJ7" i="170"/>
  <c r="BB7" i="170"/>
  <c r="BA7" i="170"/>
  <c r="AZ7" i="170"/>
  <c r="AY7" i="170"/>
  <c r="AV7" i="170"/>
  <c r="AU7" i="170"/>
  <c r="AR7" i="170"/>
  <c r="AQ7" i="170"/>
  <c r="AI7" i="170"/>
  <c r="AH7" i="170"/>
  <c r="AG7" i="170"/>
  <c r="AF7" i="170"/>
  <c r="AC7" i="170"/>
  <c r="AB7" i="170"/>
  <c r="Y7" i="170"/>
  <c r="X7" i="170"/>
  <c r="U7" i="170"/>
  <c r="AN7" i="170" s="1"/>
  <c r="BG7" i="170" s="1"/>
  <c r="BZ7" i="170" s="1"/>
  <c r="P7" i="170"/>
  <c r="O7" i="170"/>
  <c r="N7" i="170"/>
  <c r="M7" i="170"/>
  <c r="J7" i="170"/>
  <c r="I7" i="170"/>
  <c r="F7" i="170"/>
  <c r="E7" i="170"/>
  <c r="T6" i="170"/>
  <c r="AM6" i="170" s="1"/>
  <c r="BF6" i="170" s="1"/>
  <c r="BY6" i="170" s="1"/>
  <c r="I29" i="169"/>
  <c r="C29" i="169"/>
  <c r="L28" i="169"/>
  <c r="J28" i="169" s="1"/>
  <c r="K28" i="169"/>
  <c r="F28" i="169"/>
  <c r="D28" i="169" s="1"/>
  <c r="E28" i="169"/>
  <c r="L27" i="169"/>
  <c r="J27" i="169" s="1"/>
  <c r="K27" i="169"/>
  <c r="F27" i="169"/>
  <c r="D27" i="169" s="1"/>
  <c r="E27" i="169"/>
  <c r="L26" i="169"/>
  <c r="J26" i="169" s="1"/>
  <c r="K26" i="169"/>
  <c r="F26" i="169"/>
  <c r="D26" i="169" s="1"/>
  <c r="E26" i="169"/>
  <c r="L25" i="169"/>
  <c r="J25" i="169" s="1"/>
  <c r="K25" i="169"/>
  <c r="F25" i="169"/>
  <c r="D25" i="169" s="1"/>
  <c r="E25" i="169"/>
  <c r="L24" i="169"/>
  <c r="J24" i="169" s="1"/>
  <c r="K24" i="169"/>
  <c r="F24" i="169"/>
  <c r="D24" i="169" s="1"/>
  <c r="E24" i="169"/>
  <c r="L23" i="169"/>
  <c r="J23" i="169" s="1"/>
  <c r="K23" i="169"/>
  <c r="F23" i="169"/>
  <c r="D23" i="169" s="1"/>
  <c r="E23" i="169"/>
  <c r="L22" i="169"/>
  <c r="J22" i="169" s="1"/>
  <c r="K22" i="169"/>
  <c r="F22" i="169"/>
  <c r="D22" i="169" s="1"/>
  <c r="E22" i="169"/>
  <c r="L21" i="169"/>
  <c r="J21" i="169" s="1"/>
  <c r="K21" i="169"/>
  <c r="F21" i="169"/>
  <c r="D21" i="169" s="1"/>
  <c r="E21" i="169"/>
  <c r="L20" i="169"/>
  <c r="J20" i="169" s="1"/>
  <c r="K20" i="169"/>
  <c r="F20" i="169"/>
  <c r="D20" i="169" s="1"/>
  <c r="E20" i="169"/>
  <c r="L19" i="169"/>
  <c r="J19" i="169" s="1"/>
  <c r="K19" i="169"/>
  <c r="F19" i="169"/>
  <c r="D19" i="169" s="1"/>
  <c r="E19" i="169"/>
  <c r="L18" i="169"/>
  <c r="J18" i="169" s="1"/>
  <c r="K18" i="169"/>
  <c r="F18" i="169"/>
  <c r="D18" i="169" s="1"/>
  <c r="E18" i="169"/>
  <c r="L17" i="169"/>
  <c r="J17" i="169" s="1"/>
  <c r="K17" i="169"/>
  <c r="F17" i="169"/>
  <c r="D17" i="169" s="1"/>
  <c r="E17" i="169"/>
  <c r="L16" i="169"/>
  <c r="J16" i="169" s="1"/>
  <c r="K16" i="169"/>
  <c r="F16" i="169"/>
  <c r="D16" i="169" s="1"/>
  <c r="E16" i="169"/>
  <c r="L15" i="169"/>
  <c r="J15" i="169" s="1"/>
  <c r="K15" i="169"/>
  <c r="F15" i="169"/>
  <c r="D15" i="169" s="1"/>
  <c r="E15" i="169"/>
  <c r="L14" i="169"/>
  <c r="J14" i="169" s="1"/>
  <c r="K14" i="169"/>
  <c r="F14" i="169"/>
  <c r="D14" i="169" s="1"/>
  <c r="E14" i="169"/>
  <c r="L13" i="169"/>
  <c r="J13" i="169" s="1"/>
  <c r="K13" i="169"/>
  <c r="F13" i="169"/>
  <c r="D13" i="169" s="1"/>
  <c r="E13" i="169"/>
  <c r="L12" i="169"/>
  <c r="J12" i="169" s="1"/>
  <c r="K12" i="169"/>
  <c r="F12" i="169"/>
  <c r="D12" i="169" s="1"/>
  <c r="E12" i="169"/>
  <c r="L11" i="169"/>
  <c r="J11" i="169" s="1"/>
  <c r="K11" i="169"/>
  <c r="F11" i="169"/>
  <c r="D11" i="169" s="1"/>
  <c r="E11" i="169"/>
  <c r="L10" i="169"/>
  <c r="J10" i="169" s="1"/>
  <c r="K10" i="169"/>
  <c r="F10" i="169"/>
  <c r="D10" i="169" s="1"/>
  <c r="E10" i="169"/>
  <c r="L9" i="169"/>
  <c r="J9" i="169" s="1"/>
  <c r="K9" i="169"/>
  <c r="F9" i="169"/>
  <c r="D9" i="169" s="1"/>
  <c r="E9" i="169"/>
  <c r="L8" i="169"/>
  <c r="J8" i="169" s="1"/>
  <c r="K8" i="169"/>
  <c r="F8" i="169"/>
  <c r="D8" i="169" s="1"/>
  <c r="E8" i="169"/>
  <c r="L7" i="169"/>
  <c r="J7" i="169" s="1"/>
  <c r="K7" i="169"/>
  <c r="F7" i="169"/>
  <c r="D7" i="169" s="1"/>
  <c r="E7" i="169"/>
  <c r="L6" i="169"/>
  <c r="J6" i="169" s="1"/>
  <c r="K6" i="169"/>
  <c r="F6" i="169"/>
  <c r="D6" i="169" s="1"/>
  <c r="E6" i="169"/>
  <c r="L5" i="169"/>
  <c r="J5" i="169" s="1"/>
  <c r="K5" i="169"/>
  <c r="F5" i="169"/>
  <c r="D5" i="169" s="1"/>
  <c r="E5" i="169"/>
  <c r="CB38" i="168"/>
  <c r="CA38" i="168"/>
  <c r="CA39" i="168" s="1"/>
  <c r="BQ38" i="168"/>
  <c r="BP38" i="168"/>
  <c r="BM38" i="168"/>
  <c r="BL38" i="168"/>
  <c r="BI38" i="168"/>
  <c r="BH38" i="168"/>
  <c r="AX38" i="168"/>
  <c r="AW38" i="168"/>
  <c r="AT38" i="168"/>
  <c r="AS38" i="168"/>
  <c r="AP38" i="168"/>
  <c r="AO38" i="168"/>
  <c r="AE38" i="168"/>
  <c r="AD38" i="168"/>
  <c r="AA38" i="168"/>
  <c r="Z38" i="168"/>
  <c r="W38" i="168"/>
  <c r="V38" i="168"/>
  <c r="L38" i="168"/>
  <c r="K38" i="168"/>
  <c r="H38" i="168"/>
  <c r="G38" i="168"/>
  <c r="D38" i="168"/>
  <c r="C38" i="168"/>
  <c r="CD37" i="168"/>
  <c r="CC37" i="168"/>
  <c r="BU37" i="168"/>
  <c r="BT37" i="168"/>
  <c r="BS37" i="168"/>
  <c r="BR37" i="168"/>
  <c r="BO37" i="168"/>
  <c r="BN37" i="168"/>
  <c r="BK37" i="168"/>
  <c r="BJ37" i="168"/>
  <c r="BB37" i="168"/>
  <c r="BA37" i="168"/>
  <c r="AZ37" i="168"/>
  <c r="AY37" i="168"/>
  <c r="AV37" i="168"/>
  <c r="AU37" i="168"/>
  <c r="AR37" i="168"/>
  <c r="AQ37" i="168"/>
  <c r="AI37" i="168"/>
  <c r="AH37" i="168"/>
  <c r="AG37" i="168"/>
  <c r="AF37" i="168"/>
  <c r="AC37" i="168"/>
  <c r="AB37" i="168"/>
  <c r="Y37" i="168"/>
  <c r="X37" i="168"/>
  <c r="U37" i="168"/>
  <c r="AN37" i="168" s="1"/>
  <c r="BG37" i="168" s="1"/>
  <c r="BZ37" i="168" s="1"/>
  <c r="P37" i="168"/>
  <c r="O37" i="168"/>
  <c r="N37" i="168"/>
  <c r="M37" i="168"/>
  <c r="J37" i="168"/>
  <c r="I37" i="168"/>
  <c r="F37" i="168"/>
  <c r="E37" i="168"/>
  <c r="CD36" i="168"/>
  <c r="CC36" i="168"/>
  <c r="BU36" i="168"/>
  <c r="BT36" i="168"/>
  <c r="BS36" i="168"/>
  <c r="BR36" i="168"/>
  <c r="BO36" i="168"/>
  <c r="BN36" i="168"/>
  <c r="BK36" i="168"/>
  <c r="BJ36" i="168"/>
  <c r="BB36" i="168"/>
  <c r="BA36" i="168"/>
  <c r="AZ36" i="168"/>
  <c r="AY36" i="168"/>
  <c r="AV36" i="168"/>
  <c r="AU36" i="168"/>
  <c r="AR36" i="168"/>
  <c r="AQ36" i="168"/>
  <c r="AI36" i="168"/>
  <c r="AH36" i="168"/>
  <c r="AG36" i="168"/>
  <c r="AF36" i="168"/>
  <c r="AC36" i="168"/>
  <c r="AB36" i="168"/>
  <c r="Y36" i="168"/>
  <c r="X36" i="168"/>
  <c r="U36" i="168"/>
  <c r="AN36" i="168" s="1"/>
  <c r="BG36" i="168" s="1"/>
  <c r="BZ36" i="168" s="1"/>
  <c r="P36" i="168"/>
  <c r="O36" i="168"/>
  <c r="N36" i="168"/>
  <c r="M36" i="168"/>
  <c r="J36" i="168"/>
  <c r="I36" i="168"/>
  <c r="F36" i="168"/>
  <c r="E36" i="168"/>
  <c r="CD35" i="168"/>
  <c r="CC35" i="168"/>
  <c r="BU35" i="168"/>
  <c r="BT35" i="168"/>
  <c r="BS35" i="168"/>
  <c r="BR35" i="168"/>
  <c r="BO35" i="168"/>
  <c r="BN35" i="168"/>
  <c r="BK35" i="168"/>
  <c r="BJ35" i="168"/>
  <c r="BB35" i="168"/>
  <c r="BA35" i="168"/>
  <c r="AZ35" i="168"/>
  <c r="AY35" i="168"/>
  <c r="AV35" i="168"/>
  <c r="AU35" i="168"/>
  <c r="AR35" i="168"/>
  <c r="AQ35" i="168"/>
  <c r="AI35" i="168"/>
  <c r="AH35" i="168"/>
  <c r="AG35" i="168"/>
  <c r="AF35" i="168"/>
  <c r="AC35" i="168"/>
  <c r="AB35" i="168"/>
  <c r="Y35" i="168"/>
  <c r="X35" i="168"/>
  <c r="U35" i="168"/>
  <c r="AN35" i="168" s="1"/>
  <c r="BG35" i="168" s="1"/>
  <c r="BZ35" i="168" s="1"/>
  <c r="P35" i="168"/>
  <c r="O35" i="168"/>
  <c r="N35" i="168"/>
  <c r="M35" i="168"/>
  <c r="J35" i="168"/>
  <c r="I35" i="168"/>
  <c r="F35" i="168"/>
  <c r="E35" i="168"/>
  <c r="CD34" i="168"/>
  <c r="CC34" i="168"/>
  <c r="BU34" i="168"/>
  <c r="BV34" i="168" s="1"/>
  <c r="BT34" i="168"/>
  <c r="BS34" i="168"/>
  <c r="BR34" i="168"/>
  <c r="BO34" i="168"/>
  <c r="BN34" i="168"/>
  <c r="BK34" i="168"/>
  <c r="BJ34" i="168"/>
  <c r="BB34" i="168"/>
  <c r="BC34" i="168" s="1"/>
  <c r="BA34" i="168"/>
  <c r="AZ34" i="168"/>
  <c r="AY34" i="168"/>
  <c r="AV34" i="168"/>
  <c r="AU34" i="168"/>
  <c r="AR34" i="168"/>
  <c r="AQ34" i="168"/>
  <c r="AI34" i="168"/>
  <c r="AH34" i="168"/>
  <c r="AG34" i="168"/>
  <c r="AF34" i="168"/>
  <c r="AC34" i="168"/>
  <c r="AB34" i="168"/>
  <c r="Y34" i="168"/>
  <c r="X34" i="168"/>
  <c r="U34" i="168"/>
  <c r="AN34" i="168" s="1"/>
  <c r="BG34" i="168" s="1"/>
  <c r="BZ34" i="168" s="1"/>
  <c r="P34" i="168"/>
  <c r="Q34" i="168" s="1"/>
  <c r="O34" i="168"/>
  <c r="N34" i="168"/>
  <c r="M34" i="168"/>
  <c r="J34" i="168"/>
  <c r="I34" i="168"/>
  <c r="F34" i="168"/>
  <c r="E34" i="168"/>
  <c r="CD33" i="168"/>
  <c r="CC33" i="168"/>
  <c r="BU33" i="168"/>
  <c r="BT33" i="168"/>
  <c r="BS33" i="168"/>
  <c r="BR33" i="168"/>
  <c r="BO33" i="168"/>
  <c r="BN33" i="168"/>
  <c r="BK33" i="168"/>
  <c r="BJ33" i="168"/>
  <c r="BB33" i="168"/>
  <c r="BA33" i="168"/>
  <c r="AZ33" i="168"/>
  <c r="AY33" i="168"/>
  <c r="AV33" i="168"/>
  <c r="AU33" i="168"/>
  <c r="AR33" i="168"/>
  <c r="AQ33" i="168"/>
  <c r="AI33" i="168"/>
  <c r="AH33" i="168"/>
  <c r="AG33" i="168"/>
  <c r="AF33" i="168"/>
  <c r="AC33" i="168"/>
  <c r="AB33" i="168"/>
  <c r="Y33" i="168"/>
  <c r="X33" i="168"/>
  <c r="U33" i="168"/>
  <c r="AN33" i="168" s="1"/>
  <c r="BG33" i="168" s="1"/>
  <c r="BZ33" i="168" s="1"/>
  <c r="P33" i="168"/>
  <c r="O33" i="168"/>
  <c r="N33" i="168"/>
  <c r="M33" i="168"/>
  <c r="J33" i="168"/>
  <c r="I33" i="168"/>
  <c r="F33" i="168"/>
  <c r="E33" i="168"/>
  <c r="CD32" i="168"/>
  <c r="CC32" i="168"/>
  <c r="BU32" i="168"/>
  <c r="BT32" i="168"/>
  <c r="BS32" i="168"/>
  <c r="BR32" i="168"/>
  <c r="BO32" i="168"/>
  <c r="BN32" i="168"/>
  <c r="BK32" i="168"/>
  <c r="BJ32" i="168"/>
  <c r="BB32" i="168"/>
  <c r="BA32" i="168"/>
  <c r="AZ32" i="168"/>
  <c r="AY32" i="168"/>
  <c r="AV32" i="168"/>
  <c r="AU32" i="168"/>
  <c r="AR32" i="168"/>
  <c r="AQ32" i="168"/>
  <c r="AI32" i="168"/>
  <c r="AH32" i="168"/>
  <c r="AG32" i="168"/>
  <c r="AF32" i="168"/>
  <c r="AC32" i="168"/>
  <c r="AB32" i="168"/>
  <c r="Y32" i="168"/>
  <c r="X32" i="168"/>
  <c r="U32" i="168"/>
  <c r="AN32" i="168" s="1"/>
  <c r="BG32" i="168" s="1"/>
  <c r="BZ32" i="168" s="1"/>
  <c r="P32" i="168"/>
  <c r="O32" i="168"/>
  <c r="N32" i="168"/>
  <c r="M32" i="168"/>
  <c r="J32" i="168"/>
  <c r="I32" i="168"/>
  <c r="F32" i="168"/>
  <c r="E32" i="168"/>
  <c r="CD31" i="168"/>
  <c r="CC31" i="168"/>
  <c r="BU31" i="168"/>
  <c r="BT31" i="168"/>
  <c r="BS31" i="168"/>
  <c r="BR31" i="168"/>
  <c r="BO31" i="168"/>
  <c r="BN31" i="168"/>
  <c r="BK31" i="168"/>
  <c r="BJ31" i="168"/>
  <c r="BB31" i="168"/>
  <c r="BA31" i="168"/>
  <c r="AZ31" i="168"/>
  <c r="AY31" i="168"/>
  <c r="AV31" i="168"/>
  <c r="AU31" i="168"/>
  <c r="AR31" i="168"/>
  <c r="AQ31" i="168"/>
  <c r="AI31" i="168"/>
  <c r="AH31" i="168"/>
  <c r="AG31" i="168"/>
  <c r="AF31" i="168"/>
  <c r="AC31" i="168"/>
  <c r="AB31" i="168"/>
  <c r="Y31" i="168"/>
  <c r="X31" i="168"/>
  <c r="U31" i="168"/>
  <c r="AN31" i="168" s="1"/>
  <c r="BG31" i="168" s="1"/>
  <c r="BZ31" i="168" s="1"/>
  <c r="P31" i="168"/>
  <c r="O31" i="168"/>
  <c r="N31" i="168"/>
  <c r="M31" i="168"/>
  <c r="J31" i="168"/>
  <c r="I31" i="168"/>
  <c r="F31" i="168"/>
  <c r="E31" i="168"/>
  <c r="CD30" i="168"/>
  <c r="CC30" i="168"/>
  <c r="BU30" i="168"/>
  <c r="BT30" i="168"/>
  <c r="BS30" i="168"/>
  <c r="BR30" i="168"/>
  <c r="BO30" i="168"/>
  <c r="BN30" i="168"/>
  <c r="BK30" i="168"/>
  <c r="BJ30" i="168"/>
  <c r="BB30" i="168"/>
  <c r="BA30" i="168"/>
  <c r="AZ30" i="168"/>
  <c r="AY30" i="168"/>
  <c r="AV30" i="168"/>
  <c r="AU30" i="168"/>
  <c r="AR30" i="168"/>
  <c r="AQ30" i="168"/>
  <c r="AI30" i="168"/>
  <c r="AH30" i="168"/>
  <c r="AG30" i="168"/>
  <c r="AF30" i="168"/>
  <c r="AC30" i="168"/>
  <c r="AB30" i="168"/>
  <c r="Y30" i="168"/>
  <c r="X30" i="168"/>
  <c r="U30" i="168"/>
  <c r="AN30" i="168" s="1"/>
  <c r="BG30" i="168" s="1"/>
  <c r="BZ30" i="168" s="1"/>
  <c r="P30" i="168"/>
  <c r="O30" i="168"/>
  <c r="N30" i="168"/>
  <c r="M30" i="168"/>
  <c r="J30" i="168"/>
  <c r="I30" i="168"/>
  <c r="F30" i="168"/>
  <c r="E30" i="168"/>
  <c r="CD29" i="168"/>
  <c r="CC29" i="168"/>
  <c r="BU29" i="168"/>
  <c r="BT29" i="168"/>
  <c r="BS29" i="168"/>
  <c r="BR29" i="168"/>
  <c r="BO29" i="168"/>
  <c r="BN29" i="168"/>
  <c r="BK29" i="168"/>
  <c r="BJ29" i="168"/>
  <c r="BB29" i="168"/>
  <c r="BA29" i="168"/>
  <c r="AZ29" i="168"/>
  <c r="AY29" i="168"/>
  <c r="AV29" i="168"/>
  <c r="AU29" i="168"/>
  <c r="AR29" i="168"/>
  <c r="AQ29" i="168"/>
  <c r="AI29" i="168"/>
  <c r="AH29" i="168"/>
  <c r="AG29" i="168"/>
  <c r="AF29" i="168"/>
  <c r="AC29" i="168"/>
  <c r="AB29" i="168"/>
  <c r="Y29" i="168"/>
  <c r="X29" i="168"/>
  <c r="U29" i="168"/>
  <c r="AN29" i="168" s="1"/>
  <c r="BG29" i="168" s="1"/>
  <c r="BZ29" i="168" s="1"/>
  <c r="P29" i="168"/>
  <c r="O29" i="168"/>
  <c r="N29" i="168"/>
  <c r="M29" i="168"/>
  <c r="J29" i="168"/>
  <c r="I29" i="168"/>
  <c r="F29" i="168"/>
  <c r="E29" i="168"/>
  <c r="CD28" i="168"/>
  <c r="CC28" i="168"/>
  <c r="BU28" i="168"/>
  <c r="BT28" i="168"/>
  <c r="BS28" i="168"/>
  <c r="BR28" i="168"/>
  <c r="BO28" i="168"/>
  <c r="BN28" i="168"/>
  <c r="BK28" i="168"/>
  <c r="BJ28" i="168"/>
  <c r="BB28" i="168"/>
  <c r="BA28" i="168"/>
  <c r="AZ28" i="168"/>
  <c r="AY28" i="168"/>
  <c r="AV28" i="168"/>
  <c r="AU28" i="168"/>
  <c r="AR28" i="168"/>
  <c r="AQ28" i="168"/>
  <c r="AI28" i="168"/>
  <c r="AH28" i="168"/>
  <c r="AG28" i="168"/>
  <c r="AF28" i="168"/>
  <c r="AC28" i="168"/>
  <c r="AB28" i="168"/>
  <c r="Y28" i="168"/>
  <c r="X28" i="168"/>
  <c r="U28" i="168"/>
  <c r="AN28" i="168" s="1"/>
  <c r="BG28" i="168" s="1"/>
  <c r="BZ28" i="168" s="1"/>
  <c r="P28" i="168"/>
  <c r="O28" i="168"/>
  <c r="M28" i="168"/>
  <c r="J28" i="168"/>
  <c r="I28" i="168"/>
  <c r="F28" i="168"/>
  <c r="E28" i="168"/>
  <c r="CD27" i="168"/>
  <c r="CC27" i="168"/>
  <c r="BU27" i="168"/>
  <c r="BT27" i="168"/>
  <c r="BS27" i="168"/>
  <c r="BR27" i="168"/>
  <c r="BO27" i="168"/>
  <c r="BN27" i="168"/>
  <c r="BK27" i="168"/>
  <c r="BJ27" i="168"/>
  <c r="BB27" i="168"/>
  <c r="BC27" i="168" s="1"/>
  <c r="BA27" i="168"/>
  <c r="AZ27" i="168"/>
  <c r="AY27" i="168"/>
  <c r="AV27" i="168"/>
  <c r="AU27" i="168"/>
  <c r="AR27" i="168"/>
  <c r="AQ27" i="168"/>
  <c r="AI27" i="168"/>
  <c r="AH27" i="168"/>
  <c r="AG27" i="168"/>
  <c r="AF27" i="168"/>
  <c r="AC27" i="168"/>
  <c r="AB27" i="168"/>
  <c r="Y27" i="168"/>
  <c r="X27" i="168"/>
  <c r="U27" i="168"/>
  <c r="AN27" i="168" s="1"/>
  <c r="BG27" i="168" s="1"/>
  <c r="BZ27" i="168" s="1"/>
  <c r="P27" i="168"/>
  <c r="Q27" i="168" s="1"/>
  <c r="O27" i="168"/>
  <c r="N27" i="168"/>
  <c r="M27" i="168"/>
  <c r="J27" i="168"/>
  <c r="I27" i="168"/>
  <c r="F27" i="168"/>
  <c r="E27" i="168"/>
  <c r="CD26" i="168"/>
  <c r="CC26" i="168"/>
  <c r="BU26" i="168"/>
  <c r="BT26" i="168"/>
  <c r="BS26" i="168"/>
  <c r="BR26" i="168"/>
  <c r="BO26" i="168"/>
  <c r="BN26" i="168"/>
  <c r="BK26" i="168"/>
  <c r="BJ26" i="168"/>
  <c r="BB26" i="168"/>
  <c r="BA26" i="168"/>
  <c r="AZ26" i="168"/>
  <c r="AY26" i="168"/>
  <c r="AV26" i="168"/>
  <c r="AU26" i="168"/>
  <c r="AR26" i="168"/>
  <c r="AQ26" i="168"/>
  <c r="AI26" i="168"/>
  <c r="AH26" i="168"/>
  <c r="AG26" i="168"/>
  <c r="AF26" i="168"/>
  <c r="AC26" i="168"/>
  <c r="AB26" i="168"/>
  <c r="Y26" i="168"/>
  <c r="X26" i="168"/>
  <c r="U26" i="168"/>
  <c r="AN26" i="168" s="1"/>
  <c r="BG26" i="168" s="1"/>
  <c r="BZ26" i="168" s="1"/>
  <c r="P26" i="168"/>
  <c r="O26" i="168"/>
  <c r="N26" i="168"/>
  <c r="M26" i="168"/>
  <c r="J26" i="168"/>
  <c r="I26" i="168"/>
  <c r="F26" i="168"/>
  <c r="E26" i="168"/>
  <c r="CD25" i="168"/>
  <c r="CC25" i="168"/>
  <c r="BU25" i="168"/>
  <c r="BT25" i="168"/>
  <c r="BS25" i="168"/>
  <c r="BR25" i="168"/>
  <c r="BO25" i="168"/>
  <c r="BN25" i="168"/>
  <c r="BK25" i="168"/>
  <c r="BJ25" i="168"/>
  <c r="BB25" i="168"/>
  <c r="BA25" i="168"/>
  <c r="AZ25" i="168"/>
  <c r="AY25" i="168"/>
  <c r="AV25" i="168"/>
  <c r="AU25" i="168"/>
  <c r="AR25" i="168"/>
  <c r="AQ25" i="168"/>
  <c r="AI25" i="168"/>
  <c r="AH25" i="168"/>
  <c r="AG25" i="168"/>
  <c r="AF25" i="168"/>
  <c r="AC25" i="168"/>
  <c r="AB25" i="168"/>
  <c r="Y25" i="168"/>
  <c r="X25" i="168"/>
  <c r="U25" i="168"/>
  <c r="AN25" i="168" s="1"/>
  <c r="BG25" i="168" s="1"/>
  <c r="BZ25" i="168" s="1"/>
  <c r="P25" i="168"/>
  <c r="O25" i="168"/>
  <c r="N25" i="168"/>
  <c r="M25" i="168"/>
  <c r="J25" i="168"/>
  <c r="I25" i="168"/>
  <c r="F25" i="168"/>
  <c r="E25" i="168"/>
  <c r="CD24" i="168"/>
  <c r="CC24" i="168"/>
  <c r="BU24" i="168"/>
  <c r="BT24" i="168"/>
  <c r="BS24" i="168"/>
  <c r="BR24" i="168"/>
  <c r="BO24" i="168"/>
  <c r="BN24" i="168"/>
  <c r="BK24" i="168"/>
  <c r="BJ24" i="168"/>
  <c r="BB24" i="168"/>
  <c r="BA24" i="168"/>
  <c r="AZ24" i="168"/>
  <c r="AY24" i="168"/>
  <c r="AV24" i="168"/>
  <c r="AU24" i="168"/>
  <c r="AR24" i="168"/>
  <c r="AQ24" i="168"/>
  <c r="AI24" i="168"/>
  <c r="AH24" i="168"/>
  <c r="AG24" i="168"/>
  <c r="AF24" i="168"/>
  <c r="AC24" i="168"/>
  <c r="AB24" i="168"/>
  <c r="Y24" i="168"/>
  <c r="X24" i="168"/>
  <c r="U24" i="168"/>
  <c r="AN24" i="168" s="1"/>
  <c r="BG24" i="168" s="1"/>
  <c r="BZ24" i="168" s="1"/>
  <c r="P24" i="168"/>
  <c r="O24" i="168"/>
  <c r="N24" i="168"/>
  <c r="M24" i="168"/>
  <c r="J24" i="168"/>
  <c r="I24" i="168"/>
  <c r="F24" i="168"/>
  <c r="E24" i="168"/>
  <c r="CD23" i="168"/>
  <c r="CC23" i="168"/>
  <c r="BU23" i="168"/>
  <c r="BT23" i="168"/>
  <c r="BS23" i="168"/>
  <c r="BR23" i="168"/>
  <c r="BO23" i="168"/>
  <c r="BN23" i="168"/>
  <c r="BK23" i="168"/>
  <c r="BJ23" i="168"/>
  <c r="BB23" i="168"/>
  <c r="BA23" i="168"/>
  <c r="AZ23" i="168"/>
  <c r="AY23" i="168"/>
  <c r="AV23" i="168"/>
  <c r="AU23" i="168"/>
  <c r="AR23" i="168"/>
  <c r="AQ23" i="168"/>
  <c r="AI23" i="168"/>
  <c r="AH23" i="168"/>
  <c r="AG23" i="168"/>
  <c r="AF23" i="168"/>
  <c r="AC23" i="168"/>
  <c r="AB23" i="168"/>
  <c r="Y23" i="168"/>
  <c r="X23" i="168"/>
  <c r="U23" i="168"/>
  <c r="AN23" i="168" s="1"/>
  <c r="BG23" i="168" s="1"/>
  <c r="BZ23" i="168" s="1"/>
  <c r="P23" i="168"/>
  <c r="O23" i="168"/>
  <c r="N23" i="168"/>
  <c r="M23" i="168"/>
  <c r="J23" i="168"/>
  <c r="I23" i="168"/>
  <c r="F23" i="168"/>
  <c r="E23" i="168"/>
  <c r="CD22" i="168"/>
  <c r="CC22" i="168"/>
  <c r="BU22" i="168"/>
  <c r="BT22" i="168"/>
  <c r="BS22" i="168"/>
  <c r="BR22" i="168"/>
  <c r="BO22" i="168"/>
  <c r="BN22" i="168"/>
  <c r="BK22" i="168"/>
  <c r="BJ22" i="168"/>
  <c r="BB22" i="168"/>
  <c r="BA22" i="168"/>
  <c r="AZ22" i="168"/>
  <c r="AY22" i="168"/>
  <c r="AV22" i="168"/>
  <c r="AU22" i="168"/>
  <c r="AR22" i="168"/>
  <c r="AQ22" i="168"/>
  <c r="AI22" i="168"/>
  <c r="AH22" i="168"/>
  <c r="AG22" i="168"/>
  <c r="AF22" i="168"/>
  <c r="AC22" i="168"/>
  <c r="AB22" i="168"/>
  <c r="Y22" i="168"/>
  <c r="X22" i="168"/>
  <c r="U22" i="168"/>
  <c r="AN22" i="168" s="1"/>
  <c r="BG22" i="168" s="1"/>
  <c r="BZ22" i="168" s="1"/>
  <c r="P22" i="168"/>
  <c r="O22" i="168"/>
  <c r="N22" i="168"/>
  <c r="M22" i="168"/>
  <c r="J22" i="168"/>
  <c r="I22" i="168"/>
  <c r="F22" i="168"/>
  <c r="E22" i="168"/>
  <c r="CD21" i="168"/>
  <c r="CC21" i="168"/>
  <c r="BU21" i="168"/>
  <c r="BT21" i="168"/>
  <c r="BS21" i="168"/>
  <c r="BR21" i="168"/>
  <c r="BO21" i="168"/>
  <c r="BN21" i="168"/>
  <c r="BK21" i="168"/>
  <c r="BJ21" i="168"/>
  <c r="BB21" i="168"/>
  <c r="BA21" i="168"/>
  <c r="AZ21" i="168"/>
  <c r="AY21" i="168"/>
  <c r="AV21" i="168"/>
  <c r="AU21" i="168"/>
  <c r="AR21" i="168"/>
  <c r="AQ21" i="168"/>
  <c r="AI21" i="168"/>
  <c r="AH21" i="168"/>
  <c r="AG21" i="168"/>
  <c r="AF21" i="168"/>
  <c r="AC21" i="168"/>
  <c r="AB21" i="168"/>
  <c r="Y21" i="168"/>
  <c r="X21" i="168"/>
  <c r="U21" i="168"/>
  <c r="AN21" i="168" s="1"/>
  <c r="BG21" i="168" s="1"/>
  <c r="BZ21" i="168" s="1"/>
  <c r="P21" i="168"/>
  <c r="O21" i="168"/>
  <c r="N21" i="168"/>
  <c r="M21" i="168"/>
  <c r="J21" i="168"/>
  <c r="I21" i="168"/>
  <c r="F21" i="168"/>
  <c r="E21" i="168"/>
  <c r="CD20" i="168"/>
  <c r="CC20" i="168"/>
  <c r="BU20" i="168"/>
  <c r="BT20" i="168"/>
  <c r="BS20" i="168"/>
  <c r="BR20" i="168"/>
  <c r="BO20" i="168"/>
  <c r="BN20" i="168"/>
  <c r="BK20" i="168"/>
  <c r="BJ20" i="168"/>
  <c r="BB20" i="168"/>
  <c r="BC20" i="168" s="1"/>
  <c r="BA20" i="168"/>
  <c r="AZ20" i="168"/>
  <c r="AY20" i="168"/>
  <c r="AV20" i="168"/>
  <c r="AU20" i="168"/>
  <c r="AR20" i="168"/>
  <c r="AQ20" i="168"/>
  <c r="AI20" i="168"/>
  <c r="AH20" i="168"/>
  <c r="AG20" i="168"/>
  <c r="AF20" i="168"/>
  <c r="AC20" i="168"/>
  <c r="AB20" i="168"/>
  <c r="Y20" i="168"/>
  <c r="X20" i="168"/>
  <c r="U20" i="168"/>
  <c r="AN20" i="168" s="1"/>
  <c r="BG20" i="168" s="1"/>
  <c r="BZ20" i="168" s="1"/>
  <c r="P20" i="168"/>
  <c r="O20" i="168"/>
  <c r="N20" i="168"/>
  <c r="M20" i="168"/>
  <c r="J20" i="168"/>
  <c r="I20" i="168"/>
  <c r="F20" i="168"/>
  <c r="E20" i="168"/>
  <c r="CD19" i="168"/>
  <c r="CC19" i="168"/>
  <c r="BU19" i="168"/>
  <c r="BT19" i="168"/>
  <c r="BS19" i="168"/>
  <c r="BR19" i="168"/>
  <c r="BO19" i="168"/>
  <c r="BN19" i="168"/>
  <c r="BK19" i="168"/>
  <c r="BJ19" i="168"/>
  <c r="BB19" i="168"/>
  <c r="BA19" i="168"/>
  <c r="AZ19" i="168"/>
  <c r="AY19" i="168"/>
  <c r="AV19" i="168"/>
  <c r="AU19" i="168"/>
  <c r="AR19" i="168"/>
  <c r="AQ19" i="168"/>
  <c r="AI19" i="168"/>
  <c r="AH19" i="168"/>
  <c r="AG19" i="168"/>
  <c r="AF19" i="168"/>
  <c r="AC19" i="168"/>
  <c r="AB19" i="168"/>
  <c r="Y19" i="168"/>
  <c r="X19" i="168"/>
  <c r="U19" i="168"/>
  <c r="AN19" i="168" s="1"/>
  <c r="BG19" i="168" s="1"/>
  <c r="BZ19" i="168" s="1"/>
  <c r="P19" i="168"/>
  <c r="O19" i="168"/>
  <c r="N19" i="168"/>
  <c r="M19" i="168"/>
  <c r="J19" i="168"/>
  <c r="I19" i="168"/>
  <c r="F19" i="168"/>
  <c r="E19" i="168"/>
  <c r="CD18" i="168"/>
  <c r="CC18" i="168"/>
  <c r="BU18" i="168"/>
  <c r="BT18" i="168"/>
  <c r="BS18" i="168"/>
  <c r="BR18" i="168"/>
  <c r="BO18" i="168"/>
  <c r="BN18" i="168"/>
  <c r="BK18" i="168"/>
  <c r="BJ18" i="168"/>
  <c r="BB18" i="168"/>
  <c r="BA18" i="168"/>
  <c r="AZ18" i="168"/>
  <c r="AY18" i="168"/>
  <c r="AV18" i="168"/>
  <c r="AR18" i="168"/>
  <c r="AQ18" i="168"/>
  <c r="AI18" i="168"/>
  <c r="AH18" i="168"/>
  <c r="AG18" i="168"/>
  <c r="AF18" i="168"/>
  <c r="AC18" i="168"/>
  <c r="AB18" i="168"/>
  <c r="Y18" i="168"/>
  <c r="X18" i="168"/>
  <c r="U18" i="168"/>
  <c r="AN18" i="168" s="1"/>
  <c r="BG18" i="168" s="1"/>
  <c r="BZ18" i="168" s="1"/>
  <c r="P18" i="168"/>
  <c r="O18" i="168"/>
  <c r="N18" i="168"/>
  <c r="M18" i="168"/>
  <c r="J18" i="168"/>
  <c r="I18" i="168"/>
  <c r="F18" i="168"/>
  <c r="E18" i="168"/>
  <c r="CD17" i="168"/>
  <c r="CC17" i="168"/>
  <c r="BU17" i="168"/>
  <c r="BT17" i="168"/>
  <c r="BS17" i="168"/>
  <c r="BR17" i="168"/>
  <c r="BO17" i="168"/>
  <c r="BN17" i="168"/>
  <c r="BK17" i="168"/>
  <c r="BJ17" i="168"/>
  <c r="BB17" i="168"/>
  <c r="BA17" i="168"/>
  <c r="AZ17" i="168"/>
  <c r="AY17" i="168"/>
  <c r="AV17" i="168"/>
  <c r="AU17" i="168"/>
  <c r="AR17" i="168"/>
  <c r="AQ17" i="168"/>
  <c r="AI17" i="168"/>
  <c r="AH17" i="168"/>
  <c r="AG17" i="168"/>
  <c r="AF17" i="168"/>
  <c r="AC17" i="168"/>
  <c r="AB17" i="168"/>
  <c r="Y17" i="168"/>
  <c r="X17" i="168"/>
  <c r="U17" i="168"/>
  <c r="AN17" i="168" s="1"/>
  <c r="BG17" i="168" s="1"/>
  <c r="BZ17" i="168" s="1"/>
  <c r="P17" i="168"/>
  <c r="O17" i="168"/>
  <c r="N17" i="168"/>
  <c r="M17" i="168"/>
  <c r="J17" i="168"/>
  <c r="I17" i="168"/>
  <c r="F17" i="168"/>
  <c r="E17" i="168"/>
  <c r="CD16" i="168"/>
  <c r="CC16" i="168"/>
  <c r="BU16" i="168"/>
  <c r="BT16" i="168"/>
  <c r="BS16" i="168"/>
  <c r="BR16" i="168"/>
  <c r="BO16" i="168"/>
  <c r="BN16" i="168"/>
  <c r="BK16" i="168"/>
  <c r="BJ16" i="168"/>
  <c r="BB16" i="168"/>
  <c r="BA16" i="168"/>
  <c r="AZ16" i="168"/>
  <c r="AY16" i="168"/>
  <c r="AV16" i="168"/>
  <c r="AU16" i="168"/>
  <c r="AR16" i="168"/>
  <c r="AQ16" i="168"/>
  <c r="AI16" i="168"/>
  <c r="AH16" i="168"/>
  <c r="AG16" i="168"/>
  <c r="AF16" i="168"/>
  <c r="AC16" i="168"/>
  <c r="AB16" i="168"/>
  <c r="Y16" i="168"/>
  <c r="X16" i="168"/>
  <c r="U16" i="168"/>
  <c r="AN16" i="168" s="1"/>
  <c r="BG16" i="168" s="1"/>
  <c r="BZ16" i="168" s="1"/>
  <c r="P16" i="168"/>
  <c r="O16" i="168"/>
  <c r="N16" i="168"/>
  <c r="M16" i="168"/>
  <c r="J16" i="168"/>
  <c r="I16" i="168"/>
  <c r="F16" i="168"/>
  <c r="E16" i="168"/>
  <c r="CD15" i="168"/>
  <c r="CC15" i="168"/>
  <c r="BU15" i="168"/>
  <c r="BT15" i="168"/>
  <c r="BS15" i="168"/>
  <c r="BR15" i="168"/>
  <c r="BO15" i="168"/>
  <c r="BN15" i="168"/>
  <c r="BK15" i="168"/>
  <c r="BJ15" i="168"/>
  <c r="BB15" i="168"/>
  <c r="BA15" i="168"/>
  <c r="AZ15" i="168"/>
  <c r="AY15" i="168"/>
  <c r="AV15" i="168"/>
  <c r="AU15" i="168"/>
  <c r="AR15" i="168"/>
  <c r="AQ15" i="168"/>
  <c r="AI15" i="168"/>
  <c r="AH15" i="168"/>
  <c r="AG15" i="168"/>
  <c r="AF15" i="168"/>
  <c r="AC15" i="168"/>
  <c r="AB15" i="168"/>
  <c r="Y15" i="168"/>
  <c r="X15" i="168"/>
  <c r="U15" i="168"/>
  <c r="AN15" i="168" s="1"/>
  <c r="BG15" i="168" s="1"/>
  <c r="BZ15" i="168" s="1"/>
  <c r="P15" i="168"/>
  <c r="O15" i="168"/>
  <c r="N15" i="168"/>
  <c r="M15" i="168"/>
  <c r="J15" i="168"/>
  <c r="I15" i="168"/>
  <c r="F15" i="168"/>
  <c r="E15" i="168"/>
  <c r="CD14" i="168"/>
  <c r="CC14" i="168"/>
  <c r="BU14" i="168"/>
  <c r="BT14" i="168"/>
  <c r="BS14" i="168"/>
  <c r="BR14" i="168"/>
  <c r="BO14" i="168"/>
  <c r="BN14" i="168"/>
  <c r="BK14" i="168"/>
  <c r="BJ14" i="168"/>
  <c r="BB14" i="168"/>
  <c r="BA14" i="168"/>
  <c r="AZ14" i="168"/>
  <c r="AY14" i="168"/>
  <c r="AV14" i="168"/>
  <c r="AU14" i="168"/>
  <c r="AR14" i="168"/>
  <c r="AQ14" i="168"/>
  <c r="AI14" i="168"/>
  <c r="AH14" i="168"/>
  <c r="AG14" i="168"/>
  <c r="AF14" i="168"/>
  <c r="AC14" i="168"/>
  <c r="AB14" i="168"/>
  <c r="Y14" i="168"/>
  <c r="X14" i="168"/>
  <c r="U14" i="168"/>
  <c r="AN14" i="168" s="1"/>
  <c r="BG14" i="168" s="1"/>
  <c r="BZ14" i="168" s="1"/>
  <c r="P14" i="168"/>
  <c r="O14" i="168"/>
  <c r="N14" i="168"/>
  <c r="M14" i="168"/>
  <c r="J14" i="168"/>
  <c r="I14" i="168"/>
  <c r="F14" i="168"/>
  <c r="E14" i="168"/>
  <c r="CD13" i="168"/>
  <c r="CC13" i="168"/>
  <c r="BU13" i="168"/>
  <c r="BV13" i="168" s="1"/>
  <c r="BT13" i="168"/>
  <c r="BS13" i="168"/>
  <c r="BR13" i="168"/>
  <c r="BO13" i="168"/>
  <c r="BN13" i="168"/>
  <c r="BK13" i="168"/>
  <c r="BJ13" i="168"/>
  <c r="BB13" i="168"/>
  <c r="BA13" i="168"/>
  <c r="AZ13" i="168"/>
  <c r="AY13" i="168"/>
  <c r="AV13" i="168"/>
  <c r="AU13" i="168"/>
  <c r="AR13" i="168"/>
  <c r="AQ13" i="168"/>
  <c r="AI13" i="168"/>
  <c r="AH13" i="168"/>
  <c r="AG13" i="168"/>
  <c r="AF13" i="168"/>
  <c r="AC13" i="168"/>
  <c r="AB13" i="168"/>
  <c r="Y13" i="168"/>
  <c r="X13" i="168"/>
  <c r="U13" i="168"/>
  <c r="AN13" i="168" s="1"/>
  <c r="BG13" i="168" s="1"/>
  <c r="BZ13" i="168" s="1"/>
  <c r="P13" i="168"/>
  <c r="O13" i="168"/>
  <c r="N13" i="168"/>
  <c r="M13" i="168"/>
  <c r="J13" i="168"/>
  <c r="I13" i="168"/>
  <c r="F13" i="168"/>
  <c r="E13" i="168"/>
  <c r="CD12" i="168"/>
  <c r="CC12" i="168"/>
  <c r="BU12" i="168"/>
  <c r="BT12" i="168"/>
  <c r="BS12" i="168"/>
  <c r="BR12" i="168"/>
  <c r="BO12" i="168"/>
  <c r="BN12" i="168"/>
  <c r="BK12" i="168"/>
  <c r="BJ12" i="168"/>
  <c r="BB12" i="168"/>
  <c r="BA12" i="168"/>
  <c r="AZ12" i="168"/>
  <c r="AY12" i="168"/>
  <c r="AV12" i="168"/>
  <c r="AU12" i="168"/>
  <c r="AR12" i="168"/>
  <c r="AQ12" i="168"/>
  <c r="AI12" i="168"/>
  <c r="AH12" i="168"/>
  <c r="AG12" i="168"/>
  <c r="AF12" i="168"/>
  <c r="AC12" i="168"/>
  <c r="AB12" i="168"/>
  <c r="Y12" i="168"/>
  <c r="X12" i="168"/>
  <c r="U12" i="168"/>
  <c r="AN12" i="168" s="1"/>
  <c r="BG12" i="168" s="1"/>
  <c r="BZ12" i="168" s="1"/>
  <c r="P12" i="168"/>
  <c r="O12" i="168"/>
  <c r="N12" i="168"/>
  <c r="M12" i="168"/>
  <c r="J12" i="168"/>
  <c r="I12" i="168"/>
  <c r="F12" i="168"/>
  <c r="E12" i="168"/>
  <c r="CD11" i="168"/>
  <c r="CC11" i="168"/>
  <c r="BU11" i="168"/>
  <c r="BT11" i="168"/>
  <c r="BS11" i="168"/>
  <c r="BR11" i="168"/>
  <c r="BO11" i="168"/>
  <c r="BN11" i="168"/>
  <c r="BK11" i="168"/>
  <c r="BJ11" i="168"/>
  <c r="BB11" i="168"/>
  <c r="BA11" i="168"/>
  <c r="AZ11" i="168"/>
  <c r="AY11" i="168"/>
  <c r="AV11" i="168"/>
  <c r="AU11" i="168"/>
  <c r="AR11" i="168"/>
  <c r="AQ11" i="168"/>
  <c r="AI11" i="168"/>
  <c r="AH11" i="168"/>
  <c r="AG11" i="168"/>
  <c r="AF11" i="168"/>
  <c r="AC11" i="168"/>
  <c r="AB11" i="168"/>
  <c r="Y11" i="168"/>
  <c r="X11" i="168"/>
  <c r="U11" i="168"/>
  <c r="AN11" i="168" s="1"/>
  <c r="BG11" i="168" s="1"/>
  <c r="BZ11" i="168" s="1"/>
  <c r="P11" i="168"/>
  <c r="O11" i="168"/>
  <c r="N11" i="168"/>
  <c r="M11" i="168"/>
  <c r="J11" i="168"/>
  <c r="I11" i="168"/>
  <c r="F11" i="168"/>
  <c r="E11" i="168"/>
  <c r="CD10" i="168"/>
  <c r="CC10" i="168"/>
  <c r="BU10" i="168"/>
  <c r="BT10" i="168"/>
  <c r="BS10" i="168"/>
  <c r="BR10" i="168"/>
  <c r="BO10" i="168"/>
  <c r="BN10" i="168"/>
  <c r="BK10" i="168"/>
  <c r="BJ10" i="168"/>
  <c r="BB10" i="168"/>
  <c r="BA10" i="168"/>
  <c r="AZ10" i="168"/>
  <c r="AY10" i="168"/>
  <c r="AV10" i="168"/>
  <c r="AU10" i="168"/>
  <c r="AR10" i="168"/>
  <c r="AQ10" i="168"/>
  <c r="AI10" i="168"/>
  <c r="AH10" i="168"/>
  <c r="AG10" i="168"/>
  <c r="AF10" i="168"/>
  <c r="AC10" i="168"/>
  <c r="AB10" i="168"/>
  <c r="Y10" i="168"/>
  <c r="X10" i="168"/>
  <c r="U10" i="168"/>
  <c r="AN10" i="168" s="1"/>
  <c r="BG10" i="168" s="1"/>
  <c r="BZ10" i="168" s="1"/>
  <c r="P10" i="168"/>
  <c r="O10" i="168"/>
  <c r="N10" i="168"/>
  <c r="M10" i="168"/>
  <c r="J10" i="168"/>
  <c r="I10" i="168"/>
  <c r="F10" i="168"/>
  <c r="E10" i="168"/>
  <c r="CD9" i="168"/>
  <c r="CC9" i="168"/>
  <c r="BU9" i="168"/>
  <c r="BT9" i="168"/>
  <c r="BS9" i="168"/>
  <c r="BR9" i="168"/>
  <c r="BO9" i="168"/>
  <c r="BN9" i="168"/>
  <c r="BK9" i="168"/>
  <c r="BJ9" i="168"/>
  <c r="BB9" i="168"/>
  <c r="BA9" i="168"/>
  <c r="AZ9" i="168"/>
  <c r="AY9" i="168"/>
  <c r="AV9" i="168"/>
  <c r="AU9" i="168"/>
  <c r="AR9" i="168"/>
  <c r="AQ9" i="168"/>
  <c r="AI9" i="168"/>
  <c r="AH9" i="168"/>
  <c r="AG9" i="168"/>
  <c r="AF9" i="168"/>
  <c r="AC9" i="168"/>
  <c r="AB9" i="168"/>
  <c r="Y9" i="168"/>
  <c r="X9" i="168"/>
  <c r="U9" i="168"/>
  <c r="AN9" i="168" s="1"/>
  <c r="BG9" i="168" s="1"/>
  <c r="BZ9" i="168" s="1"/>
  <c r="P9" i="168"/>
  <c r="O9" i="168"/>
  <c r="N9" i="168"/>
  <c r="M9" i="168"/>
  <c r="J9" i="168"/>
  <c r="I9" i="168"/>
  <c r="F9" i="168"/>
  <c r="E9" i="168"/>
  <c r="CD8" i="168"/>
  <c r="CC8" i="168"/>
  <c r="BY8" i="168"/>
  <c r="BY9" i="168" s="1"/>
  <c r="BY10" i="168" s="1"/>
  <c r="BY11" i="168" s="1"/>
  <c r="BY12" i="168" s="1"/>
  <c r="BY13" i="168" s="1"/>
  <c r="BY14" i="168" s="1"/>
  <c r="BY15" i="168" s="1"/>
  <c r="BY16" i="168" s="1"/>
  <c r="BY17" i="168" s="1"/>
  <c r="BY18" i="168" s="1"/>
  <c r="BY19" i="168" s="1"/>
  <c r="BY20" i="168" s="1"/>
  <c r="BY21" i="168" s="1"/>
  <c r="BY22" i="168" s="1"/>
  <c r="BY23" i="168" s="1"/>
  <c r="BY24" i="168" s="1"/>
  <c r="BY25" i="168" s="1"/>
  <c r="BY26" i="168" s="1"/>
  <c r="BY27" i="168" s="1"/>
  <c r="BY28" i="168" s="1"/>
  <c r="BY29" i="168" s="1"/>
  <c r="BY30" i="168" s="1"/>
  <c r="BY31" i="168" s="1"/>
  <c r="BY32" i="168" s="1"/>
  <c r="BY33" i="168" s="1"/>
  <c r="BY34" i="168" s="1"/>
  <c r="BY35" i="168" s="1"/>
  <c r="BY36" i="168" s="1"/>
  <c r="BU8" i="168"/>
  <c r="BT8" i="168"/>
  <c r="BS8" i="168"/>
  <c r="BR8" i="168"/>
  <c r="BO8" i="168"/>
  <c r="BN8" i="168"/>
  <c r="BK8" i="168"/>
  <c r="BJ8" i="168"/>
  <c r="BF8" i="168"/>
  <c r="BF9" i="168" s="1"/>
  <c r="BF10" i="168" s="1"/>
  <c r="BF11" i="168" s="1"/>
  <c r="BF12" i="168" s="1"/>
  <c r="BF13" i="168" s="1"/>
  <c r="BF14" i="168" s="1"/>
  <c r="BF15" i="168" s="1"/>
  <c r="BF16" i="168" s="1"/>
  <c r="BF17" i="168" s="1"/>
  <c r="BF18" i="168" s="1"/>
  <c r="BF19" i="168" s="1"/>
  <c r="BF20" i="168" s="1"/>
  <c r="BF21" i="168" s="1"/>
  <c r="BF22" i="168" s="1"/>
  <c r="BF23" i="168" s="1"/>
  <c r="BF24" i="168" s="1"/>
  <c r="BF25" i="168" s="1"/>
  <c r="BF26" i="168" s="1"/>
  <c r="BF27" i="168" s="1"/>
  <c r="BF28" i="168" s="1"/>
  <c r="BF29" i="168" s="1"/>
  <c r="BF30" i="168" s="1"/>
  <c r="BF31" i="168" s="1"/>
  <c r="BF32" i="168" s="1"/>
  <c r="BF33" i="168" s="1"/>
  <c r="BF34" i="168" s="1"/>
  <c r="BF35" i="168" s="1"/>
  <c r="BF36" i="168" s="1"/>
  <c r="BB8" i="168"/>
  <c r="BA8" i="168"/>
  <c r="AZ8" i="168"/>
  <c r="AY8" i="168"/>
  <c r="AV8" i="168"/>
  <c r="AU8" i="168"/>
  <c r="AR8" i="168"/>
  <c r="AQ8" i="168"/>
  <c r="AM8" i="168"/>
  <c r="AM9" i="168" s="1"/>
  <c r="AM10" i="168" s="1"/>
  <c r="AM11" i="168" s="1"/>
  <c r="AM12" i="168" s="1"/>
  <c r="AM13" i="168" s="1"/>
  <c r="AM14" i="168" s="1"/>
  <c r="AM15" i="168" s="1"/>
  <c r="AM16" i="168" s="1"/>
  <c r="AM17" i="168" s="1"/>
  <c r="AM18" i="168" s="1"/>
  <c r="AM19" i="168" s="1"/>
  <c r="AM20" i="168" s="1"/>
  <c r="AM21" i="168" s="1"/>
  <c r="AM22" i="168" s="1"/>
  <c r="AM23" i="168" s="1"/>
  <c r="AM24" i="168" s="1"/>
  <c r="AM25" i="168" s="1"/>
  <c r="AM26" i="168" s="1"/>
  <c r="AM27" i="168" s="1"/>
  <c r="AM28" i="168" s="1"/>
  <c r="AM29" i="168" s="1"/>
  <c r="AM30" i="168" s="1"/>
  <c r="AM31" i="168" s="1"/>
  <c r="AM32" i="168" s="1"/>
  <c r="AM33" i="168" s="1"/>
  <c r="AM34" i="168" s="1"/>
  <c r="AM35" i="168" s="1"/>
  <c r="AM36" i="168" s="1"/>
  <c r="AI8" i="168"/>
  <c r="AH8" i="168"/>
  <c r="AG8" i="168"/>
  <c r="AF8" i="168"/>
  <c r="AC8" i="168"/>
  <c r="AB8" i="168"/>
  <c r="Y8" i="168"/>
  <c r="X8" i="168"/>
  <c r="U8" i="168"/>
  <c r="AN8" i="168" s="1"/>
  <c r="BG8" i="168" s="1"/>
  <c r="BZ8" i="168" s="1"/>
  <c r="T8" i="168"/>
  <c r="T9" i="168" s="1"/>
  <c r="T10" i="168" s="1"/>
  <c r="T11" i="168" s="1"/>
  <c r="T12" i="168" s="1"/>
  <c r="T13" i="168" s="1"/>
  <c r="T14" i="168" s="1"/>
  <c r="T15" i="168" s="1"/>
  <c r="T16" i="168" s="1"/>
  <c r="T17" i="168" s="1"/>
  <c r="T18" i="168" s="1"/>
  <c r="T19" i="168" s="1"/>
  <c r="T20" i="168" s="1"/>
  <c r="T21" i="168" s="1"/>
  <c r="T22" i="168" s="1"/>
  <c r="T23" i="168" s="1"/>
  <c r="T24" i="168" s="1"/>
  <c r="T25" i="168" s="1"/>
  <c r="T26" i="168" s="1"/>
  <c r="T27" i="168" s="1"/>
  <c r="T28" i="168" s="1"/>
  <c r="T29" i="168" s="1"/>
  <c r="T30" i="168" s="1"/>
  <c r="T31" i="168" s="1"/>
  <c r="T32" i="168" s="1"/>
  <c r="T33" i="168" s="1"/>
  <c r="T34" i="168" s="1"/>
  <c r="T35" i="168" s="1"/>
  <c r="T36" i="168" s="1"/>
  <c r="P8" i="168"/>
  <c r="O8" i="168"/>
  <c r="N8" i="168"/>
  <c r="M8" i="168"/>
  <c r="J8" i="168"/>
  <c r="I8" i="168"/>
  <c r="F8" i="168"/>
  <c r="E8" i="168"/>
  <c r="A8" i="168"/>
  <c r="A9" i="168" s="1"/>
  <c r="A10" i="168" s="1"/>
  <c r="A11" i="168" s="1"/>
  <c r="A12" i="168" s="1"/>
  <c r="A13" i="168" s="1"/>
  <c r="A14" i="168" s="1"/>
  <c r="A15" i="168" s="1"/>
  <c r="A16" i="168" s="1"/>
  <c r="A17" i="168" s="1"/>
  <c r="A18" i="168" s="1"/>
  <c r="A19" i="168" s="1"/>
  <c r="A20" i="168" s="1"/>
  <c r="A21" i="168" s="1"/>
  <c r="A22" i="168" s="1"/>
  <c r="A23" i="168" s="1"/>
  <c r="A24" i="168" s="1"/>
  <c r="A25" i="168" s="1"/>
  <c r="A26" i="168" s="1"/>
  <c r="A27" i="168" s="1"/>
  <c r="A28" i="168" s="1"/>
  <c r="A29" i="168" s="1"/>
  <c r="A30" i="168" s="1"/>
  <c r="A31" i="168" s="1"/>
  <c r="A32" i="168" s="1"/>
  <c r="A33" i="168" s="1"/>
  <c r="A34" i="168" s="1"/>
  <c r="A35" i="168" s="1"/>
  <c r="A36" i="168" s="1"/>
  <c r="CD7" i="168"/>
  <c r="CC7" i="168"/>
  <c r="BU7" i="168"/>
  <c r="BT7" i="168"/>
  <c r="BS7" i="168"/>
  <c r="BR7" i="168"/>
  <c r="BO7" i="168"/>
  <c r="BN7" i="168"/>
  <c r="BK7" i="168"/>
  <c r="BJ7" i="168"/>
  <c r="BB7" i="168"/>
  <c r="BA7" i="168"/>
  <c r="AZ7" i="168"/>
  <c r="AY7" i="168"/>
  <c r="AV7" i="168"/>
  <c r="AU7" i="168"/>
  <c r="AR7" i="168"/>
  <c r="AQ7" i="168"/>
  <c r="AI7" i="168"/>
  <c r="AH7" i="168"/>
  <c r="AG7" i="168"/>
  <c r="AF7" i="168"/>
  <c r="AC7" i="168"/>
  <c r="AB7" i="168"/>
  <c r="Y7" i="168"/>
  <c r="X7" i="168"/>
  <c r="U7" i="168"/>
  <c r="AN7" i="168" s="1"/>
  <c r="BG7" i="168" s="1"/>
  <c r="BZ7" i="168" s="1"/>
  <c r="P7" i="168"/>
  <c r="O7" i="168"/>
  <c r="N7" i="168"/>
  <c r="M7" i="168"/>
  <c r="J7" i="168"/>
  <c r="I7" i="168"/>
  <c r="F7" i="168"/>
  <c r="E7" i="168"/>
  <c r="T6" i="168"/>
  <c r="AM6" i="168" s="1"/>
  <c r="BF6" i="168" s="1"/>
  <c r="BY6" i="168" s="1"/>
  <c r="I31" i="167"/>
  <c r="C31" i="167"/>
  <c r="L30" i="167"/>
  <c r="J30" i="167" s="1"/>
  <c r="K30" i="167"/>
  <c r="F30" i="167"/>
  <c r="D30" i="167" s="1"/>
  <c r="E30" i="167"/>
  <c r="L29" i="167"/>
  <c r="J29" i="167" s="1"/>
  <c r="K29" i="167"/>
  <c r="F29" i="167"/>
  <c r="D29" i="167" s="1"/>
  <c r="E29" i="167"/>
  <c r="L28" i="167"/>
  <c r="J28" i="167" s="1"/>
  <c r="K28" i="167"/>
  <c r="F28" i="167"/>
  <c r="D28" i="167" s="1"/>
  <c r="E28" i="167"/>
  <c r="L27" i="167"/>
  <c r="J27" i="167" s="1"/>
  <c r="K27" i="167"/>
  <c r="F27" i="167"/>
  <c r="D27" i="167" s="1"/>
  <c r="E27" i="167"/>
  <c r="L26" i="167"/>
  <c r="J26" i="167" s="1"/>
  <c r="K26" i="167"/>
  <c r="F26" i="167"/>
  <c r="D26" i="167" s="1"/>
  <c r="E26" i="167"/>
  <c r="L25" i="167"/>
  <c r="J25" i="167" s="1"/>
  <c r="K25" i="167"/>
  <c r="F25" i="167"/>
  <c r="D25" i="167" s="1"/>
  <c r="E25" i="167"/>
  <c r="L24" i="167"/>
  <c r="J24" i="167" s="1"/>
  <c r="K24" i="167"/>
  <c r="F24" i="167"/>
  <c r="D24" i="167" s="1"/>
  <c r="E24" i="167"/>
  <c r="L23" i="167"/>
  <c r="J23" i="167" s="1"/>
  <c r="K23" i="167"/>
  <c r="F23" i="167"/>
  <c r="D23" i="167" s="1"/>
  <c r="E23" i="167"/>
  <c r="L22" i="167"/>
  <c r="J22" i="167" s="1"/>
  <c r="K22" i="167"/>
  <c r="F22" i="167"/>
  <c r="D22" i="167" s="1"/>
  <c r="E22" i="167"/>
  <c r="L21" i="167"/>
  <c r="J21" i="167" s="1"/>
  <c r="K21" i="167"/>
  <c r="F21" i="167"/>
  <c r="D21" i="167" s="1"/>
  <c r="E21" i="167"/>
  <c r="L20" i="167"/>
  <c r="J20" i="167" s="1"/>
  <c r="K20" i="167"/>
  <c r="F20" i="167"/>
  <c r="D20" i="167" s="1"/>
  <c r="E20" i="167"/>
  <c r="L19" i="167"/>
  <c r="J19" i="167" s="1"/>
  <c r="K19" i="167"/>
  <c r="F19" i="167"/>
  <c r="D19" i="167" s="1"/>
  <c r="E19" i="167"/>
  <c r="L18" i="167"/>
  <c r="J18" i="167" s="1"/>
  <c r="K18" i="167"/>
  <c r="F18" i="167"/>
  <c r="D18" i="167" s="1"/>
  <c r="E18" i="167"/>
  <c r="L17" i="167"/>
  <c r="J17" i="167" s="1"/>
  <c r="K17" i="167"/>
  <c r="F17" i="167"/>
  <c r="D17" i="167" s="1"/>
  <c r="E17" i="167"/>
  <c r="L16" i="167"/>
  <c r="J16" i="167" s="1"/>
  <c r="K16" i="167"/>
  <c r="F16" i="167"/>
  <c r="D16" i="167" s="1"/>
  <c r="E16" i="167"/>
  <c r="L15" i="167"/>
  <c r="J15" i="167" s="1"/>
  <c r="K15" i="167"/>
  <c r="F15" i="167"/>
  <c r="D15" i="167" s="1"/>
  <c r="E15" i="167"/>
  <c r="L14" i="167"/>
  <c r="J14" i="167" s="1"/>
  <c r="K14" i="167"/>
  <c r="F14" i="167"/>
  <c r="D14" i="167" s="1"/>
  <c r="E14" i="167"/>
  <c r="L13" i="167"/>
  <c r="J13" i="167" s="1"/>
  <c r="K13" i="167"/>
  <c r="F13" i="167"/>
  <c r="D13" i="167" s="1"/>
  <c r="E13" i="167"/>
  <c r="L12" i="167"/>
  <c r="J12" i="167" s="1"/>
  <c r="K12" i="167"/>
  <c r="F12" i="167"/>
  <c r="D12" i="167" s="1"/>
  <c r="E12" i="167"/>
  <c r="L11" i="167"/>
  <c r="J11" i="167" s="1"/>
  <c r="K11" i="167"/>
  <c r="F11" i="167"/>
  <c r="D11" i="167" s="1"/>
  <c r="E11" i="167"/>
  <c r="L10" i="167"/>
  <c r="J10" i="167" s="1"/>
  <c r="K10" i="167"/>
  <c r="F10" i="167"/>
  <c r="D10" i="167" s="1"/>
  <c r="E10" i="167"/>
  <c r="L9" i="167"/>
  <c r="J9" i="167" s="1"/>
  <c r="K9" i="167"/>
  <c r="F9" i="167"/>
  <c r="D9" i="167" s="1"/>
  <c r="E9" i="167"/>
  <c r="L8" i="167"/>
  <c r="J8" i="167" s="1"/>
  <c r="K8" i="167"/>
  <c r="F8" i="167"/>
  <c r="D8" i="167" s="1"/>
  <c r="E8" i="167"/>
  <c r="L7" i="167"/>
  <c r="J7" i="167" s="1"/>
  <c r="K7" i="167"/>
  <c r="F7" i="167"/>
  <c r="D7" i="167" s="1"/>
  <c r="E7" i="167"/>
  <c r="L6" i="167"/>
  <c r="J6" i="167" s="1"/>
  <c r="K6" i="167"/>
  <c r="F6" i="167"/>
  <c r="D6" i="167" s="1"/>
  <c r="E6" i="167"/>
  <c r="L5" i="167"/>
  <c r="J5" i="167" s="1"/>
  <c r="K5" i="167"/>
  <c r="F5" i="167"/>
  <c r="D5" i="167" s="1"/>
  <c r="E5" i="167"/>
  <c r="CB38" i="166"/>
  <c r="CA38" i="166"/>
  <c r="CA39" i="166" s="1"/>
  <c r="BQ38" i="166"/>
  <c r="BP38" i="166"/>
  <c r="BM38" i="166"/>
  <c r="BL38" i="166"/>
  <c r="BI38" i="166"/>
  <c r="BH38" i="166"/>
  <c r="AX38" i="166"/>
  <c r="AW38" i="166"/>
  <c r="AT38" i="166"/>
  <c r="AS38" i="166"/>
  <c r="AP38" i="166"/>
  <c r="AO38" i="166"/>
  <c r="AE38" i="166"/>
  <c r="AD38" i="166"/>
  <c r="AA38" i="166"/>
  <c r="Z38" i="166"/>
  <c r="W38" i="166"/>
  <c r="V38" i="166"/>
  <c r="L38" i="166"/>
  <c r="K38" i="166"/>
  <c r="H38" i="166"/>
  <c r="G38" i="166"/>
  <c r="D38" i="166"/>
  <c r="C38" i="166"/>
  <c r="CD37" i="166"/>
  <c r="CC37" i="166"/>
  <c r="BU37" i="166"/>
  <c r="BW37" i="166" s="1"/>
  <c r="BT37" i="166"/>
  <c r="BS37" i="166"/>
  <c r="BR37" i="166"/>
  <c r="BO37" i="166"/>
  <c r="BN37" i="166"/>
  <c r="BK37" i="166"/>
  <c r="BJ37" i="166"/>
  <c r="BB37" i="166"/>
  <c r="BA37" i="166"/>
  <c r="AZ37" i="166"/>
  <c r="AY37" i="166"/>
  <c r="AV37" i="166"/>
  <c r="AU37" i="166"/>
  <c r="AR37" i="166"/>
  <c r="AQ37" i="166"/>
  <c r="AI37" i="166"/>
  <c r="AK37" i="166" s="1"/>
  <c r="AH37" i="166"/>
  <c r="AG37" i="166"/>
  <c r="AF37" i="166"/>
  <c r="AC37" i="166"/>
  <c r="AB37" i="166"/>
  <c r="Y37" i="166"/>
  <c r="X37" i="166"/>
  <c r="U37" i="166"/>
  <c r="AN37" i="166" s="1"/>
  <c r="BG37" i="166" s="1"/>
  <c r="BZ37" i="166" s="1"/>
  <c r="P37" i="166"/>
  <c r="Q37" i="166" s="1"/>
  <c r="O37" i="166"/>
  <c r="N37" i="166"/>
  <c r="M37" i="166"/>
  <c r="J37" i="166"/>
  <c r="I37" i="166"/>
  <c r="F37" i="166"/>
  <c r="E37" i="166"/>
  <c r="CD36" i="166"/>
  <c r="CC36" i="166"/>
  <c r="BU36" i="166"/>
  <c r="BT36" i="166"/>
  <c r="BS36" i="166"/>
  <c r="BR36" i="166"/>
  <c r="BO36" i="166"/>
  <c r="BN36" i="166"/>
  <c r="BK36" i="166"/>
  <c r="BJ36" i="166"/>
  <c r="BB36" i="166"/>
  <c r="BA36" i="166"/>
  <c r="AZ36" i="166"/>
  <c r="AY36" i="166"/>
  <c r="AV36" i="166"/>
  <c r="AU36" i="166"/>
  <c r="AR36" i="166"/>
  <c r="AQ36" i="166"/>
  <c r="AI36" i="166"/>
  <c r="AH36" i="166"/>
  <c r="AG36" i="166"/>
  <c r="AF36" i="166"/>
  <c r="AC36" i="166"/>
  <c r="AB36" i="166"/>
  <c r="Y36" i="166"/>
  <c r="X36" i="166"/>
  <c r="U36" i="166"/>
  <c r="AN36" i="166" s="1"/>
  <c r="BG36" i="166" s="1"/>
  <c r="BZ36" i="166" s="1"/>
  <c r="P36" i="166"/>
  <c r="O36" i="166"/>
  <c r="N36" i="166"/>
  <c r="M36" i="166"/>
  <c r="J36" i="166"/>
  <c r="I36" i="166"/>
  <c r="F36" i="166"/>
  <c r="E36" i="166"/>
  <c r="CD35" i="166"/>
  <c r="CC35" i="166"/>
  <c r="BU35" i="166"/>
  <c r="BT35" i="166"/>
  <c r="BS35" i="166"/>
  <c r="BR35" i="166"/>
  <c r="BO35" i="166"/>
  <c r="BN35" i="166"/>
  <c r="BK35" i="166"/>
  <c r="BJ35" i="166"/>
  <c r="BB35" i="166"/>
  <c r="BA35" i="166"/>
  <c r="AZ35" i="166"/>
  <c r="AY35" i="166"/>
  <c r="AV35" i="166"/>
  <c r="AU35" i="166"/>
  <c r="AR35" i="166"/>
  <c r="AQ35" i="166"/>
  <c r="AI35" i="166"/>
  <c r="AH35" i="166"/>
  <c r="AG35" i="166"/>
  <c r="AF35" i="166"/>
  <c r="AC35" i="166"/>
  <c r="AB35" i="166"/>
  <c r="Y35" i="166"/>
  <c r="X35" i="166"/>
  <c r="U35" i="166"/>
  <c r="AN35" i="166" s="1"/>
  <c r="BG35" i="166" s="1"/>
  <c r="BZ35" i="166" s="1"/>
  <c r="P35" i="166"/>
  <c r="O35" i="166"/>
  <c r="N35" i="166"/>
  <c r="M35" i="166"/>
  <c r="J35" i="166"/>
  <c r="I35" i="166"/>
  <c r="F35" i="166"/>
  <c r="E35" i="166"/>
  <c r="CD34" i="166"/>
  <c r="CC34" i="166"/>
  <c r="BU34" i="166"/>
  <c r="BT34" i="166"/>
  <c r="BS34" i="166"/>
  <c r="BR34" i="166"/>
  <c r="BO34" i="166"/>
  <c r="BN34" i="166"/>
  <c r="BK34" i="166"/>
  <c r="BJ34" i="166"/>
  <c r="BB34" i="166"/>
  <c r="BA34" i="166"/>
  <c r="AZ34" i="166"/>
  <c r="AY34" i="166"/>
  <c r="AV34" i="166"/>
  <c r="AU34" i="166"/>
  <c r="AR34" i="166"/>
  <c r="AQ34" i="166"/>
  <c r="AI34" i="166"/>
  <c r="AH34" i="166"/>
  <c r="AG34" i="166"/>
  <c r="AF34" i="166"/>
  <c r="AC34" i="166"/>
  <c r="AB34" i="166"/>
  <c r="Y34" i="166"/>
  <c r="X34" i="166"/>
  <c r="U34" i="166"/>
  <c r="AN34" i="166" s="1"/>
  <c r="BG34" i="166" s="1"/>
  <c r="BZ34" i="166" s="1"/>
  <c r="P34" i="166"/>
  <c r="O34" i="166"/>
  <c r="N34" i="166"/>
  <c r="M34" i="166"/>
  <c r="J34" i="166"/>
  <c r="I34" i="166"/>
  <c r="F34" i="166"/>
  <c r="E34" i="166"/>
  <c r="CD33" i="166"/>
  <c r="CC33" i="166"/>
  <c r="BU33" i="166"/>
  <c r="BW33" i="166" s="1"/>
  <c r="BT33" i="166"/>
  <c r="BS33" i="166"/>
  <c r="BR33" i="166"/>
  <c r="BO33" i="166"/>
  <c r="BN33" i="166"/>
  <c r="BK33" i="166"/>
  <c r="BJ33" i="166"/>
  <c r="BB33" i="166"/>
  <c r="BA33" i="166"/>
  <c r="AZ33" i="166"/>
  <c r="AY33" i="166"/>
  <c r="AV33" i="166"/>
  <c r="AU33" i="166"/>
  <c r="AR33" i="166"/>
  <c r="AQ33" i="166"/>
  <c r="AI33" i="166"/>
  <c r="AK33" i="166" s="1"/>
  <c r="AH33" i="166"/>
  <c r="AG33" i="166"/>
  <c r="AF33" i="166"/>
  <c r="AC33" i="166"/>
  <c r="AB33" i="166"/>
  <c r="Y33" i="166"/>
  <c r="X33" i="166"/>
  <c r="U33" i="166"/>
  <c r="AN33" i="166" s="1"/>
  <c r="BG33" i="166" s="1"/>
  <c r="BZ33" i="166" s="1"/>
  <c r="P33" i="166"/>
  <c r="Q33" i="166" s="1"/>
  <c r="O33" i="166"/>
  <c r="N33" i="166"/>
  <c r="M33" i="166"/>
  <c r="J33" i="166"/>
  <c r="I33" i="166"/>
  <c r="F33" i="166"/>
  <c r="E33" i="166"/>
  <c r="CD32" i="166"/>
  <c r="CC32" i="166"/>
  <c r="BU32" i="166"/>
  <c r="BT32" i="166"/>
  <c r="BS32" i="166"/>
  <c r="BR32" i="166"/>
  <c r="BO32" i="166"/>
  <c r="BN32" i="166"/>
  <c r="BK32" i="166"/>
  <c r="BJ32" i="166"/>
  <c r="BB32" i="166"/>
  <c r="BA32" i="166"/>
  <c r="AZ32" i="166"/>
  <c r="AY32" i="166"/>
  <c r="AV32" i="166"/>
  <c r="AU32" i="166"/>
  <c r="AR32" i="166"/>
  <c r="AQ32" i="166"/>
  <c r="AI32" i="166"/>
  <c r="AH32" i="166"/>
  <c r="AG32" i="166"/>
  <c r="AF32" i="166"/>
  <c r="AC32" i="166"/>
  <c r="AB32" i="166"/>
  <c r="Y32" i="166"/>
  <c r="X32" i="166"/>
  <c r="U32" i="166"/>
  <c r="AN32" i="166" s="1"/>
  <c r="BG32" i="166" s="1"/>
  <c r="BZ32" i="166" s="1"/>
  <c r="P32" i="166"/>
  <c r="O32" i="166"/>
  <c r="N32" i="166"/>
  <c r="M32" i="166"/>
  <c r="J32" i="166"/>
  <c r="I32" i="166"/>
  <c r="F32" i="166"/>
  <c r="E32" i="166"/>
  <c r="CD31" i="166"/>
  <c r="CC31" i="166"/>
  <c r="BU31" i="166"/>
  <c r="BW31" i="166" s="1"/>
  <c r="BT31" i="166"/>
  <c r="BS31" i="166"/>
  <c r="BR31" i="166"/>
  <c r="BO31" i="166"/>
  <c r="BN31" i="166"/>
  <c r="BK31" i="166"/>
  <c r="BJ31" i="166"/>
  <c r="BB31" i="166"/>
  <c r="BD31" i="166" s="1"/>
  <c r="BA31" i="166"/>
  <c r="AZ31" i="166"/>
  <c r="AY31" i="166"/>
  <c r="AV31" i="166"/>
  <c r="AU31" i="166"/>
  <c r="AR31" i="166"/>
  <c r="AQ31" i="166"/>
  <c r="AI31" i="166"/>
  <c r="AK31" i="166" s="1"/>
  <c r="AH31" i="166"/>
  <c r="AG31" i="166"/>
  <c r="AF31" i="166"/>
  <c r="AC31" i="166"/>
  <c r="AB31" i="166"/>
  <c r="Y31" i="166"/>
  <c r="X31" i="166"/>
  <c r="U31" i="166"/>
  <c r="AN31" i="166" s="1"/>
  <c r="BG31" i="166" s="1"/>
  <c r="BZ31" i="166" s="1"/>
  <c r="P31" i="166"/>
  <c r="R31" i="166" s="1"/>
  <c r="O31" i="166"/>
  <c r="N31" i="166"/>
  <c r="M31" i="166"/>
  <c r="J31" i="166"/>
  <c r="I31" i="166"/>
  <c r="F31" i="166"/>
  <c r="E31" i="166"/>
  <c r="CD30" i="166"/>
  <c r="CC30" i="166"/>
  <c r="BU30" i="166"/>
  <c r="BV30" i="166" s="1"/>
  <c r="BT30" i="166"/>
  <c r="BS30" i="166"/>
  <c r="BR30" i="166"/>
  <c r="BO30" i="166"/>
  <c r="BN30" i="166"/>
  <c r="BK30" i="166"/>
  <c r="BJ30" i="166"/>
  <c r="BB30" i="166"/>
  <c r="BC30" i="166" s="1"/>
  <c r="BA30" i="166"/>
  <c r="AZ30" i="166"/>
  <c r="AY30" i="166"/>
  <c r="AV30" i="166"/>
  <c r="AU30" i="166"/>
  <c r="AR30" i="166"/>
  <c r="AQ30" i="166"/>
  <c r="AI30" i="166"/>
  <c r="AJ30" i="166" s="1"/>
  <c r="AH30" i="166"/>
  <c r="AG30" i="166"/>
  <c r="AF30" i="166"/>
  <c r="AC30" i="166"/>
  <c r="AB30" i="166"/>
  <c r="Y30" i="166"/>
  <c r="X30" i="166"/>
  <c r="U30" i="166"/>
  <c r="AN30" i="166" s="1"/>
  <c r="BG30" i="166" s="1"/>
  <c r="BZ30" i="166" s="1"/>
  <c r="P30" i="166"/>
  <c r="O30" i="166"/>
  <c r="N30" i="166"/>
  <c r="M30" i="166"/>
  <c r="J30" i="166"/>
  <c r="I30" i="166"/>
  <c r="F30" i="166"/>
  <c r="E30" i="166"/>
  <c r="CD29" i="166"/>
  <c r="CC29" i="166"/>
  <c r="BU29" i="166"/>
  <c r="BW29" i="166" s="1"/>
  <c r="BT29" i="166"/>
  <c r="BS29" i="166"/>
  <c r="BR29" i="166"/>
  <c r="BO29" i="166"/>
  <c r="BN29" i="166"/>
  <c r="BK29" i="166"/>
  <c r="BJ29" i="166"/>
  <c r="BB29" i="166"/>
  <c r="BA29" i="166"/>
  <c r="AZ29" i="166"/>
  <c r="AY29" i="166"/>
  <c r="AV29" i="166"/>
  <c r="AU29" i="166"/>
  <c r="AR29" i="166"/>
  <c r="AQ29" i="166"/>
  <c r="AI29" i="166"/>
  <c r="AK29" i="166" s="1"/>
  <c r="AH29" i="166"/>
  <c r="AG29" i="166"/>
  <c r="AF29" i="166"/>
  <c r="AC29" i="166"/>
  <c r="AB29" i="166"/>
  <c r="Y29" i="166"/>
  <c r="X29" i="166"/>
  <c r="U29" i="166"/>
  <c r="AN29" i="166" s="1"/>
  <c r="BG29" i="166" s="1"/>
  <c r="BZ29" i="166" s="1"/>
  <c r="P29" i="166"/>
  <c r="Q29" i="166" s="1"/>
  <c r="O29" i="166"/>
  <c r="N29" i="166"/>
  <c r="M29" i="166"/>
  <c r="J29" i="166"/>
  <c r="I29" i="166"/>
  <c r="F29" i="166"/>
  <c r="E29" i="166"/>
  <c r="CD28" i="166"/>
  <c r="CC28" i="166"/>
  <c r="BU28" i="166"/>
  <c r="BT28" i="166"/>
  <c r="BS28" i="166"/>
  <c r="BR28" i="166"/>
  <c r="BO28" i="166"/>
  <c r="BN28" i="166"/>
  <c r="BK28" i="166"/>
  <c r="BJ28" i="166"/>
  <c r="BB28" i="166"/>
  <c r="BA28" i="166"/>
  <c r="AZ28" i="166"/>
  <c r="AY28" i="166"/>
  <c r="AV28" i="166"/>
  <c r="AU28" i="166"/>
  <c r="AR28" i="166"/>
  <c r="AQ28" i="166"/>
  <c r="AI28" i="166"/>
  <c r="AH28" i="166"/>
  <c r="AG28" i="166"/>
  <c r="AF28" i="166"/>
  <c r="AC28" i="166"/>
  <c r="AB28" i="166"/>
  <c r="Y28" i="166"/>
  <c r="X28" i="166"/>
  <c r="U28" i="166"/>
  <c r="AN28" i="166" s="1"/>
  <c r="BG28" i="166" s="1"/>
  <c r="BZ28" i="166" s="1"/>
  <c r="P28" i="166"/>
  <c r="O28" i="166"/>
  <c r="M28" i="166"/>
  <c r="J28" i="166"/>
  <c r="I28" i="166"/>
  <c r="F28" i="166"/>
  <c r="E28" i="166"/>
  <c r="CD27" i="166"/>
  <c r="CC27" i="166"/>
  <c r="BU27" i="166"/>
  <c r="BT27" i="166"/>
  <c r="BS27" i="166"/>
  <c r="BR27" i="166"/>
  <c r="BO27" i="166"/>
  <c r="BN27" i="166"/>
  <c r="BK27" i="166"/>
  <c r="BJ27" i="166"/>
  <c r="BB27" i="166"/>
  <c r="BA27" i="166"/>
  <c r="AZ27" i="166"/>
  <c r="AY27" i="166"/>
  <c r="AV27" i="166"/>
  <c r="AU27" i="166"/>
  <c r="AR27" i="166"/>
  <c r="AQ27" i="166"/>
  <c r="AI27" i="166"/>
  <c r="AH27" i="166"/>
  <c r="AG27" i="166"/>
  <c r="AF27" i="166"/>
  <c r="AC27" i="166"/>
  <c r="AB27" i="166"/>
  <c r="Y27" i="166"/>
  <c r="X27" i="166"/>
  <c r="U27" i="166"/>
  <c r="AN27" i="166" s="1"/>
  <c r="BG27" i="166" s="1"/>
  <c r="BZ27" i="166" s="1"/>
  <c r="P27" i="166"/>
  <c r="O27" i="166"/>
  <c r="N27" i="166"/>
  <c r="M27" i="166"/>
  <c r="J27" i="166"/>
  <c r="I27" i="166"/>
  <c r="F27" i="166"/>
  <c r="E27" i="166"/>
  <c r="CD26" i="166"/>
  <c r="CC26" i="166"/>
  <c r="BU26" i="166"/>
  <c r="BT26" i="166"/>
  <c r="BS26" i="166"/>
  <c r="BR26" i="166"/>
  <c r="BO26" i="166"/>
  <c r="BN26" i="166"/>
  <c r="BK26" i="166"/>
  <c r="BJ26" i="166"/>
  <c r="BB26" i="166"/>
  <c r="BA26" i="166"/>
  <c r="AZ26" i="166"/>
  <c r="AY26" i="166"/>
  <c r="AV26" i="166"/>
  <c r="AU26" i="166"/>
  <c r="AR26" i="166"/>
  <c r="AQ26" i="166"/>
  <c r="AI26" i="166"/>
  <c r="AH26" i="166"/>
  <c r="AG26" i="166"/>
  <c r="AF26" i="166"/>
  <c r="AC26" i="166"/>
  <c r="AB26" i="166"/>
  <c r="Y26" i="166"/>
  <c r="X26" i="166"/>
  <c r="U26" i="166"/>
  <c r="AN26" i="166" s="1"/>
  <c r="BG26" i="166" s="1"/>
  <c r="BZ26" i="166" s="1"/>
  <c r="P26" i="166"/>
  <c r="O26" i="166"/>
  <c r="N26" i="166"/>
  <c r="M26" i="166"/>
  <c r="J26" i="166"/>
  <c r="I26" i="166"/>
  <c r="F26" i="166"/>
  <c r="E26" i="166"/>
  <c r="CD25" i="166"/>
  <c r="CC25" i="166"/>
  <c r="BU25" i="166"/>
  <c r="BT25" i="166"/>
  <c r="BS25" i="166"/>
  <c r="BR25" i="166"/>
  <c r="BO25" i="166"/>
  <c r="BN25" i="166"/>
  <c r="BK25" i="166"/>
  <c r="BJ25" i="166"/>
  <c r="BB25" i="166"/>
  <c r="BA25" i="166"/>
  <c r="AZ25" i="166"/>
  <c r="AY25" i="166"/>
  <c r="AV25" i="166"/>
  <c r="AU25" i="166"/>
  <c r="AR25" i="166"/>
  <c r="AQ25" i="166"/>
  <c r="AI25" i="166"/>
  <c r="AH25" i="166"/>
  <c r="AG25" i="166"/>
  <c r="AF25" i="166"/>
  <c r="AC25" i="166"/>
  <c r="AB25" i="166"/>
  <c r="Y25" i="166"/>
  <c r="X25" i="166"/>
  <c r="U25" i="166"/>
  <c r="AN25" i="166" s="1"/>
  <c r="BG25" i="166" s="1"/>
  <c r="BZ25" i="166" s="1"/>
  <c r="P25" i="166"/>
  <c r="O25" i="166"/>
  <c r="N25" i="166"/>
  <c r="M25" i="166"/>
  <c r="J25" i="166"/>
  <c r="I25" i="166"/>
  <c r="F25" i="166"/>
  <c r="E25" i="166"/>
  <c r="CD24" i="166"/>
  <c r="CC24" i="166"/>
  <c r="BU24" i="166"/>
  <c r="BT24" i="166"/>
  <c r="BS24" i="166"/>
  <c r="BR24" i="166"/>
  <c r="BO24" i="166"/>
  <c r="BN24" i="166"/>
  <c r="BK24" i="166"/>
  <c r="BJ24" i="166"/>
  <c r="BB24" i="166"/>
  <c r="BA24" i="166"/>
  <c r="AZ24" i="166"/>
  <c r="AY24" i="166"/>
  <c r="AV24" i="166"/>
  <c r="AU24" i="166"/>
  <c r="AR24" i="166"/>
  <c r="AQ24" i="166"/>
  <c r="AI24" i="166"/>
  <c r="AH24" i="166"/>
  <c r="AG24" i="166"/>
  <c r="AF24" i="166"/>
  <c r="AC24" i="166"/>
  <c r="AB24" i="166"/>
  <c r="Y24" i="166"/>
  <c r="X24" i="166"/>
  <c r="U24" i="166"/>
  <c r="AN24" i="166" s="1"/>
  <c r="BG24" i="166" s="1"/>
  <c r="BZ24" i="166" s="1"/>
  <c r="P24" i="166"/>
  <c r="O24" i="166"/>
  <c r="N24" i="166"/>
  <c r="M24" i="166"/>
  <c r="J24" i="166"/>
  <c r="I24" i="166"/>
  <c r="F24" i="166"/>
  <c r="E24" i="166"/>
  <c r="CD23" i="166"/>
  <c r="CC23" i="166"/>
  <c r="BU23" i="166"/>
  <c r="BT23" i="166"/>
  <c r="BS23" i="166"/>
  <c r="BR23" i="166"/>
  <c r="BO23" i="166"/>
  <c r="BN23" i="166"/>
  <c r="BK23" i="166"/>
  <c r="BJ23" i="166"/>
  <c r="BB23" i="166"/>
  <c r="BA23" i="166"/>
  <c r="AZ23" i="166"/>
  <c r="AY23" i="166"/>
  <c r="AV23" i="166"/>
  <c r="AU23" i="166"/>
  <c r="AR23" i="166"/>
  <c r="AQ23" i="166"/>
  <c r="AI23" i="166"/>
  <c r="AH23" i="166"/>
  <c r="AG23" i="166"/>
  <c r="AF23" i="166"/>
  <c r="AC23" i="166"/>
  <c r="AB23" i="166"/>
  <c r="Y23" i="166"/>
  <c r="X23" i="166"/>
  <c r="U23" i="166"/>
  <c r="AN23" i="166" s="1"/>
  <c r="BG23" i="166" s="1"/>
  <c r="BZ23" i="166" s="1"/>
  <c r="P23" i="166"/>
  <c r="O23" i="166"/>
  <c r="N23" i="166"/>
  <c r="M23" i="166"/>
  <c r="J23" i="166"/>
  <c r="I23" i="166"/>
  <c r="F23" i="166"/>
  <c r="E23" i="166"/>
  <c r="CD22" i="166"/>
  <c r="CC22" i="166"/>
  <c r="BU22" i="166"/>
  <c r="BT22" i="166"/>
  <c r="BS22" i="166"/>
  <c r="BR22" i="166"/>
  <c r="BO22" i="166"/>
  <c r="BN22" i="166"/>
  <c r="BK22" i="166"/>
  <c r="BJ22" i="166"/>
  <c r="BB22" i="166"/>
  <c r="BA22" i="166"/>
  <c r="AZ22" i="166"/>
  <c r="AY22" i="166"/>
  <c r="AV22" i="166"/>
  <c r="AU22" i="166"/>
  <c r="AR22" i="166"/>
  <c r="AQ22" i="166"/>
  <c r="AI22" i="166"/>
  <c r="AH22" i="166"/>
  <c r="AG22" i="166"/>
  <c r="AF22" i="166"/>
  <c r="AC22" i="166"/>
  <c r="AB22" i="166"/>
  <c r="Y22" i="166"/>
  <c r="X22" i="166"/>
  <c r="U22" i="166"/>
  <c r="AN22" i="166" s="1"/>
  <c r="BG22" i="166" s="1"/>
  <c r="BZ22" i="166" s="1"/>
  <c r="P22" i="166"/>
  <c r="O22" i="166"/>
  <c r="N22" i="166"/>
  <c r="M22" i="166"/>
  <c r="J22" i="166"/>
  <c r="I22" i="166"/>
  <c r="F22" i="166"/>
  <c r="E22" i="166"/>
  <c r="CD21" i="166"/>
  <c r="CC21" i="166"/>
  <c r="BU21" i="166"/>
  <c r="BT21" i="166"/>
  <c r="BS21" i="166"/>
  <c r="BR21" i="166"/>
  <c r="BO21" i="166"/>
  <c r="BN21" i="166"/>
  <c r="BK21" i="166"/>
  <c r="BJ21" i="166"/>
  <c r="BB21" i="166"/>
  <c r="BA21" i="166"/>
  <c r="AZ21" i="166"/>
  <c r="AY21" i="166"/>
  <c r="AV21" i="166"/>
  <c r="AU21" i="166"/>
  <c r="AR21" i="166"/>
  <c r="AQ21" i="166"/>
  <c r="AI21" i="166"/>
  <c r="AH21" i="166"/>
  <c r="AG21" i="166"/>
  <c r="AF21" i="166"/>
  <c r="AC21" i="166"/>
  <c r="AB21" i="166"/>
  <c r="Y21" i="166"/>
  <c r="X21" i="166"/>
  <c r="U21" i="166"/>
  <c r="AN21" i="166" s="1"/>
  <c r="BG21" i="166" s="1"/>
  <c r="BZ21" i="166" s="1"/>
  <c r="P21" i="166"/>
  <c r="O21" i="166"/>
  <c r="N21" i="166"/>
  <c r="M21" i="166"/>
  <c r="J21" i="166"/>
  <c r="I21" i="166"/>
  <c r="F21" i="166"/>
  <c r="E21" i="166"/>
  <c r="CD20" i="166"/>
  <c r="CC20" i="166"/>
  <c r="BU20" i="166"/>
  <c r="BT20" i="166"/>
  <c r="BS20" i="166"/>
  <c r="BR20" i="166"/>
  <c r="BO20" i="166"/>
  <c r="BN20" i="166"/>
  <c r="BK20" i="166"/>
  <c r="BJ20" i="166"/>
  <c r="BB20" i="166"/>
  <c r="BA20" i="166"/>
  <c r="AZ20" i="166"/>
  <c r="AY20" i="166"/>
  <c r="AV20" i="166"/>
  <c r="AU20" i="166"/>
  <c r="AR20" i="166"/>
  <c r="AQ20" i="166"/>
  <c r="AI20" i="166"/>
  <c r="AH20" i="166"/>
  <c r="AG20" i="166"/>
  <c r="AF20" i="166"/>
  <c r="AC20" i="166"/>
  <c r="AB20" i="166"/>
  <c r="Y20" i="166"/>
  <c r="X20" i="166"/>
  <c r="U20" i="166"/>
  <c r="AN20" i="166" s="1"/>
  <c r="BG20" i="166" s="1"/>
  <c r="BZ20" i="166" s="1"/>
  <c r="P20" i="166"/>
  <c r="O20" i="166"/>
  <c r="N20" i="166"/>
  <c r="M20" i="166"/>
  <c r="J20" i="166"/>
  <c r="I20" i="166"/>
  <c r="F20" i="166"/>
  <c r="E20" i="166"/>
  <c r="CD19" i="166"/>
  <c r="CC19" i="166"/>
  <c r="BU19" i="166"/>
  <c r="BT19" i="166"/>
  <c r="BS19" i="166"/>
  <c r="BR19" i="166"/>
  <c r="BO19" i="166"/>
  <c r="BN19" i="166"/>
  <c r="BK19" i="166"/>
  <c r="BJ19" i="166"/>
  <c r="BB19" i="166"/>
  <c r="BA19" i="166"/>
  <c r="AZ19" i="166"/>
  <c r="AY19" i="166"/>
  <c r="AV19" i="166"/>
  <c r="AU19" i="166"/>
  <c r="AR19" i="166"/>
  <c r="AQ19" i="166"/>
  <c r="AI19" i="166"/>
  <c r="AH19" i="166"/>
  <c r="AG19" i="166"/>
  <c r="AF19" i="166"/>
  <c r="AC19" i="166"/>
  <c r="AB19" i="166"/>
  <c r="Y19" i="166"/>
  <c r="X19" i="166"/>
  <c r="U19" i="166"/>
  <c r="AN19" i="166" s="1"/>
  <c r="BG19" i="166" s="1"/>
  <c r="BZ19" i="166" s="1"/>
  <c r="P19" i="166"/>
  <c r="O19" i="166"/>
  <c r="N19" i="166"/>
  <c r="M19" i="166"/>
  <c r="J19" i="166"/>
  <c r="I19" i="166"/>
  <c r="F19" i="166"/>
  <c r="E19" i="166"/>
  <c r="CD18" i="166"/>
  <c r="CC18" i="166"/>
  <c r="BU18" i="166"/>
  <c r="BT18" i="166"/>
  <c r="BS18" i="166"/>
  <c r="BR18" i="166"/>
  <c r="BO18" i="166"/>
  <c r="BN18" i="166"/>
  <c r="BK18" i="166"/>
  <c r="BJ18" i="166"/>
  <c r="BB18" i="166"/>
  <c r="BA18" i="166"/>
  <c r="AZ18" i="166"/>
  <c r="AY18" i="166"/>
  <c r="AV18" i="166"/>
  <c r="AU18" i="166"/>
  <c r="AR18" i="166"/>
  <c r="AQ18" i="166"/>
  <c r="AI18" i="166"/>
  <c r="AH18" i="166"/>
  <c r="AG18" i="166"/>
  <c r="AF18" i="166"/>
  <c r="AC18" i="166"/>
  <c r="AB18" i="166"/>
  <c r="Y18" i="166"/>
  <c r="X18" i="166"/>
  <c r="U18" i="166"/>
  <c r="AN18" i="166" s="1"/>
  <c r="BG18" i="166" s="1"/>
  <c r="BZ18" i="166" s="1"/>
  <c r="P18" i="166"/>
  <c r="O18" i="166"/>
  <c r="N18" i="166"/>
  <c r="M18" i="166"/>
  <c r="J18" i="166"/>
  <c r="I18" i="166"/>
  <c r="F18" i="166"/>
  <c r="E18" i="166"/>
  <c r="CD17" i="166"/>
  <c r="CC17" i="166"/>
  <c r="BU17" i="166"/>
  <c r="BT17" i="166"/>
  <c r="BS17" i="166"/>
  <c r="BR17" i="166"/>
  <c r="BO17" i="166"/>
  <c r="BN17" i="166"/>
  <c r="BK17" i="166"/>
  <c r="BJ17" i="166"/>
  <c r="BB17" i="166"/>
  <c r="BA17" i="166"/>
  <c r="AZ17" i="166"/>
  <c r="AY17" i="166"/>
  <c r="AV17" i="166"/>
  <c r="AU17" i="166"/>
  <c r="AR17" i="166"/>
  <c r="AQ17" i="166"/>
  <c r="AI17" i="166"/>
  <c r="AH17" i="166"/>
  <c r="AG17" i="166"/>
  <c r="AF17" i="166"/>
  <c r="AC17" i="166"/>
  <c r="AB17" i="166"/>
  <c r="Y17" i="166"/>
  <c r="X17" i="166"/>
  <c r="U17" i="166"/>
  <c r="AN17" i="166" s="1"/>
  <c r="BG17" i="166" s="1"/>
  <c r="BZ17" i="166" s="1"/>
  <c r="P17" i="166"/>
  <c r="O17" i="166"/>
  <c r="N17" i="166"/>
  <c r="M17" i="166"/>
  <c r="J17" i="166"/>
  <c r="I17" i="166"/>
  <c r="F17" i="166"/>
  <c r="E17" i="166"/>
  <c r="CD16" i="166"/>
  <c r="CC16" i="166"/>
  <c r="BU16" i="166"/>
  <c r="BW16" i="166" s="1"/>
  <c r="BT16" i="166"/>
  <c r="BS16" i="166"/>
  <c r="BR16" i="166"/>
  <c r="BO16" i="166"/>
  <c r="BN16" i="166"/>
  <c r="BK16" i="166"/>
  <c r="BJ16" i="166"/>
  <c r="BB16" i="166"/>
  <c r="BD16" i="166" s="1"/>
  <c r="BA16" i="166"/>
  <c r="AZ16" i="166"/>
  <c r="AY16" i="166"/>
  <c r="AV16" i="166"/>
  <c r="AU16" i="166"/>
  <c r="AR16" i="166"/>
  <c r="AQ16" i="166"/>
  <c r="AI16" i="166"/>
  <c r="AH16" i="166"/>
  <c r="AG16" i="166"/>
  <c r="AF16" i="166"/>
  <c r="AC16" i="166"/>
  <c r="AB16" i="166"/>
  <c r="Y16" i="166"/>
  <c r="X16" i="166"/>
  <c r="U16" i="166"/>
  <c r="AN16" i="166" s="1"/>
  <c r="BG16" i="166" s="1"/>
  <c r="BZ16" i="166" s="1"/>
  <c r="P16" i="166"/>
  <c r="O16" i="166"/>
  <c r="N16" i="166"/>
  <c r="M16" i="166"/>
  <c r="J16" i="166"/>
  <c r="I16" i="166"/>
  <c r="F16" i="166"/>
  <c r="E16" i="166"/>
  <c r="CD15" i="166"/>
  <c r="CC15" i="166"/>
  <c r="BU15" i="166"/>
  <c r="BT15" i="166"/>
  <c r="BS15" i="166"/>
  <c r="BR15" i="166"/>
  <c r="BO15" i="166"/>
  <c r="BN15" i="166"/>
  <c r="BK15" i="166"/>
  <c r="BJ15" i="166"/>
  <c r="BB15" i="166"/>
  <c r="BA15" i="166"/>
  <c r="AZ15" i="166"/>
  <c r="AY15" i="166"/>
  <c r="AV15" i="166"/>
  <c r="AU15" i="166"/>
  <c r="AR15" i="166"/>
  <c r="AQ15" i="166"/>
  <c r="AI15" i="166"/>
  <c r="AH15" i="166"/>
  <c r="AG15" i="166"/>
  <c r="AF15" i="166"/>
  <c r="AC15" i="166"/>
  <c r="AB15" i="166"/>
  <c r="Y15" i="166"/>
  <c r="X15" i="166"/>
  <c r="U15" i="166"/>
  <c r="AN15" i="166" s="1"/>
  <c r="BG15" i="166" s="1"/>
  <c r="BZ15" i="166" s="1"/>
  <c r="P15" i="166"/>
  <c r="O15" i="166"/>
  <c r="N15" i="166"/>
  <c r="M15" i="166"/>
  <c r="J15" i="166"/>
  <c r="I15" i="166"/>
  <c r="F15" i="166"/>
  <c r="E15" i="166"/>
  <c r="CD14" i="166"/>
  <c r="CC14" i="166"/>
  <c r="BU14" i="166"/>
  <c r="BT14" i="166"/>
  <c r="BS14" i="166"/>
  <c r="BR14" i="166"/>
  <c r="BO14" i="166"/>
  <c r="BN14" i="166"/>
  <c r="BK14" i="166"/>
  <c r="BJ14" i="166"/>
  <c r="BB14" i="166"/>
  <c r="BA14" i="166"/>
  <c r="AZ14" i="166"/>
  <c r="AY14" i="166"/>
  <c r="AV14" i="166"/>
  <c r="AU14" i="166"/>
  <c r="AR14" i="166"/>
  <c r="AQ14" i="166"/>
  <c r="AI14" i="166"/>
  <c r="AH14" i="166"/>
  <c r="AG14" i="166"/>
  <c r="AF14" i="166"/>
  <c r="AC14" i="166"/>
  <c r="AB14" i="166"/>
  <c r="Y14" i="166"/>
  <c r="X14" i="166"/>
  <c r="U14" i="166"/>
  <c r="AN14" i="166" s="1"/>
  <c r="BG14" i="166" s="1"/>
  <c r="BZ14" i="166" s="1"/>
  <c r="P14" i="166"/>
  <c r="O14" i="166"/>
  <c r="N14" i="166"/>
  <c r="M14" i="166"/>
  <c r="J14" i="166"/>
  <c r="I14" i="166"/>
  <c r="F14" i="166"/>
  <c r="E14" i="166"/>
  <c r="CD13" i="166"/>
  <c r="CC13" i="166"/>
  <c r="BU13" i="166"/>
  <c r="BT13" i="166"/>
  <c r="BS13" i="166"/>
  <c r="BR13" i="166"/>
  <c r="BO13" i="166"/>
  <c r="BN13" i="166"/>
  <c r="BK13" i="166"/>
  <c r="BJ13" i="166"/>
  <c r="BB13" i="166"/>
  <c r="BA13" i="166"/>
  <c r="AZ13" i="166"/>
  <c r="AY13" i="166"/>
  <c r="AV13" i="166"/>
  <c r="AU13" i="166"/>
  <c r="AR13" i="166"/>
  <c r="AQ13" i="166"/>
  <c r="AI13" i="166"/>
  <c r="AH13" i="166"/>
  <c r="AG13" i="166"/>
  <c r="AF13" i="166"/>
  <c r="AC13" i="166"/>
  <c r="AB13" i="166"/>
  <c r="Y13" i="166"/>
  <c r="X13" i="166"/>
  <c r="U13" i="166"/>
  <c r="AN13" i="166" s="1"/>
  <c r="BG13" i="166" s="1"/>
  <c r="BZ13" i="166" s="1"/>
  <c r="P13" i="166"/>
  <c r="O13" i="166"/>
  <c r="N13" i="166"/>
  <c r="M13" i="166"/>
  <c r="J13" i="166"/>
  <c r="I13" i="166"/>
  <c r="F13" i="166"/>
  <c r="E13" i="166"/>
  <c r="CD12" i="166"/>
  <c r="CC12" i="166"/>
  <c r="BU12" i="166"/>
  <c r="BT12" i="166"/>
  <c r="BS12" i="166"/>
  <c r="BR12" i="166"/>
  <c r="BO12" i="166"/>
  <c r="BN12" i="166"/>
  <c r="BK12" i="166"/>
  <c r="BJ12" i="166"/>
  <c r="BB12" i="166"/>
  <c r="BA12" i="166"/>
  <c r="AZ12" i="166"/>
  <c r="AY12" i="166"/>
  <c r="AV12" i="166"/>
  <c r="AU12" i="166"/>
  <c r="AR12" i="166"/>
  <c r="AQ12" i="166"/>
  <c r="AI12" i="166"/>
  <c r="AH12" i="166"/>
  <c r="AG12" i="166"/>
  <c r="AF12" i="166"/>
  <c r="AC12" i="166"/>
  <c r="AB12" i="166"/>
  <c r="Y12" i="166"/>
  <c r="X12" i="166"/>
  <c r="U12" i="166"/>
  <c r="AN12" i="166" s="1"/>
  <c r="BG12" i="166" s="1"/>
  <c r="BZ12" i="166" s="1"/>
  <c r="P12" i="166"/>
  <c r="O12" i="166"/>
  <c r="N12" i="166"/>
  <c r="M12" i="166"/>
  <c r="J12" i="166"/>
  <c r="I12" i="166"/>
  <c r="F12" i="166"/>
  <c r="E12" i="166"/>
  <c r="CD11" i="166"/>
  <c r="CC11" i="166"/>
  <c r="BU11" i="166"/>
  <c r="BT11" i="166"/>
  <c r="BS11" i="166"/>
  <c r="BR11" i="166"/>
  <c r="BO11" i="166"/>
  <c r="BN11" i="166"/>
  <c r="BK11" i="166"/>
  <c r="BJ11" i="166"/>
  <c r="BB11" i="166"/>
  <c r="BA11" i="166"/>
  <c r="AZ11" i="166"/>
  <c r="AY11" i="166"/>
  <c r="AV11" i="166"/>
  <c r="AU11" i="166"/>
  <c r="AR11" i="166"/>
  <c r="AQ11" i="166"/>
  <c r="AI11" i="166"/>
  <c r="AH11" i="166"/>
  <c r="AG11" i="166"/>
  <c r="AF11" i="166"/>
  <c r="AC11" i="166"/>
  <c r="AB11" i="166"/>
  <c r="Y11" i="166"/>
  <c r="X11" i="166"/>
  <c r="U11" i="166"/>
  <c r="AN11" i="166" s="1"/>
  <c r="BG11" i="166" s="1"/>
  <c r="BZ11" i="166" s="1"/>
  <c r="P11" i="166"/>
  <c r="O11" i="166"/>
  <c r="N11" i="166"/>
  <c r="M11" i="166"/>
  <c r="J11" i="166"/>
  <c r="I11" i="166"/>
  <c r="F11" i="166"/>
  <c r="E11" i="166"/>
  <c r="CD10" i="166"/>
  <c r="CC10" i="166"/>
  <c r="BU10" i="166"/>
  <c r="BT10" i="166"/>
  <c r="BS10" i="166"/>
  <c r="BR10" i="166"/>
  <c r="BO10" i="166"/>
  <c r="BN10" i="166"/>
  <c r="BK10" i="166"/>
  <c r="BJ10" i="166"/>
  <c r="BB10" i="166"/>
  <c r="BA10" i="166"/>
  <c r="AZ10" i="166"/>
  <c r="AY10" i="166"/>
  <c r="AV10" i="166"/>
  <c r="AU10" i="166"/>
  <c r="AR10" i="166"/>
  <c r="AQ10" i="166"/>
  <c r="AI10" i="166"/>
  <c r="AH10" i="166"/>
  <c r="AG10" i="166"/>
  <c r="AF10" i="166"/>
  <c r="AC10" i="166"/>
  <c r="AB10" i="166"/>
  <c r="Y10" i="166"/>
  <c r="X10" i="166"/>
  <c r="U10" i="166"/>
  <c r="AN10" i="166" s="1"/>
  <c r="BG10" i="166" s="1"/>
  <c r="BZ10" i="166" s="1"/>
  <c r="P10" i="166"/>
  <c r="O10" i="166"/>
  <c r="N10" i="166"/>
  <c r="M10" i="166"/>
  <c r="J10" i="166"/>
  <c r="I10" i="166"/>
  <c r="F10" i="166"/>
  <c r="E10" i="166"/>
  <c r="CD9" i="166"/>
  <c r="CC9" i="166"/>
  <c r="BU9" i="166"/>
  <c r="BT9" i="166"/>
  <c r="BS9" i="166"/>
  <c r="BR9" i="166"/>
  <c r="BO9" i="166"/>
  <c r="BN9" i="166"/>
  <c r="BK9" i="166"/>
  <c r="BJ9" i="166"/>
  <c r="BB9" i="166"/>
  <c r="BA9" i="166"/>
  <c r="AZ9" i="166"/>
  <c r="AY9" i="166"/>
  <c r="AV9" i="166"/>
  <c r="AU9" i="166"/>
  <c r="AR9" i="166"/>
  <c r="AQ9" i="166"/>
  <c r="AI9" i="166"/>
  <c r="AH9" i="166"/>
  <c r="AG9" i="166"/>
  <c r="AF9" i="166"/>
  <c r="AC9" i="166"/>
  <c r="AB9" i="166"/>
  <c r="Y9" i="166"/>
  <c r="X9" i="166"/>
  <c r="U9" i="166"/>
  <c r="AN9" i="166" s="1"/>
  <c r="BG9" i="166" s="1"/>
  <c r="BZ9" i="166" s="1"/>
  <c r="P9" i="166"/>
  <c r="O9" i="166"/>
  <c r="N9" i="166"/>
  <c r="M9" i="166"/>
  <c r="J9" i="166"/>
  <c r="I9" i="166"/>
  <c r="F9" i="166"/>
  <c r="E9" i="166"/>
  <c r="CD8" i="166"/>
  <c r="CC8" i="166"/>
  <c r="BY8" i="166"/>
  <c r="BY9" i="166" s="1"/>
  <c r="BY10" i="166" s="1"/>
  <c r="BY11" i="166" s="1"/>
  <c r="BY12" i="166" s="1"/>
  <c r="BY13" i="166" s="1"/>
  <c r="BY14" i="166" s="1"/>
  <c r="BY15" i="166" s="1"/>
  <c r="BY16" i="166" s="1"/>
  <c r="BY17" i="166" s="1"/>
  <c r="BY18" i="166" s="1"/>
  <c r="BY19" i="166" s="1"/>
  <c r="BY20" i="166" s="1"/>
  <c r="BY21" i="166" s="1"/>
  <c r="BY22" i="166" s="1"/>
  <c r="BY23" i="166" s="1"/>
  <c r="BY24" i="166" s="1"/>
  <c r="BY25" i="166" s="1"/>
  <c r="BY26" i="166" s="1"/>
  <c r="BY27" i="166" s="1"/>
  <c r="BY28" i="166" s="1"/>
  <c r="BY29" i="166" s="1"/>
  <c r="BY30" i="166" s="1"/>
  <c r="BY31" i="166" s="1"/>
  <c r="BY32" i="166" s="1"/>
  <c r="BY33" i="166" s="1"/>
  <c r="BY34" i="166" s="1"/>
  <c r="BY35" i="166" s="1"/>
  <c r="BY36" i="166" s="1"/>
  <c r="BU8" i="166"/>
  <c r="BT8" i="166"/>
  <c r="BS8" i="166"/>
  <c r="BR8" i="166"/>
  <c r="BO8" i="166"/>
  <c r="BN8" i="166"/>
  <c r="BK8" i="166"/>
  <c r="BJ8" i="166"/>
  <c r="BF8" i="166"/>
  <c r="BF9" i="166" s="1"/>
  <c r="BF10" i="166" s="1"/>
  <c r="BF11" i="166" s="1"/>
  <c r="BF12" i="166" s="1"/>
  <c r="BF13" i="166" s="1"/>
  <c r="BF14" i="166" s="1"/>
  <c r="BF15" i="166" s="1"/>
  <c r="BF16" i="166" s="1"/>
  <c r="BF17" i="166" s="1"/>
  <c r="BF18" i="166" s="1"/>
  <c r="BF19" i="166" s="1"/>
  <c r="BF20" i="166" s="1"/>
  <c r="BF21" i="166" s="1"/>
  <c r="BF22" i="166" s="1"/>
  <c r="BF23" i="166" s="1"/>
  <c r="BF24" i="166" s="1"/>
  <c r="BF25" i="166" s="1"/>
  <c r="BF26" i="166" s="1"/>
  <c r="BF27" i="166" s="1"/>
  <c r="BF28" i="166" s="1"/>
  <c r="BF29" i="166" s="1"/>
  <c r="BF30" i="166" s="1"/>
  <c r="BF31" i="166" s="1"/>
  <c r="BF32" i="166" s="1"/>
  <c r="BF33" i="166" s="1"/>
  <c r="BF34" i="166" s="1"/>
  <c r="BF35" i="166" s="1"/>
  <c r="BF36" i="166" s="1"/>
  <c r="BB8" i="166"/>
  <c r="BA8" i="166"/>
  <c r="AZ8" i="166"/>
  <c r="AY8" i="166"/>
  <c r="AV8" i="166"/>
  <c r="AU8" i="166"/>
  <c r="AR8" i="166"/>
  <c r="AQ8" i="166"/>
  <c r="AM8" i="166"/>
  <c r="AM9" i="166" s="1"/>
  <c r="AM10" i="166" s="1"/>
  <c r="AM11" i="166" s="1"/>
  <c r="AM12" i="166" s="1"/>
  <c r="AM13" i="166" s="1"/>
  <c r="AM14" i="166" s="1"/>
  <c r="AM15" i="166" s="1"/>
  <c r="AM16" i="166" s="1"/>
  <c r="AM17" i="166" s="1"/>
  <c r="AM18" i="166" s="1"/>
  <c r="AM19" i="166" s="1"/>
  <c r="AM20" i="166" s="1"/>
  <c r="AM21" i="166" s="1"/>
  <c r="AM22" i="166" s="1"/>
  <c r="AM23" i="166" s="1"/>
  <c r="AM24" i="166" s="1"/>
  <c r="AM25" i="166" s="1"/>
  <c r="AM26" i="166" s="1"/>
  <c r="AM27" i="166" s="1"/>
  <c r="AM28" i="166" s="1"/>
  <c r="AM29" i="166" s="1"/>
  <c r="AM30" i="166" s="1"/>
  <c r="AM31" i="166" s="1"/>
  <c r="AM32" i="166" s="1"/>
  <c r="AM33" i="166" s="1"/>
  <c r="AM34" i="166" s="1"/>
  <c r="AM35" i="166" s="1"/>
  <c r="AM36" i="166" s="1"/>
  <c r="AI8" i="166"/>
  <c r="AH8" i="166"/>
  <c r="AG8" i="166"/>
  <c r="AF8" i="166"/>
  <c r="AC8" i="166"/>
  <c r="AB8" i="166"/>
  <c r="Y8" i="166"/>
  <c r="X8" i="166"/>
  <c r="U8" i="166"/>
  <c r="AN8" i="166" s="1"/>
  <c r="BG8" i="166" s="1"/>
  <c r="BZ8" i="166" s="1"/>
  <c r="T8" i="166"/>
  <c r="T9" i="166" s="1"/>
  <c r="T10" i="166" s="1"/>
  <c r="T11" i="166" s="1"/>
  <c r="T12" i="166" s="1"/>
  <c r="T13" i="166" s="1"/>
  <c r="T14" i="166" s="1"/>
  <c r="T15" i="166" s="1"/>
  <c r="T16" i="166" s="1"/>
  <c r="T17" i="166" s="1"/>
  <c r="T18" i="166" s="1"/>
  <c r="T19" i="166" s="1"/>
  <c r="T20" i="166" s="1"/>
  <c r="T21" i="166" s="1"/>
  <c r="T22" i="166" s="1"/>
  <c r="T23" i="166" s="1"/>
  <c r="T24" i="166" s="1"/>
  <c r="T25" i="166" s="1"/>
  <c r="T26" i="166" s="1"/>
  <c r="T27" i="166" s="1"/>
  <c r="T28" i="166" s="1"/>
  <c r="T29" i="166" s="1"/>
  <c r="T30" i="166" s="1"/>
  <c r="T31" i="166" s="1"/>
  <c r="T32" i="166" s="1"/>
  <c r="T33" i="166" s="1"/>
  <c r="T34" i="166" s="1"/>
  <c r="T35" i="166" s="1"/>
  <c r="T36" i="166" s="1"/>
  <c r="P8" i="166"/>
  <c r="O8" i="166"/>
  <c r="N8" i="166"/>
  <c r="M8" i="166"/>
  <c r="J8" i="166"/>
  <c r="I8" i="166"/>
  <c r="F8" i="166"/>
  <c r="E8" i="166"/>
  <c r="A8" i="166"/>
  <c r="A9" i="166" s="1"/>
  <c r="A10" i="166" s="1"/>
  <c r="A11" i="166" s="1"/>
  <c r="A12" i="166" s="1"/>
  <c r="A13" i="166" s="1"/>
  <c r="A14" i="166" s="1"/>
  <c r="A15" i="166" s="1"/>
  <c r="A16" i="166" s="1"/>
  <c r="A17" i="166" s="1"/>
  <c r="A18" i="166" s="1"/>
  <c r="A19" i="166" s="1"/>
  <c r="A20" i="166" s="1"/>
  <c r="A21" i="166" s="1"/>
  <c r="A22" i="166" s="1"/>
  <c r="A23" i="166" s="1"/>
  <c r="A24" i="166" s="1"/>
  <c r="A25" i="166" s="1"/>
  <c r="A26" i="166" s="1"/>
  <c r="A27" i="166" s="1"/>
  <c r="A28" i="166" s="1"/>
  <c r="A29" i="166" s="1"/>
  <c r="A30" i="166" s="1"/>
  <c r="A31" i="166" s="1"/>
  <c r="A32" i="166" s="1"/>
  <c r="A33" i="166" s="1"/>
  <c r="A34" i="166" s="1"/>
  <c r="A35" i="166" s="1"/>
  <c r="A36" i="166" s="1"/>
  <c r="CD7" i="166"/>
  <c r="CC7" i="166"/>
  <c r="BU7" i="166"/>
  <c r="BT7" i="166"/>
  <c r="BS7" i="166"/>
  <c r="BR7" i="166"/>
  <c r="BO7" i="166"/>
  <c r="BN7" i="166"/>
  <c r="BK7" i="166"/>
  <c r="BJ7" i="166"/>
  <c r="BB7" i="166"/>
  <c r="BA7" i="166"/>
  <c r="AZ7" i="166"/>
  <c r="AY7" i="166"/>
  <c r="AV7" i="166"/>
  <c r="AU7" i="166"/>
  <c r="AR7" i="166"/>
  <c r="AQ7" i="166"/>
  <c r="AI7" i="166"/>
  <c r="AH7" i="166"/>
  <c r="AG7" i="166"/>
  <c r="AF7" i="166"/>
  <c r="AC7" i="166"/>
  <c r="AB7" i="166"/>
  <c r="Y7" i="166"/>
  <c r="X7" i="166"/>
  <c r="U7" i="166"/>
  <c r="AN7" i="166" s="1"/>
  <c r="BG7" i="166" s="1"/>
  <c r="BZ7" i="166" s="1"/>
  <c r="P7" i="166"/>
  <c r="O7" i="166"/>
  <c r="N7" i="166"/>
  <c r="M7" i="166"/>
  <c r="J7" i="166"/>
  <c r="I7" i="166"/>
  <c r="F7" i="166"/>
  <c r="E7" i="166"/>
  <c r="T6" i="166"/>
  <c r="AM6" i="166" s="1"/>
  <c r="BF6" i="166" s="1"/>
  <c r="BY6" i="166" s="1"/>
  <c r="I24" i="165"/>
  <c r="C24" i="165"/>
  <c r="L23" i="165"/>
  <c r="J23" i="165" s="1"/>
  <c r="K23" i="165"/>
  <c r="F23" i="165"/>
  <c r="D23" i="165" s="1"/>
  <c r="E23" i="165"/>
  <c r="L22" i="165"/>
  <c r="J22" i="165" s="1"/>
  <c r="K22" i="165"/>
  <c r="F22" i="165"/>
  <c r="D22" i="165" s="1"/>
  <c r="E22" i="165"/>
  <c r="L21" i="165"/>
  <c r="J21" i="165" s="1"/>
  <c r="K21" i="165"/>
  <c r="F21" i="165"/>
  <c r="D21" i="165" s="1"/>
  <c r="E21" i="165"/>
  <c r="L20" i="165"/>
  <c r="J20" i="165" s="1"/>
  <c r="K20" i="165"/>
  <c r="F20" i="165"/>
  <c r="D20" i="165" s="1"/>
  <c r="E20" i="165"/>
  <c r="L19" i="165"/>
  <c r="J19" i="165" s="1"/>
  <c r="K19" i="165"/>
  <c r="F19" i="165"/>
  <c r="D19" i="165" s="1"/>
  <c r="E19" i="165"/>
  <c r="L18" i="165"/>
  <c r="J18" i="165" s="1"/>
  <c r="K18" i="165"/>
  <c r="F18" i="165"/>
  <c r="D18" i="165" s="1"/>
  <c r="E18" i="165"/>
  <c r="L17" i="165"/>
  <c r="J17" i="165" s="1"/>
  <c r="K17" i="165"/>
  <c r="F17" i="165"/>
  <c r="D17" i="165" s="1"/>
  <c r="E17" i="165"/>
  <c r="L16" i="165"/>
  <c r="J16" i="165" s="1"/>
  <c r="K16" i="165"/>
  <c r="F16" i="165"/>
  <c r="D16" i="165" s="1"/>
  <c r="E16" i="165"/>
  <c r="L15" i="165"/>
  <c r="J15" i="165" s="1"/>
  <c r="K15" i="165"/>
  <c r="F15" i="165"/>
  <c r="D15" i="165" s="1"/>
  <c r="E15" i="165"/>
  <c r="L14" i="165"/>
  <c r="J14" i="165" s="1"/>
  <c r="K14" i="165"/>
  <c r="F14" i="165"/>
  <c r="D14" i="165" s="1"/>
  <c r="E14" i="165"/>
  <c r="L13" i="165"/>
  <c r="J13" i="165" s="1"/>
  <c r="K13" i="165"/>
  <c r="F13" i="165"/>
  <c r="D13" i="165" s="1"/>
  <c r="E13" i="165"/>
  <c r="L12" i="165"/>
  <c r="J12" i="165" s="1"/>
  <c r="K12" i="165"/>
  <c r="F12" i="165"/>
  <c r="D12" i="165" s="1"/>
  <c r="E12" i="165"/>
  <c r="L11" i="165"/>
  <c r="J11" i="165" s="1"/>
  <c r="K11" i="165"/>
  <c r="F11" i="165"/>
  <c r="D11" i="165" s="1"/>
  <c r="E11" i="165"/>
  <c r="L10" i="165"/>
  <c r="J10" i="165" s="1"/>
  <c r="K10" i="165"/>
  <c r="F10" i="165"/>
  <c r="D10" i="165" s="1"/>
  <c r="E10" i="165"/>
  <c r="L9" i="165"/>
  <c r="J9" i="165" s="1"/>
  <c r="K9" i="165"/>
  <c r="F9" i="165"/>
  <c r="D9" i="165" s="1"/>
  <c r="E9" i="165"/>
  <c r="L8" i="165"/>
  <c r="J8" i="165" s="1"/>
  <c r="K8" i="165"/>
  <c r="F8" i="165"/>
  <c r="D8" i="165" s="1"/>
  <c r="E8" i="165"/>
  <c r="L7" i="165"/>
  <c r="J7" i="165" s="1"/>
  <c r="K7" i="165"/>
  <c r="F7" i="165"/>
  <c r="D7" i="165" s="1"/>
  <c r="E7" i="165"/>
  <c r="L6" i="165"/>
  <c r="J6" i="165" s="1"/>
  <c r="K6" i="165"/>
  <c r="F6" i="165"/>
  <c r="D6" i="165" s="1"/>
  <c r="E6" i="165"/>
  <c r="L5" i="165"/>
  <c r="J5" i="165" s="1"/>
  <c r="K5" i="165"/>
  <c r="F5" i="165"/>
  <c r="D5" i="165" s="1"/>
  <c r="E5" i="165"/>
  <c r="CB38" i="164"/>
  <c r="CA38" i="164"/>
  <c r="CA39" i="164" s="1"/>
  <c r="BQ38" i="164"/>
  <c r="BP38" i="164"/>
  <c r="BM38" i="164"/>
  <c r="BL38" i="164"/>
  <c r="BI38" i="164"/>
  <c r="BH38" i="164"/>
  <c r="AX38" i="164"/>
  <c r="AW38" i="164"/>
  <c r="AT38" i="164"/>
  <c r="AS38" i="164"/>
  <c r="AP38" i="164"/>
  <c r="AO38" i="164"/>
  <c r="AE38" i="164"/>
  <c r="AD38" i="164"/>
  <c r="AA38" i="164"/>
  <c r="Z38" i="164"/>
  <c r="W38" i="164"/>
  <c r="V38" i="164"/>
  <c r="L38" i="164"/>
  <c r="K38" i="164"/>
  <c r="H38" i="164"/>
  <c r="G38" i="164"/>
  <c r="D38" i="164"/>
  <c r="C38" i="164"/>
  <c r="CD37" i="164"/>
  <c r="CC37" i="164"/>
  <c r="BU37" i="164"/>
  <c r="BT37" i="164"/>
  <c r="BS37" i="164"/>
  <c r="BR37" i="164"/>
  <c r="BO37" i="164"/>
  <c r="BN37" i="164"/>
  <c r="BK37" i="164"/>
  <c r="BJ37" i="164"/>
  <c r="BB37" i="164"/>
  <c r="BA37" i="164"/>
  <c r="AZ37" i="164"/>
  <c r="AY37" i="164"/>
  <c r="AV37" i="164"/>
  <c r="AU37" i="164"/>
  <c r="AR37" i="164"/>
  <c r="AQ37" i="164"/>
  <c r="AI37" i="164"/>
  <c r="AK37" i="164" s="1"/>
  <c r="AH37" i="164"/>
  <c r="AG37" i="164"/>
  <c r="AF37" i="164"/>
  <c r="AC37" i="164"/>
  <c r="AB37" i="164"/>
  <c r="Y37" i="164"/>
  <c r="X37" i="164"/>
  <c r="U37" i="164"/>
  <c r="AN37" i="164" s="1"/>
  <c r="BG37" i="164" s="1"/>
  <c r="BZ37" i="164" s="1"/>
  <c r="P37" i="164"/>
  <c r="Q37" i="164" s="1"/>
  <c r="O37" i="164"/>
  <c r="N37" i="164"/>
  <c r="M37" i="164"/>
  <c r="J37" i="164"/>
  <c r="I37" i="164"/>
  <c r="F37" i="164"/>
  <c r="E37" i="164"/>
  <c r="CD36" i="164"/>
  <c r="CC36" i="164"/>
  <c r="BU36" i="164"/>
  <c r="BT36" i="164"/>
  <c r="BS36" i="164"/>
  <c r="BR36" i="164"/>
  <c r="BO36" i="164"/>
  <c r="BN36" i="164"/>
  <c r="BK36" i="164"/>
  <c r="BJ36" i="164"/>
  <c r="BB36" i="164"/>
  <c r="BA36" i="164"/>
  <c r="AZ36" i="164"/>
  <c r="AY36" i="164"/>
  <c r="AV36" i="164"/>
  <c r="AU36" i="164"/>
  <c r="AR36" i="164"/>
  <c r="AQ36" i="164"/>
  <c r="AI36" i="164"/>
  <c r="AH36" i="164"/>
  <c r="AG36" i="164"/>
  <c r="AF36" i="164"/>
  <c r="AC36" i="164"/>
  <c r="AB36" i="164"/>
  <c r="Y36" i="164"/>
  <c r="X36" i="164"/>
  <c r="U36" i="164"/>
  <c r="AN36" i="164" s="1"/>
  <c r="BG36" i="164" s="1"/>
  <c r="BZ36" i="164" s="1"/>
  <c r="P36" i="164"/>
  <c r="O36" i="164"/>
  <c r="N36" i="164"/>
  <c r="M36" i="164"/>
  <c r="J36" i="164"/>
  <c r="I36" i="164"/>
  <c r="F36" i="164"/>
  <c r="E36" i="164"/>
  <c r="CD35" i="164"/>
  <c r="CC35" i="164"/>
  <c r="BU35" i="164"/>
  <c r="BT35" i="164"/>
  <c r="BS35" i="164"/>
  <c r="BR35" i="164"/>
  <c r="BO35" i="164"/>
  <c r="BN35" i="164"/>
  <c r="BK35" i="164"/>
  <c r="BJ35" i="164"/>
  <c r="BB35" i="164"/>
  <c r="BA35" i="164"/>
  <c r="AZ35" i="164"/>
  <c r="AY35" i="164"/>
  <c r="AV35" i="164"/>
  <c r="AU35" i="164"/>
  <c r="AR35" i="164"/>
  <c r="AQ35" i="164"/>
  <c r="AI35" i="164"/>
  <c r="AH35" i="164"/>
  <c r="AG35" i="164"/>
  <c r="AF35" i="164"/>
  <c r="AC35" i="164"/>
  <c r="AB35" i="164"/>
  <c r="Y35" i="164"/>
  <c r="X35" i="164"/>
  <c r="U35" i="164"/>
  <c r="AN35" i="164" s="1"/>
  <c r="BG35" i="164" s="1"/>
  <c r="BZ35" i="164" s="1"/>
  <c r="P35" i="164"/>
  <c r="O35" i="164"/>
  <c r="N35" i="164"/>
  <c r="M35" i="164"/>
  <c r="J35" i="164"/>
  <c r="I35" i="164"/>
  <c r="F35" i="164"/>
  <c r="E35" i="164"/>
  <c r="CD34" i="164"/>
  <c r="CC34" i="164"/>
  <c r="BU34" i="164"/>
  <c r="BT34" i="164"/>
  <c r="BS34" i="164"/>
  <c r="BR34" i="164"/>
  <c r="BO34" i="164"/>
  <c r="BN34" i="164"/>
  <c r="BK34" i="164"/>
  <c r="BJ34" i="164"/>
  <c r="BB34" i="164"/>
  <c r="BA34" i="164"/>
  <c r="AZ34" i="164"/>
  <c r="AY34" i="164"/>
  <c r="AV34" i="164"/>
  <c r="AU34" i="164"/>
  <c r="AR34" i="164"/>
  <c r="AQ34" i="164"/>
  <c r="AI34" i="164"/>
  <c r="AH34" i="164"/>
  <c r="AG34" i="164"/>
  <c r="AF34" i="164"/>
  <c r="AC34" i="164"/>
  <c r="AB34" i="164"/>
  <c r="Y34" i="164"/>
  <c r="X34" i="164"/>
  <c r="U34" i="164"/>
  <c r="AN34" i="164" s="1"/>
  <c r="BG34" i="164" s="1"/>
  <c r="BZ34" i="164" s="1"/>
  <c r="P34" i="164"/>
  <c r="O34" i="164"/>
  <c r="N34" i="164"/>
  <c r="M34" i="164"/>
  <c r="J34" i="164"/>
  <c r="I34" i="164"/>
  <c r="F34" i="164"/>
  <c r="E34" i="164"/>
  <c r="CD33" i="164"/>
  <c r="CC33" i="164"/>
  <c r="BU33" i="164"/>
  <c r="BT33" i="164"/>
  <c r="BS33" i="164"/>
  <c r="BR33" i="164"/>
  <c r="BO33" i="164"/>
  <c r="BN33" i="164"/>
  <c r="BK33" i="164"/>
  <c r="BJ33" i="164"/>
  <c r="BB33" i="164"/>
  <c r="BA33" i="164"/>
  <c r="AZ33" i="164"/>
  <c r="AY33" i="164"/>
  <c r="AV33" i="164"/>
  <c r="AU33" i="164"/>
  <c r="AR33" i="164"/>
  <c r="AQ33" i="164"/>
  <c r="AI33" i="164"/>
  <c r="AH33" i="164"/>
  <c r="AG33" i="164"/>
  <c r="AF33" i="164"/>
  <c r="AC33" i="164"/>
  <c r="AB33" i="164"/>
  <c r="Y33" i="164"/>
  <c r="X33" i="164"/>
  <c r="U33" i="164"/>
  <c r="AN33" i="164" s="1"/>
  <c r="BG33" i="164" s="1"/>
  <c r="BZ33" i="164" s="1"/>
  <c r="P33" i="164"/>
  <c r="O33" i="164"/>
  <c r="N33" i="164"/>
  <c r="M33" i="164"/>
  <c r="J33" i="164"/>
  <c r="I33" i="164"/>
  <c r="F33" i="164"/>
  <c r="E33" i="164"/>
  <c r="CD32" i="164"/>
  <c r="CC32" i="164"/>
  <c r="BU32" i="164"/>
  <c r="BW32" i="164" s="1"/>
  <c r="BT32" i="164"/>
  <c r="BS32" i="164"/>
  <c r="BR32" i="164"/>
  <c r="BO32" i="164"/>
  <c r="BN32" i="164"/>
  <c r="BK32" i="164"/>
  <c r="BJ32" i="164"/>
  <c r="BB32" i="164"/>
  <c r="BA32" i="164"/>
  <c r="AZ32" i="164"/>
  <c r="AY32" i="164"/>
  <c r="AV32" i="164"/>
  <c r="AU32" i="164"/>
  <c r="AR32" i="164"/>
  <c r="AQ32" i="164"/>
  <c r="AI32" i="164"/>
  <c r="AH32" i="164"/>
  <c r="AG32" i="164"/>
  <c r="AF32" i="164"/>
  <c r="AC32" i="164"/>
  <c r="AB32" i="164"/>
  <c r="Y32" i="164"/>
  <c r="X32" i="164"/>
  <c r="U32" i="164"/>
  <c r="AN32" i="164" s="1"/>
  <c r="BG32" i="164" s="1"/>
  <c r="BZ32" i="164" s="1"/>
  <c r="P32" i="164"/>
  <c r="O32" i="164"/>
  <c r="N32" i="164"/>
  <c r="M32" i="164"/>
  <c r="J32" i="164"/>
  <c r="I32" i="164"/>
  <c r="F32" i="164"/>
  <c r="E32" i="164"/>
  <c r="CD31" i="164"/>
  <c r="CC31" i="164"/>
  <c r="BU31" i="164"/>
  <c r="BT31" i="164"/>
  <c r="BS31" i="164"/>
  <c r="BR31" i="164"/>
  <c r="BO31" i="164"/>
  <c r="BN31" i="164"/>
  <c r="BK31" i="164"/>
  <c r="BJ31" i="164"/>
  <c r="BB31" i="164"/>
  <c r="BA31" i="164"/>
  <c r="AZ31" i="164"/>
  <c r="AY31" i="164"/>
  <c r="AV31" i="164"/>
  <c r="AU31" i="164"/>
  <c r="AR31" i="164"/>
  <c r="AQ31" i="164"/>
  <c r="AI31" i="164"/>
  <c r="AH31" i="164"/>
  <c r="AG31" i="164"/>
  <c r="AF31" i="164"/>
  <c r="AC31" i="164"/>
  <c r="AB31" i="164"/>
  <c r="Y31" i="164"/>
  <c r="X31" i="164"/>
  <c r="U31" i="164"/>
  <c r="AN31" i="164" s="1"/>
  <c r="BG31" i="164" s="1"/>
  <c r="BZ31" i="164" s="1"/>
  <c r="P31" i="164"/>
  <c r="O31" i="164"/>
  <c r="N31" i="164"/>
  <c r="M31" i="164"/>
  <c r="J31" i="164"/>
  <c r="I31" i="164"/>
  <c r="F31" i="164"/>
  <c r="E31" i="164"/>
  <c r="CD30" i="164"/>
  <c r="CC30" i="164"/>
  <c r="BU30" i="164"/>
  <c r="BT30" i="164"/>
  <c r="BS30" i="164"/>
  <c r="BR30" i="164"/>
  <c r="BO30" i="164"/>
  <c r="BN30" i="164"/>
  <c r="BK30" i="164"/>
  <c r="BJ30" i="164"/>
  <c r="BB30" i="164"/>
  <c r="BA30" i="164"/>
  <c r="AZ30" i="164"/>
  <c r="AY30" i="164"/>
  <c r="AV30" i="164"/>
  <c r="AU30" i="164"/>
  <c r="AR30" i="164"/>
  <c r="AQ30" i="164"/>
  <c r="AI30" i="164"/>
  <c r="AH30" i="164"/>
  <c r="AG30" i="164"/>
  <c r="AF30" i="164"/>
  <c r="AC30" i="164"/>
  <c r="AB30" i="164"/>
  <c r="Y30" i="164"/>
  <c r="X30" i="164"/>
  <c r="U30" i="164"/>
  <c r="AN30" i="164" s="1"/>
  <c r="BG30" i="164" s="1"/>
  <c r="BZ30" i="164" s="1"/>
  <c r="P30" i="164"/>
  <c r="O30" i="164"/>
  <c r="N30" i="164"/>
  <c r="M30" i="164"/>
  <c r="J30" i="164"/>
  <c r="I30" i="164"/>
  <c r="F30" i="164"/>
  <c r="E30" i="164"/>
  <c r="CD29" i="164"/>
  <c r="CC29" i="164"/>
  <c r="BU29" i="164"/>
  <c r="BT29" i="164"/>
  <c r="BS29" i="164"/>
  <c r="BR29" i="164"/>
  <c r="BO29" i="164"/>
  <c r="BN29" i="164"/>
  <c r="BK29" i="164"/>
  <c r="BJ29" i="164"/>
  <c r="BB29" i="164"/>
  <c r="BA29" i="164"/>
  <c r="AZ29" i="164"/>
  <c r="AY29" i="164"/>
  <c r="AV29" i="164"/>
  <c r="AU29" i="164"/>
  <c r="AR29" i="164"/>
  <c r="AQ29" i="164"/>
  <c r="AI29" i="164"/>
  <c r="AH29" i="164"/>
  <c r="AG29" i="164"/>
  <c r="AF29" i="164"/>
  <c r="AC29" i="164"/>
  <c r="AB29" i="164"/>
  <c r="Y29" i="164"/>
  <c r="X29" i="164"/>
  <c r="U29" i="164"/>
  <c r="AN29" i="164" s="1"/>
  <c r="BG29" i="164" s="1"/>
  <c r="BZ29" i="164" s="1"/>
  <c r="P29" i="164"/>
  <c r="O29" i="164"/>
  <c r="N29" i="164"/>
  <c r="M29" i="164"/>
  <c r="J29" i="164"/>
  <c r="I29" i="164"/>
  <c r="F29" i="164"/>
  <c r="E29" i="164"/>
  <c r="CD28" i="164"/>
  <c r="CC28" i="164"/>
  <c r="BU28" i="164"/>
  <c r="BT28" i="164"/>
  <c r="BS28" i="164"/>
  <c r="BR28" i="164"/>
  <c r="BO28" i="164"/>
  <c r="BN28" i="164"/>
  <c r="BK28" i="164"/>
  <c r="BJ28" i="164"/>
  <c r="BB28" i="164"/>
  <c r="BA28" i="164"/>
  <c r="AZ28" i="164"/>
  <c r="AY28" i="164"/>
  <c r="AV28" i="164"/>
  <c r="AU28" i="164"/>
  <c r="AR28" i="164"/>
  <c r="AQ28" i="164"/>
  <c r="AI28" i="164"/>
  <c r="AH28" i="164"/>
  <c r="AG28" i="164"/>
  <c r="AF28" i="164"/>
  <c r="AC28" i="164"/>
  <c r="AB28" i="164"/>
  <c r="Y28" i="164"/>
  <c r="X28" i="164"/>
  <c r="U28" i="164"/>
  <c r="AN28" i="164" s="1"/>
  <c r="BG28" i="164" s="1"/>
  <c r="BZ28" i="164" s="1"/>
  <c r="P28" i="164"/>
  <c r="O28" i="164"/>
  <c r="M28" i="164"/>
  <c r="J28" i="164"/>
  <c r="I28" i="164"/>
  <c r="F28" i="164"/>
  <c r="E28" i="164"/>
  <c r="CD27" i="164"/>
  <c r="CC27" i="164"/>
  <c r="BU27" i="164"/>
  <c r="BT27" i="164"/>
  <c r="BS27" i="164"/>
  <c r="BR27" i="164"/>
  <c r="BO27" i="164"/>
  <c r="BN27" i="164"/>
  <c r="BK27" i="164"/>
  <c r="BJ27" i="164"/>
  <c r="BB27" i="164"/>
  <c r="BA27" i="164"/>
  <c r="AZ27" i="164"/>
  <c r="AY27" i="164"/>
  <c r="AV27" i="164"/>
  <c r="AU27" i="164"/>
  <c r="AR27" i="164"/>
  <c r="AQ27" i="164"/>
  <c r="AI27" i="164"/>
  <c r="AH27" i="164"/>
  <c r="AG27" i="164"/>
  <c r="AF27" i="164"/>
  <c r="AC27" i="164"/>
  <c r="AB27" i="164"/>
  <c r="Y27" i="164"/>
  <c r="X27" i="164"/>
  <c r="U27" i="164"/>
  <c r="AN27" i="164" s="1"/>
  <c r="BG27" i="164" s="1"/>
  <c r="BZ27" i="164" s="1"/>
  <c r="P27" i="164"/>
  <c r="O27" i="164"/>
  <c r="N27" i="164"/>
  <c r="M27" i="164"/>
  <c r="J27" i="164"/>
  <c r="I27" i="164"/>
  <c r="F27" i="164"/>
  <c r="E27" i="164"/>
  <c r="CD26" i="164"/>
  <c r="CC26" i="164"/>
  <c r="BU26" i="164"/>
  <c r="BV26" i="164" s="1"/>
  <c r="BT26" i="164"/>
  <c r="BS26" i="164"/>
  <c r="BR26" i="164"/>
  <c r="BO26" i="164"/>
  <c r="BN26" i="164"/>
  <c r="BK26" i="164"/>
  <c r="BJ26" i="164"/>
  <c r="BB26" i="164"/>
  <c r="BD26" i="164" s="1"/>
  <c r="BA26" i="164"/>
  <c r="AZ26" i="164"/>
  <c r="AY26" i="164"/>
  <c r="AV26" i="164"/>
  <c r="AU26" i="164"/>
  <c r="AR26" i="164"/>
  <c r="AQ26" i="164"/>
  <c r="AI26" i="164"/>
  <c r="AJ26" i="164" s="1"/>
  <c r="AH26" i="164"/>
  <c r="AG26" i="164"/>
  <c r="AF26" i="164"/>
  <c r="AC26" i="164"/>
  <c r="AB26" i="164"/>
  <c r="Y26" i="164"/>
  <c r="X26" i="164"/>
  <c r="U26" i="164"/>
  <c r="AN26" i="164" s="1"/>
  <c r="BG26" i="164" s="1"/>
  <c r="BZ26" i="164" s="1"/>
  <c r="P26" i="164"/>
  <c r="R26" i="164" s="1"/>
  <c r="O26" i="164"/>
  <c r="N26" i="164"/>
  <c r="M26" i="164"/>
  <c r="J26" i="164"/>
  <c r="I26" i="164"/>
  <c r="F26" i="164"/>
  <c r="E26" i="164"/>
  <c r="CD25" i="164"/>
  <c r="CC25" i="164"/>
  <c r="BU25" i="164"/>
  <c r="BW25" i="164" s="1"/>
  <c r="BT25" i="164"/>
  <c r="BS25" i="164"/>
  <c r="BR25" i="164"/>
  <c r="BO25" i="164"/>
  <c r="BN25" i="164"/>
  <c r="BK25" i="164"/>
  <c r="BJ25" i="164"/>
  <c r="BB25" i="164"/>
  <c r="BD25" i="164" s="1"/>
  <c r="BA25" i="164"/>
  <c r="AZ25" i="164"/>
  <c r="AY25" i="164"/>
  <c r="AV25" i="164"/>
  <c r="AU25" i="164"/>
  <c r="AR25" i="164"/>
  <c r="AQ25" i="164"/>
  <c r="AI25" i="164"/>
  <c r="AH25" i="164"/>
  <c r="AG25" i="164"/>
  <c r="AF25" i="164"/>
  <c r="AC25" i="164"/>
  <c r="AB25" i="164"/>
  <c r="Y25" i="164"/>
  <c r="X25" i="164"/>
  <c r="U25" i="164"/>
  <c r="AN25" i="164" s="1"/>
  <c r="BG25" i="164" s="1"/>
  <c r="BZ25" i="164" s="1"/>
  <c r="P25" i="164"/>
  <c r="R25" i="164" s="1"/>
  <c r="O25" i="164"/>
  <c r="N25" i="164"/>
  <c r="M25" i="164"/>
  <c r="J25" i="164"/>
  <c r="I25" i="164"/>
  <c r="F25" i="164"/>
  <c r="E25" i="164"/>
  <c r="CD24" i="164"/>
  <c r="CC24" i="164"/>
  <c r="BU24" i="164"/>
  <c r="BT24" i="164"/>
  <c r="BS24" i="164"/>
  <c r="BR24" i="164"/>
  <c r="BO24" i="164"/>
  <c r="BN24" i="164"/>
  <c r="BK24" i="164"/>
  <c r="BJ24" i="164"/>
  <c r="BB24" i="164"/>
  <c r="BA24" i="164"/>
  <c r="AZ24" i="164"/>
  <c r="AY24" i="164"/>
  <c r="AV24" i="164"/>
  <c r="AU24" i="164"/>
  <c r="AR24" i="164"/>
  <c r="AQ24" i="164"/>
  <c r="AI24" i="164"/>
  <c r="AH24" i="164"/>
  <c r="AG24" i="164"/>
  <c r="AF24" i="164"/>
  <c r="AC24" i="164"/>
  <c r="AB24" i="164"/>
  <c r="Y24" i="164"/>
  <c r="X24" i="164"/>
  <c r="U24" i="164"/>
  <c r="AN24" i="164" s="1"/>
  <c r="BG24" i="164" s="1"/>
  <c r="BZ24" i="164" s="1"/>
  <c r="P24" i="164"/>
  <c r="O24" i="164"/>
  <c r="N24" i="164"/>
  <c r="M24" i="164"/>
  <c r="J24" i="164"/>
  <c r="I24" i="164"/>
  <c r="F24" i="164"/>
  <c r="E24" i="164"/>
  <c r="CD23" i="164"/>
  <c r="CC23" i="164"/>
  <c r="BU23" i="164"/>
  <c r="BT23" i="164"/>
  <c r="BS23" i="164"/>
  <c r="BR23" i="164"/>
  <c r="BO23" i="164"/>
  <c r="BN23" i="164"/>
  <c r="BK23" i="164"/>
  <c r="BJ23" i="164"/>
  <c r="BB23" i="164"/>
  <c r="BA23" i="164"/>
  <c r="AZ23" i="164"/>
  <c r="AY23" i="164"/>
  <c r="AV23" i="164"/>
  <c r="AU23" i="164"/>
  <c r="AR23" i="164"/>
  <c r="AQ23" i="164"/>
  <c r="AI23" i="164"/>
  <c r="AH23" i="164"/>
  <c r="AG23" i="164"/>
  <c r="AF23" i="164"/>
  <c r="AC23" i="164"/>
  <c r="AB23" i="164"/>
  <c r="Y23" i="164"/>
  <c r="X23" i="164"/>
  <c r="U23" i="164"/>
  <c r="AN23" i="164" s="1"/>
  <c r="BG23" i="164" s="1"/>
  <c r="BZ23" i="164" s="1"/>
  <c r="P23" i="164"/>
  <c r="O23" i="164"/>
  <c r="N23" i="164"/>
  <c r="M23" i="164"/>
  <c r="J23" i="164"/>
  <c r="I23" i="164"/>
  <c r="F23" i="164"/>
  <c r="E23" i="164"/>
  <c r="CD22" i="164"/>
  <c r="CC22" i="164"/>
  <c r="BU22" i="164"/>
  <c r="BT22" i="164"/>
  <c r="BS22" i="164"/>
  <c r="BR22" i="164"/>
  <c r="BO22" i="164"/>
  <c r="BN22" i="164"/>
  <c r="BK22" i="164"/>
  <c r="BJ22" i="164"/>
  <c r="BB22" i="164"/>
  <c r="BA22" i="164"/>
  <c r="AZ22" i="164"/>
  <c r="AY22" i="164"/>
  <c r="AV22" i="164"/>
  <c r="AU22" i="164"/>
  <c r="AR22" i="164"/>
  <c r="AQ22" i="164"/>
  <c r="AI22" i="164"/>
  <c r="AH22" i="164"/>
  <c r="AG22" i="164"/>
  <c r="AF22" i="164"/>
  <c r="AC22" i="164"/>
  <c r="AB22" i="164"/>
  <c r="Y22" i="164"/>
  <c r="X22" i="164"/>
  <c r="U22" i="164"/>
  <c r="AN22" i="164" s="1"/>
  <c r="BG22" i="164" s="1"/>
  <c r="BZ22" i="164" s="1"/>
  <c r="P22" i="164"/>
  <c r="O22" i="164"/>
  <c r="N22" i="164"/>
  <c r="M22" i="164"/>
  <c r="J22" i="164"/>
  <c r="I22" i="164"/>
  <c r="F22" i="164"/>
  <c r="E22" i="164"/>
  <c r="CD21" i="164"/>
  <c r="CC21" i="164"/>
  <c r="BU21" i="164"/>
  <c r="BT21" i="164"/>
  <c r="BS21" i="164"/>
  <c r="BR21" i="164"/>
  <c r="BO21" i="164"/>
  <c r="BN21" i="164"/>
  <c r="BK21" i="164"/>
  <c r="BJ21" i="164"/>
  <c r="BB21" i="164"/>
  <c r="BA21" i="164"/>
  <c r="AZ21" i="164"/>
  <c r="AY21" i="164"/>
  <c r="AV21" i="164"/>
  <c r="AU21" i="164"/>
  <c r="AR21" i="164"/>
  <c r="AQ21" i="164"/>
  <c r="AI21" i="164"/>
  <c r="AH21" i="164"/>
  <c r="AG21" i="164"/>
  <c r="AF21" i="164"/>
  <c r="AC21" i="164"/>
  <c r="AB21" i="164"/>
  <c r="Y21" i="164"/>
  <c r="X21" i="164"/>
  <c r="U21" i="164"/>
  <c r="AN21" i="164" s="1"/>
  <c r="BG21" i="164" s="1"/>
  <c r="BZ21" i="164" s="1"/>
  <c r="P21" i="164"/>
  <c r="O21" i="164"/>
  <c r="N21" i="164"/>
  <c r="M21" i="164"/>
  <c r="J21" i="164"/>
  <c r="I21" i="164"/>
  <c r="F21" i="164"/>
  <c r="E21" i="164"/>
  <c r="CD20" i="164"/>
  <c r="CC20" i="164"/>
  <c r="BU20" i="164"/>
  <c r="BT20" i="164"/>
  <c r="BS20" i="164"/>
  <c r="BR20" i="164"/>
  <c r="BO20" i="164"/>
  <c r="BN20" i="164"/>
  <c r="BK20" i="164"/>
  <c r="BJ20" i="164"/>
  <c r="BB20" i="164"/>
  <c r="BA20" i="164"/>
  <c r="AZ20" i="164"/>
  <c r="AY20" i="164"/>
  <c r="AV20" i="164"/>
  <c r="AU20" i="164"/>
  <c r="AR20" i="164"/>
  <c r="AQ20" i="164"/>
  <c r="AI20" i="164"/>
  <c r="AH20" i="164"/>
  <c r="AG20" i="164"/>
  <c r="AF20" i="164"/>
  <c r="AC20" i="164"/>
  <c r="AB20" i="164"/>
  <c r="Y20" i="164"/>
  <c r="X20" i="164"/>
  <c r="U20" i="164"/>
  <c r="AN20" i="164" s="1"/>
  <c r="BG20" i="164" s="1"/>
  <c r="BZ20" i="164" s="1"/>
  <c r="P20" i="164"/>
  <c r="O20" i="164"/>
  <c r="N20" i="164"/>
  <c r="M20" i="164"/>
  <c r="J20" i="164"/>
  <c r="I20" i="164"/>
  <c r="F20" i="164"/>
  <c r="E20" i="164"/>
  <c r="CD19" i="164"/>
  <c r="CC19" i="164"/>
  <c r="BU19" i="164"/>
  <c r="BT19" i="164"/>
  <c r="BS19" i="164"/>
  <c r="BR19" i="164"/>
  <c r="BO19" i="164"/>
  <c r="BN19" i="164"/>
  <c r="BK19" i="164"/>
  <c r="BJ19" i="164"/>
  <c r="BB19" i="164"/>
  <c r="BA19" i="164"/>
  <c r="AZ19" i="164"/>
  <c r="AY19" i="164"/>
  <c r="AV19" i="164"/>
  <c r="AU19" i="164"/>
  <c r="AR19" i="164"/>
  <c r="AQ19" i="164"/>
  <c r="AI19" i="164"/>
  <c r="AH19" i="164"/>
  <c r="AG19" i="164"/>
  <c r="AF19" i="164"/>
  <c r="AC19" i="164"/>
  <c r="AB19" i="164"/>
  <c r="Y19" i="164"/>
  <c r="X19" i="164"/>
  <c r="U19" i="164"/>
  <c r="AN19" i="164" s="1"/>
  <c r="BG19" i="164" s="1"/>
  <c r="BZ19" i="164" s="1"/>
  <c r="P19" i="164"/>
  <c r="O19" i="164"/>
  <c r="N19" i="164"/>
  <c r="M19" i="164"/>
  <c r="J19" i="164"/>
  <c r="I19" i="164"/>
  <c r="F19" i="164"/>
  <c r="E19" i="164"/>
  <c r="CD18" i="164"/>
  <c r="CC18" i="164"/>
  <c r="BU18" i="164"/>
  <c r="BV18" i="164" s="1"/>
  <c r="BT18" i="164"/>
  <c r="BS18" i="164"/>
  <c r="BR18" i="164"/>
  <c r="BO18" i="164"/>
  <c r="BN18" i="164"/>
  <c r="BK18" i="164"/>
  <c r="BJ18" i="164"/>
  <c r="BB18" i="164"/>
  <c r="BD18" i="164" s="1"/>
  <c r="BA18" i="164"/>
  <c r="AZ18" i="164"/>
  <c r="AY18" i="164"/>
  <c r="AV18" i="164"/>
  <c r="AU18" i="164"/>
  <c r="AR18" i="164"/>
  <c r="AQ18" i="164"/>
  <c r="AI18" i="164"/>
  <c r="AH18" i="164"/>
  <c r="AG18" i="164"/>
  <c r="AF18" i="164"/>
  <c r="AC18" i="164"/>
  <c r="AB18" i="164"/>
  <c r="Y18" i="164"/>
  <c r="X18" i="164"/>
  <c r="U18" i="164"/>
  <c r="AN18" i="164" s="1"/>
  <c r="BG18" i="164" s="1"/>
  <c r="BZ18" i="164" s="1"/>
  <c r="P18" i="164"/>
  <c r="O18" i="164"/>
  <c r="N18" i="164"/>
  <c r="M18" i="164"/>
  <c r="J18" i="164"/>
  <c r="I18" i="164"/>
  <c r="F18" i="164"/>
  <c r="E18" i="164"/>
  <c r="CD17" i="164"/>
  <c r="CC17" i="164"/>
  <c r="BU17" i="164"/>
  <c r="BT17" i="164"/>
  <c r="BS17" i="164"/>
  <c r="BR17" i="164"/>
  <c r="BO17" i="164"/>
  <c r="BN17" i="164"/>
  <c r="BK17" i="164"/>
  <c r="BJ17" i="164"/>
  <c r="BB17" i="164"/>
  <c r="BA17" i="164"/>
  <c r="AZ17" i="164"/>
  <c r="AY17" i="164"/>
  <c r="AV17" i="164"/>
  <c r="AU17" i="164"/>
  <c r="AR17" i="164"/>
  <c r="AQ17" i="164"/>
  <c r="AI17" i="164"/>
  <c r="AH17" i="164"/>
  <c r="AG17" i="164"/>
  <c r="AF17" i="164"/>
  <c r="AC17" i="164"/>
  <c r="AB17" i="164"/>
  <c r="Y17" i="164"/>
  <c r="X17" i="164"/>
  <c r="U17" i="164"/>
  <c r="AN17" i="164" s="1"/>
  <c r="BG17" i="164" s="1"/>
  <c r="BZ17" i="164" s="1"/>
  <c r="P17" i="164"/>
  <c r="O17" i="164"/>
  <c r="N17" i="164"/>
  <c r="M17" i="164"/>
  <c r="J17" i="164"/>
  <c r="I17" i="164"/>
  <c r="F17" i="164"/>
  <c r="E17" i="164"/>
  <c r="CD16" i="164"/>
  <c r="CC16" i="164"/>
  <c r="BU16" i="164"/>
  <c r="BT16" i="164"/>
  <c r="BS16" i="164"/>
  <c r="BR16" i="164"/>
  <c r="BO16" i="164"/>
  <c r="BN16" i="164"/>
  <c r="BK16" i="164"/>
  <c r="BJ16" i="164"/>
  <c r="BB16" i="164"/>
  <c r="BA16" i="164"/>
  <c r="AZ16" i="164"/>
  <c r="AY16" i="164"/>
  <c r="AV16" i="164"/>
  <c r="AU16" i="164"/>
  <c r="AR16" i="164"/>
  <c r="AQ16" i="164"/>
  <c r="AI16" i="164"/>
  <c r="AH16" i="164"/>
  <c r="AG16" i="164"/>
  <c r="AF16" i="164"/>
  <c r="AC16" i="164"/>
  <c r="AB16" i="164"/>
  <c r="Y16" i="164"/>
  <c r="X16" i="164"/>
  <c r="U16" i="164"/>
  <c r="AN16" i="164" s="1"/>
  <c r="BG16" i="164" s="1"/>
  <c r="BZ16" i="164" s="1"/>
  <c r="P16" i="164"/>
  <c r="O16" i="164"/>
  <c r="N16" i="164"/>
  <c r="M16" i="164"/>
  <c r="J16" i="164"/>
  <c r="I16" i="164"/>
  <c r="F16" i="164"/>
  <c r="E16" i="164"/>
  <c r="CD15" i="164"/>
  <c r="CC15" i="164"/>
  <c r="BU15" i="164"/>
  <c r="BT15" i="164"/>
  <c r="BS15" i="164"/>
  <c r="BR15" i="164"/>
  <c r="BO15" i="164"/>
  <c r="BN15" i="164"/>
  <c r="BK15" i="164"/>
  <c r="BJ15" i="164"/>
  <c r="BB15" i="164"/>
  <c r="BA15" i="164"/>
  <c r="AZ15" i="164"/>
  <c r="AY15" i="164"/>
  <c r="AV15" i="164"/>
  <c r="AU15" i="164"/>
  <c r="AR15" i="164"/>
  <c r="AQ15" i="164"/>
  <c r="AI15" i="164"/>
  <c r="AH15" i="164"/>
  <c r="AG15" i="164"/>
  <c r="AF15" i="164"/>
  <c r="AC15" i="164"/>
  <c r="AB15" i="164"/>
  <c r="Y15" i="164"/>
  <c r="X15" i="164"/>
  <c r="U15" i="164"/>
  <c r="AN15" i="164" s="1"/>
  <c r="BG15" i="164" s="1"/>
  <c r="BZ15" i="164" s="1"/>
  <c r="P15" i="164"/>
  <c r="O15" i="164"/>
  <c r="N15" i="164"/>
  <c r="M15" i="164"/>
  <c r="J15" i="164"/>
  <c r="I15" i="164"/>
  <c r="F15" i="164"/>
  <c r="E15" i="164"/>
  <c r="CD14" i="164"/>
  <c r="CC14" i="164"/>
  <c r="BU14" i="164"/>
  <c r="BT14" i="164"/>
  <c r="BS14" i="164"/>
  <c r="BR14" i="164"/>
  <c r="BO14" i="164"/>
  <c r="BN14" i="164"/>
  <c r="BK14" i="164"/>
  <c r="BJ14" i="164"/>
  <c r="BB14" i="164"/>
  <c r="BA14" i="164"/>
  <c r="AZ14" i="164"/>
  <c r="AY14" i="164"/>
  <c r="AV14" i="164"/>
  <c r="AU14" i="164"/>
  <c r="AR14" i="164"/>
  <c r="AQ14" i="164"/>
  <c r="AI14" i="164"/>
  <c r="AH14" i="164"/>
  <c r="AG14" i="164"/>
  <c r="AF14" i="164"/>
  <c r="AC14" i="164"/>
  <c r="AB14" i="164"/>
  <c r="Y14" i="164"/>
  <c r="X14" i="164"/>
  <c r="U14" i="164"/>
  <c r="AN14" i="164" s="1"/>
  <c r="BG14" i="164" s="1"/>
  <c r="BZ14" i="164" s="1"/>
  <c r="P14" i="164"/>
  <c r="O14" i="164"/>
  <c r="N14" i="164"/>
  <c r="M14" i="164"/>
  <c r="J14" i="164"/>
  <c r="I14" i="164"/>
  <c r="F14" i="164"/>
  <c r="E14" i="164"/>
  <c r="CD13" i="164"/>
  <c r="CC13" i="164"/>
  <c r="BU13" i="164"/>
  <c r="BT13" i="164"/>
  <c r="BS13" i="164"/>
  <c r="BR13" i="164"/>
  <c r="BO13" i="164"/>
  <c r="BN13" i="164"/>
  <c r="BK13" i="164"/>
  <c r="BJ13" i="164"/>
  <c r="BB13" i="164"/>
  <c r="BA13" i="164"/>
  <c r="AZ13" i="164"/>
  <c r="AY13" i="164"/>
  <c r="AV13" i="164"/>
  <c r="AU13" i="164"/>
  <c r="AR13" i="164"/>
  <c r="AQ13" i="164"/>
  <c r="AI13" i="164"/>
  <c r="AH13" i="164"/>
  <c r="AG13" i="164"/>
  <c r="AF13" i="164"/>
  <c r="AC13" i="164"/>
  <c r="AB13" i="164"/>
  <c r="Y13" i="164"/>
  <c r="X13" i="164"/>
  <c r="U13" i="164"/>
  <c r="AN13" i="164" s="1"/>
  <c r="BG13" i="164" s="1"/>
  <c r="BZ13" i="164" s="1"/>
  <c r="P13" i="164"/>
  <c r="O13" i="164"/>
  <c r="N13" i="164"/>
  <c r="M13" i="164"/>
  <c r="J13" i="164"/>
  <c r="I13" i="164"/>
  <c r="F13" i="164"/>
  <c r="E13" i="164"/>
  <c r="CD12" i="164"/>
  <c r="CC12" i="164"/>
  <c r="BU12" i="164"/>
  <c r="BT12" i="164"/>
  <c r="BS12" i="164"/>
  <c r="BR12" i="164"/>
  <c r="BO12" i="164"/>
  <c r="BN12" i="164"/>
  <c r="BK12" i="164"/>
  <c r="BJ12" i="164"/>
  <c r="BB12" i="164"/>
  <c r="BA12" i="164"/>
  <c r="AZ12" i="164"/>
  <c r="AY12" i="164"/>
  <c r="AV12" i="164"/>
  <c r="AU12" i="164"/>
  <c r="AR12" i="164"/>
  <c r="AQ12" i="164"/>
  <c r="AI12" i="164"/>
  <c r="AH12" i="164"/>
  <c r="AG12" i="164"/>
  <c r="AF12" i="164"/>
  <c r="AC12" i="164"/>
  <c r="AB12" i="164"/>
  <c r="Y12" i="164"/>
  <c r="X12" i="164"/>
  <c r="U12" i="164"/>
  <c r="AN12" i="164" s="1"/>
  <c r="BG12" i="164" s="1"/>
  <c r="BZ12" i="164" s="1"/>
  <c r="P12" i="164"/>
  <c r="O12" i="164"/>
  <c r="N12" i="164"/>
  <c r="M12" i="164"/>
  <c r="J12" i="164"/>
  <c r="I12" i="164"/>
  <c r="F12" i="164"/>
  <c r="E12" i="164"/>
  <c r="CD11" i="164"/>
  <c r="CC11" i="164"/>
  <c r="BU11" i="164"/>
  <c r="BV11" i="164" s="1"/>
  <c r="BT11" i="164"/>
  <c r="BS11" i="164"/>
  <c r="BR11" i="164"/>
  <c r="BO11" i="164"/>
  <c r="BN11" i="164"/>
  <c r="BK11" i="164"/>
  <c r="BJ11" i="164"/>
  <c r="BB11" i="164"/>
  <c r="BC11" i="164" s="1"/>
  <c r="BA11" i="164"/>
  <c r="AZ11" i="164"/>
  <c r="AY11" i="164"/>
  <c r="AV11" i="164"/>
  <c r="AU11" i="164"/>
  <c r="AR11" i="164"/>
  <c r="AQ11" i="164"/>
  <c r="AI11" i="164"/>
  <c r="AJ11" i="164" s="1"/>
  <c r="AH11" i="164"/>
  <c r="AG11" i="164"/>
  <c r="AF11" i="164"/>
  <c r="AC11" i="164"/>
  <c r="AB11" i="164"/>
  <c r="Y11" i="164"/>
  <c r="X11" i="164"/>
  <c r="U11" i="164"/>
  <c r="AN11" i="164" s="1"/>
  <c r="BG11" i="164" s="1"/>
  <c r="BZ11" i="164" s="1"/>
  <c r="P11" i="164"/>
  <c r="Q11" i="164" s="1"/>
  <c r="O11" i="164"/>
  <c r="N11" i="164"/>
  <c r="M11" i="164"/>
  <c r="J11" i="164"/>
  <c r="I11" i="164"/>
  <c r="F11" i="164"/>
  <c r="E11" i="164"/>
  <c r="CD10" i="164"/>
  <c r="CC10" i="164"/>
  <c r="BU10" i="164"/>
  <c r="BV10" i="164" s="1"/>
  <c r="BT10" i="164"/>
  <c r="BS10" i="164"/>
  <c r="BR10" i="164"/>
  <c r="BO10" i="164"/>
  <c r="BN10" i="164"/>
  <c r="BK10" i="164"/>
  <c r="BJ10" i="164"/>
  <c r="BB10" i="164"/>
  <c r="BD10" i="164" s="1"/>
  <c r="BA10" i="164"/>
  <c r="AZ10" i="164"/>
  <c r="AY10" i="164"/>
  <c r="AV10" i="164"/>
  <c r="AU10" i="164"/>
  <c r="AR10" i="164"/>
  <c r="AQ10" i="164"/>
  <c r="AI10" i="164"/>
  <c r="AH10" i="164"/>
  <c r="AG10" i="164"/>
  <c r="AF10" i="164"/>
  <c r="AC10" i="164"/>
  <c r="AB10" i="164"/>
  <c r="Y10" i="164"/>
  <c r="X10" i="164"/>
  <c r="U10" i="164"/>
  <c r="AN10" i="164" s="1"/>
  <c r="BG10" i="164" s="1"/>
  <c r="BZ10" i="164" s="1"/>
  <c r="P10" i="164"/>
  <c r="O10" i="164"/>
  <c r="N10" i="164"/>
  <c r="M10" i="164"/>
  <c r="J10" i="164"/>
  <c r="I10" i="164"/>
  <c r="F10" i="164"/>
  <c r="E10" i="164"/>
  <c r="CD9" i="164"/>
  <c r="CC9" i="164"/>
  <c r="BU9" i="164"/>
  <c r="BT9" i="164"/>
  <c r="BS9" i="164"/>
  <c r="BR9" i="164"/>
  <c r="BO9" i="164"/>
  <c r="BN9" i="164"/>
  <c r="BK9" i="164"/>
  <c r="BJ9" i="164"/>
  <c r="BB9" i="164"/>
  <c r="BA9" i="164"/>
  <c r="AZ9" i="164"/>
  <c r="AY9" i="164"/>
  <c r="AV9" i="164"/>
  <c r="AU9" i="164"/>
  <c r="AR9" i="164"/>
  <c r="AQ9" i="164"/>
  <c r="AI9" i="164"/>
  <c r="AH9" i="164"/>
  <c r="AG9" i="164"/>
  <c r="AF9" i="164"/>
  <c r="AC9" i="164"/>
  <c r="AB9" i="164"/>
  <c r="Y9" i="164"/>
  <c r="X9" i="164"/>
  <c r="U9" i="164"/>
  <c r="AN9" i="164" s="1"/>
  <c r="BG9" i="164" s="1"/>
  <c r="BZ9" i="164" s="1"/>
  <c r="P9" i="164"/>
  <c r="O9" i="164"/>
  <c r="N9" i="164"/>
  <c r="M9" i="164"/>
  <c r="J9" i="164"/>
  <c r="I9" i="164"/>
  <c r="F9" i="164"/>
  <c r="E9" i="164"/>
  <c r="CD8" i="164"/>
  <c r="CC8" i="164"/>
  <c r="BY8" i="164"/>
  <c r="BY9" i="164" s="1"/>
  <c r="BY10" i="164" s="1"/>
  <c r="BY11" i="164" s="1"/>
  <c r="BY12" i="164" s="1"/>
  <c r="BY13" i="164" s="1"/>
  <c r="BY14" i="164" s="1"/>
  <c r="BY15" i="164" s="1"/>
  <c r="BY16" i="164" s="1"/>
  <c r="BY17" i="164" s="1"/>
  <c r="BY18" i="164" s="1"/>
  <c r="BY19" i="164" s="1"/>
  <c r="BY20" i="164" s="1"/>
  <c r="BY21" i="164" s="1"/>
  <c r="BY22" i="164" s="1"/>
  <c r="BY23" i="164" s="1"/>
  <c r="BY24" i="164" s="1"/>
  <c r="BY25" i="164" s="1"/>
  <c r="BY26" i="164" s="1"/>
  <c r="BY27" i="164" s="1"/>
  <c r="BY28" i="164" s="1"/>
  <c r="BY29" i="164" s="1"/>
  <c r="BY30" i="164" s="1"/>
  <c r="BY31" i="164" s="1"/>
  <c r="BY32" i="164" s="1"/>
  <c r="BY33" i="164" s="1"/>
  <c r="BY34" i="164" s="1"/>
  <c r="BY35" i="164" s="1"/>
  <c r="BY36" i="164" s="1"/>
  <c r="BU8" i="164"/>
  <c r="BT8" i="164"/>
  <c r="BS8" i="164"/>
  <c r="BR8" i="164"/>
  <c r="BO8" i="164"/>
  <c r="BN8" i="164"/>
  <c r="BK8" i="164"/>
  <c r="BJ8" i="164"/>
  <c r="BF8" i="164"/>
  <c r="BF9" i="164" s="1"/>
  <c r="BF10" i="164" s="1"/>
  <c r="BF11" i="164" s="1"/>
  <c r="BF12" i="164" s="1"/>
  <c r="BF13" i="164" s="1"/>
  <c r="BF14" i="164" s="1"/>
  <c r="BF15" i="164" s="1"/>
  <c r="BF16" i="164" s="1"/>
  <c r="BF17" i="164" s="1"/>
  <c r="BF18" i="164" s="1"/>
  <c r="BF19" i="164" s="1"/>
  <c r="BF20" i="164" s="1"/>
  <c r="BF21" i="164" s="1"/>
  <c r="BF22" i="164" s="1"/>
  <c r="BF23" i="164" s="1"/>
  <c r="BF24" i="164" s="1"/>
  <c r="BF25" i="164" s="1"/>
  <c r="BF26" i="164" s="1"/>
  <c r="BF27" i="164" s="1"/>
  <c r="BF28" i="164" s="1"/>
  <c r="BF29" i="164" s="1"/>
  <c r="BF30" i="164" s="1"/>
  <c r="BF31" i="164" s="1"/>
  <c r="BF32" i="164" s="1"/>
  <c r="BF33" i="164" s="1"/>
  <c r="BF34" i="164" s="1"/>
  <c r="BF35" i="164" s="1"/>
  <c r="BF36" i="164" s="1"/>
  <c r="BB8" i="164"/>
  <c r="BA8" i="164"/>
  <c r="AZ8" i="164"/>
  <c r="AY8" i="164"/>
  <c r="AV8" i="164"/>
  <c r="AU8" i="164"/>
  <c r="AR8" i="164"/>
  <c r="AQ8" i="164"/>
  <c r="AM8" i="164"/>
  <c r="AM9" i="164" s="1"/>
  <c r="AM10" i="164" s="1"/>
  <c r="AM11" i="164" s="1"/>
  <c r="AM12" i="164" s="1"/>
  <c r="AM13" i="164" s="1"/>
  <c r="AM14" i="164" s="1"/>
  <c r="AM15" i="164" s="1"/>
  <c r="AM16" i="164" s="1"/>
  <c r="AM17" i="164" s="1"/>
  <c r="AM18" i="164" s="1"/>
  <c r="AM19" i="164" s="1"/>
  <c r="AM20" i="164" s="1"/>
  <c r="AM21" i="164" s="1"/>
  <c r="AM22" i="164" s="1"/>
  <c r="AM23" i="164" s="1"/>
  <c r="AM24" i="164" s="1"/>
  <c r="AM25" i="164" s="1"/>
  <c r="AM26" i="164" s="1"/>
  <c r="AM27" i="164" s="1"/>
  <c r="AM28" i="164" s="1"/>
  <c r="AM29" i="164" s="1"/>
  <c r="AM30" i="164" s="1"/>
  <c r="AM31" i="164" s="1"/>
  <c r="AM32" i="164" s="1"/>
  <c r="AM33" i="164" s="1"/>
  <c r="AM34" i="164" s="1"/>
  <c r="AM35" i="164" s="1"/>
  <c r="AM36" i="164" s="1"/>
  <c r="AI8" i="164"/>
  <c r="AH8" i="164"/>
  <c r="AG8" i="164"/>
  <c r="AF8" i="164"/>
  <c r="AC8" i="164"/>
  <c r="AB8" i="164"/>
  <c r="Y8" i="164"/>
  <c r="X8" i="164"/>
  <c r="U8" i="164"/>
  <c r="AN8" i="164" s="1"/>
  <c r="BG8" i="164" s="1"/>
  <c r="BZ8" i="164" s="1"/>
  <c r="T8" i="164"/>
  <c r="T9" i="164" s="1"/>
  <c r="T10" i="164" s="1"/>
  <c r="T11" i="164" s="1"/>
  <c r="T12" i="164" s="1"/>
  <c r="T13" i="164" s="1"/>
  <c r="T14" i="164" s="1"/>
  <c r="T15" i="164" s="1"/>
  <c r="T16" i="164" s="1"/>
  <c r="T17" i="164" s="1"/>
  <c r="T18" i="164" s="1"/>
  <c r="T19" i="164" s="1"/>
  <c r="T20" i="164" s="1"/>
  <c r="T21" i="164" s="1"/>
  <c r="T22" i="164" s="1"/>
  <c r="T23" i="164" s="1"/>
  <c r="T24" i="164" s="1"/>
  <c r="T25" i="164" s="1"/>
  <c r="T26" i="164" s="1"/>
  <c r="T27" i="164" s="1"/>
  <c r="T28" i="164" s="1"/>
  <c r="T29" i="164" s="1"/>
  <c r="T30" i="164" s="1"/>
  <c r="T31" i="164" s="1"/>
  <c r="T32" i="164" s="1"/>
  <c r="T33" i="164" s="1"/>
  <c r="T34" i="164" s="1"/>
  <c r="T35" i="164" s="1"/>
  <c r="T36" i="164" s="1"/>
  <c r="P8" i="164"/>
  <c r="O8" i="164"/>
  <c r="N8" i="164"/>
  <c r="M8" i="164"/>
  <c r="J8" i="164"/>
  <c r="I8" i="164"/>
  <c r="F8" i="164"/>
  <c r="E8" i="164"/>
  <c r="A8" i="164"/>
  <c r="A9" i="164" s="1"/>
  <c r="A10" i="164" s="1"/>
  <c r="A11" i="164" s="1"/>
  <c r="A12" i="164" s="1"/>
  <c r="A13" i="164" s="1"/>
  <c r="A14" i="164" s="1"/>
  <c r="A15" i="164" s="1"/>
  <c r="A16" i="164" s="1"/>
  <c r="A17" i="164" s="1"/>
  <c r="A18" i="164" s="1"/>
  <c r="A19" i="164" s="1"/>
  <c r="A20" i="164" s="1"/>
  <c r="A21" i="164" s="1"/>
  <c r="A22" i="164" s="1"/>
  <c r="A23" i="164" s="1"/>
  <c r="A24" i="164" s="1"/>
  <c r="A25" i="164" s="1"/>
  <c r="A26" i="164" s="1"/>
  <c r="A27" i="164" s="1"/>
  <c r="A28" i="164" s="1"/>
  <c r="A29" i="164" s="1"/>
  <c r="A30" i="164" s="1"/>
  <c r="A31" i="164" s="1"/>
  <c r="A32" i="164" s="1"/>
  <c r="A33" i="164" s="1"/>
  <c r="A34" i="164" s="1"/>
  <c r="A35" i="164" s="1"/>
  <c r="A36" i="164" s="1"/>
  <c r="CD7" i="164"/>
  <c r="CC7" i="164"/>
  <c r="BU7" i="164"/>
  <c r="BT7" i="164"/>
  <c r="BS7" i="164"/>
  <c r="BR7" i="164"/>
  <c r="BO7" i="164"/>
  <c r="BN7" i="164"/>
  <c r="BK7" i="164"/>
  <c r="BJ7" i="164"/>
  <c r="BB7" i="164"/>
  <c r="BA7" i="164"/>
  <c r="AZ7" i="164"/>
  <c r="AY7" i="164"/>
  <c r="AV7" i="164"/>
  <c r="AU7" i="164"/>
  <c r="AR7" i="164"/>
  <c r="AQ7" i="164"/>
  <c r="AI7" i="164"/>
  <c r="AH7" i="164"/>
  <c r="AG7" i="164"/>
  <c r="AF7" i="164"/>
  <c r="AC7" i="164"/>
  <c r="AB7" i="164"/>
  <c r="Y7" i="164"/>
  <c r="X7" i="164"/>
  <c r="U7" i="164"/>
  <c r="AN7" i="164" s="1"/>
  <c r="BG7" i="164" s="1"/>
  <c r="BZ7" i="164" s="1"/>
  <c r="P7" i="164"/>
  <c r="O7" i="164"/>
  <c r="N7" i="164"/>
  <c r="M7" i="164"/>
  <c r="J7" i="164"/>
  <c r="I7" i="164"/>
  <c r="F7" i="164"/>
  <c r="E7" i="164"/>
  <c r="T6" i="164"/>
  <c r="AM6" i="164" s="1"/>
  <c r="BF6" i="164" s="1"/>
  <c r="BY6" i="164" s="1"/>
  <c r="I28" i="163"/>
  <c r="C28" i="163"/>
  <c r="L27" i="163"/>
  <c r="J27" i="163" s="1"/>
  <c r="K27" i="163"/>
  <c r="F27" i="163"/>
  <c r="D27" i="163" s="1"/>
  <c r="E27" i="163"/>
  <c r="L26" i="163"/>
  <c r="J26" i="163" s="1"/>
  <c r="K26" i="163"/>
  <c r="F26" i="163"/>
  <c r="D26" i="163" s="1"/>
  <c r="E26" i="163"/>
  <c r="L25" i="163"/>
  <c r="J25" i="163" s="1"/>
  <c r="K25" i="163"/>
  <c r="F25" i="163"/>
  <c r="D25" i="163" s="1"/>
  <c r="E25" i="163"/>
  <c r="L24" i="163"/>
  <c r="J24" i="163" s="1"/>
  <c r="K24" i="163"/>
  <c r="F24" i="163"/>
  <c r="D24" i="163" s="1"/>
  <c r="E24" i="163"/>
  <c r="L23" i="163"/>
  <c r="J23" i="163" s="1"/>
  <c r="K23" i="163"/>
  <c r="F23" i="163"/>
  <c r="D23" i="163" s="1"/>
  <c r="E23" i="163"/>
  <c r="L22" i="163"/>
  <c r="J22" i="163" s="1"/>
  <c r="K22" i="163"/>
  <c r="F22" i="163"/>
  <c r="D22" i="163" s="1"/>
  <c r="E22" i="163"/>
  <c r="L21" i="163"/>
  <c r="J21" i="163" s="1"/>
  <c r="K21" i="163"/>
  <c r="F21" i="163"/>
  <c r="D21" i="163" s="1"/>
  <c r="E21" i="163"/>
  <c r="L20" i="163"/>
  <c r="J20" i="163" s="1"/>
  <c r="K20" i="163"/>
  <c r="F20" i="163"/>
  <c r="D20" i="163" s="1"/>
  <c r="E20" i="163"/>
  <c r="L19" i="163"/>
  <c r="J19" i="163" s="1"/>
  <c r="K19" i="163"/>
  <c r="F19" i="163"/>
  <c r="D19" i="163" s="1"/>
  <c r="E19" i="163"/>
  <c r="L18" i="163"/>
  <c r="J18" i="163" s="1"/>
  <c r="K18" i="163"/>
  <c r="F18" i="163"/>
  <c r="D18" i="163" s="1"/>
  <c r="E18" i="163"/>
  <c r="L17" i="163"/>
  <c r="J17" i="163" s="1"/>
  <c r="K17" i="163"/>
  <c r="F17" i="163"/>
  <c r="D17" i="163" s="1"/>
  <c r="E17" i="163"/>
  <c r="L16" i="163"/>
  <c r="J16" i="163" s="1"/>
  <c r="K16" i="163"/>
  <c r="F16" i="163"/>
  <c r="D16" i="163" s="1"/>
  <c r="E16" i="163"/>
  <c r="L15" i="163"/>
  <c r="J15" i="163" s="1"/>
  <c r="K15" i="163"/>
  <c r="F15" i="163"/>
  <c r="D15" i="163" s="1"/>
  <c r="E15" i="163"/>
  <c r="L14" i="163"/>
  <c r="J14" i="163" s="1"/>
  <c r="K14" i="163"/>
  <c r="F14" i="163"/>
  <c r="D14" i="163" s="1"/>
  <c r="E14" i="163"/>
  <c r="L13" i="163"/>
  <c r="J13" i="163" s="1"/>
  <c r="K13" i="163"/>
  <c r="F13" i="163"/>
  <c r="D13" i="163" s="1"/>
  <c r="E13" i="163"/>
  <c r="L12" i="163"/>
  <c r="J12" i="163" s="1"/>
  <c r="K12" i="163"/>
  <c r="F12" i="163"/>
  <c r="D12" i="163" s="1"/>
  <c r="E12" i="163"/>
  <c r="L11" i="163"/>
  <c r="J11" i="163" s="1"/>
  <c r="K11" i="163"/>
  <c r="F11" i="163"/>
  <c r="D11" i="163" s="1"/>
  <c r="E11" i="163"/>
  <c r="L10" i="163"/>
  <c r="J10" i="163" s="1"/>
  <c r="K10" i="163"/>
  <c r="F10" i="163"/>
  <c r="D10" i="163" s="1"/>
  <c r="E10" i="163"/>
  <c r="L9" i="163"/>
  <c r="J9" i="163" s="1"/>
  <c r="K9" i="163"/>
  <c r="F9" i="163"/>
  <c r="D9" i="163" s="1"/>
  <c r="E9" i="163"/>
  <c r="L8" i="163"/>
  <c r="J8" i="163" s="1"/>
  <c r="K8" i="163"/>
  <c r="F8" i="163"/>
  <c r="D8" i="163" s="1"/>
  <c r="E8" i="163"/>
  <c r="L7" i="163"/>
  <c r="J7" i="163" s="1"/>
  <c r="K7" i="163"/>
  <c r="F7" i="163"/>
  <c r="D7" i="163" s="1"/>
  <c r="E7" i="163"/>
  <c r="L6" i="163"/>
  <c r="J6" i="163" s="1"/>
  <c r="K6" i="163"/>
  <c r="F6" i="163"/>
  <c r="D6" i="163" s="1"/>
  <c r="E6" i="163"/>
  <c r="L5" i="163"/>
  <c r="J5" i="163" s="1"/>
  <c r="K5" i="163"/>
  <c r="F5" i="163"/>
  <c r="D5" i="163" s="1"/>
  <c r="E5" i="163"/>
  <c r="CB38" i="162"/>
  <c r="CB39" i="162" s="1"/>
  <c r="CA38" i="162"/>
  <c r="BQ38" i="162"/>
  <c r="BP38" i="162"/>
  <c r="BM38" i="162"/>
  <c r="BL38" i="162"/>
  <c r="BI38" i="162"/>
  <c r="BH38" i="162"/>
  <c r="AX38" i="162"/>
  <c r="AW38" i="162"/>
  <c r="AT38" i="162"/>
  <c r="AS38" i="162"/>
  <c r="AP38" i="162"/>
  <c r="AO38" i="162"/>
  <c r="AE38" i="162"/>
  <c r="AD38" i="162"/>
  <c r="AA38" i="162"/>
  <c r="Z38" i="162"/>
  <c r="W38" i="162"/>
  <c r="V38" i="162"/>
  <c r="L38" i="162"/>
  <c r="K38" i="162"/>
  <c r="H38" i="162"/>
  <c r="G38" i="162"/>
  <c r="D38" i="162"/>
  <c r="C38" i="162"/>
  <c r="CD37" i="162"/>
  <c r="CC37" i="162"/>
  <c r="BU37" i="162"/>
  <c r="BT37" i="162"/>
  <c r="BS37" i="162"/>
  <c r="BR37" i="162"/>
  <c r="BO37" i="162"/>
  <c r="BN37" i="162"/>
  <c r="BK37" i="162"/>
  <c r="BJ37" i="162"/>
  <c r="BB37" i="162"/>
  <c r="BA37" i="162"/>
  <c r="AZ37" i="162"/>
  <c r="AY37" i="162"/>
  <c r="AV37" i="162"/>
  <c r="AU37" i="162"/>
  <c r="AR37" i="162"/>
  <c r="AQ37" i="162"/>
  <c r="AI37" i="162"/>
  <c r="AH37" i="162"/>
  <c r="AG37" i="162"/>
  <c r="AF37" i="162"/>
  <c r="AC37" i="162"/>
  <c r="AB37" i="162"/>
  <c r="Y37" i="162"/>
  <c r="X37" i="162"/>
  <c r="U37" i="162"/>
  <c r="AN37" i="162" s="1"/>
  <c r="BG37" i="162" s="1"/>
  <c r="BZ37" i="162" s="1"/>
  <c r="P37" i="162"/>
  <c r="O37" i="162"/>
  <c r="N37" i="162"/>
  <c r="M37" i="162"/>
  <c r="J37" i="162"/>
  <c r="I37" i="162"/>
  <c r="F37" i="162"/>
  <c r="E37" i="162"/>
  <c r="CD36" i="162"/>
  <c r="CC36" i="162"/>
  <c r="BU36" i="162"/>
  <c r="BT36" i="162"/>
  <c r="BS36" i="162"/>
  <c r="BR36" i="162"/>
  <c r="BO36" i="162"/>
  <c r="BN36" i="162"/>
  <c r="BK36" i="162"/>
  <c r="BJ36" i="162"/>
  <c r="BB36" i="162"/>
  <c r="BA36" i="162"/>
  <c r="AZ36" i="162"/>
  <c r="AY36" i="162"/>
  <c r="AV36" i="162"/>
  <c r="AU36" i="162"/>
  <c r="AR36" i="162"/>
  <c r="AQ36" i="162"/>
  <c r="AI36" i="162"/>
  <c r="AH36" i="162"/>
  <c r="AG36" i="162"/>
  <c r="AF36" i="162"/>
  <c r="AC36" i="162"/>
  <c r="AB36" i="162"/>
  <c r="Y36" i="162"/>
  <c r="X36" i="162"/>
  <c r="U36" i="162"/>
  <c r="AN36" i="162" s="1"/>
  <c r="BG36" i="162" s="1"/>
  <c r="BZ36" i="162" s="1"/>
  <c r="P36" i="162"/>
  <c r="O36" i="162"/>
  <c r="N36" i="162"/>
  <c r="M36" i="162"/>
  <c r="J36" i="162"/>
  <c r="I36" i="162"/>
  <c r="F36" i="162"/>
  <c r="E36" i="162"/>
  <c r="CD35" i="162"/>
  <c r="CC35" i="162"/>
  <c r="BU35" i="162"/>
  <c r="BT35" i="162"/>
  <c r="BS35" i="162"/>
  <c r="BR35" i="162"/>
  <c r="BO35" i="162"/>
  <c r="BN35" i="162"/>
  <c r="BK35" i="162"/>
  <c r="BJ35" i="162"/>
  <c r="BB35" i="162"/>
  <c r="BA35" i="162"/>
  <c r="AZ35" i="162"/>
  <c r="AY35" i="162"/>
  <c r="AV35" i="162"/>
  <c r="AU35" i="162"/>
  <c r="AR35" i="162"/>
  <c r="AQ35" i="162"/>
  <c r="AI35" i="162"/>
  <c r="AH35" i="162"/>
  <c r="AG35" i="162"/>
  <c r="AF35" i="162"/>
  <c r="AC35" i="162"/>
  <c r="AB35" i="162"/>
  <c r="Y35" i="162"/>
  <c r="X35" i="162"/>
  <c r="U35" i="162"/>
  <c r="AN35" i="162" s="1"/>
  <c r="BG35" i="162" s="1"/>
  <c r="BZ35" i="162" s="1"/>
  <c r="P35" i="162"/>
  <c r="O35" i="162"/>
  <c r="N35" i="162"/>
  <c r="M35" i="162"/>
  <c r="J35" i="162"/>
  <c r="I35" i="162"/>
  <c r="F35" i="162"/>
  <c r="E35" i="162"/>
  <c r="CD34" i="162"/>
  <c r="CC34" i="162"/>
  <c r="BU34" i="162"/>
  <c r="BT34" i="162"/>
  <c r="BS34" i="162"/>
  <c r="BR34" i="162"/>
  <c r="BO34" i="162"/>
  <c r="BN34" i="162"/>
  <c r="BK34" i="162"/>
  <c r="BJ34" i="162"/>
  <c r="BB34" i="162"/>
  <c r="BA34" i="162"/>
  <c r="AZ34" i="162"/>
  <c r="AY34" i="162"/>
  <c r="AV34" i="162"/>
  <c r="AU34" i="162"/>
  <c r="AR34" i="162"/>
  <c r="AQ34" i="162"/>
  <c r="AI34" i="162"/>
  <c r="AH34" i="162"/>
  <c r="AG34" i="162"/>
  <c r="AF34" i="162"/>
  <c r="AC34" i="162"/>
  <c r="AB34" i="162"/>
  <c r="Y34" i="162"/>
  <c r="X34" i="162"/>
  <c r="U34" i="162"/>
  <c r="AN34" i="162" s="1"/>
  <c r="BG34" i="162" s="1"/>
  <c r="BZ34" i="162" s="1"/>
  <c r="P34" i="162"/>
  <c r="O34" i="162"/>
  <c r="N34" i="162"/>
  <c r="M34" i="162"/>
  <c r="J34" i="162"/>
  <c r="I34" i="162"/>
  <c r="F34" i="162"/>
  <c r="E34" i="162"/>
  <c r="CD33" i="162"/>
  <c r="CC33" i="162"/>
  <c r="BU33" i="162"/>
  <c r="BT33" i="162"/>
  <c r="BS33" i="162"/>
  <c r="BR33" i="162"/>
  <c r="BO33" i="162"/>
  <c r="BN33" i="162"/>
  <c r="BK33" i="162"/>
  <c r="BJ33" i="162"/>
  <c r="BB33" i="162"/>
  <c r="BA33" i="162"/>
  <c r="AZ33" i="162"/>
  <c r="AY33" i="162"/>
  <c r="AV33" i="162"/>
  <c r="AU33" i="162"/>
  <c r="AR33" i="162"/>
  <c r="AQ33" i="162"/>
  <c r="AI33" i="162"/>
  <c r="AH33" i="162"/>
  <c r="AG33" i="162"/>
  <c r="AF33" i="162"/>
  <c r="AC33" i="162"/>
  <c r="AB33" i="162"/>
  <c r="Y33" i="162"/>
  <c r="X33" i="162"/>
  <c r="U33" i="162"/>
  <c r="AN33" i="162" s="1"/>
  <c r="BG33" i="162" s="1"/>
  <c r="BZ33" i="162" s="1"/>
  <c r="P33" i="162"/>
  <c r="O33" i="162"/>
  <c r="N33" i="162"/>
  <c r="M33" i="162"/>
  <c r="J33" i="162"/>
  <c r="I33" i="162"/>
  <c r="F33" i="162"/>
  <c r="E33" i="162"/>
  <c r="CD32" i="162"/>
  <c r="CC32" i="162"/>
  <c r="BU32" i="162"/>
  <c r="BT32" i="162"/>
  <c r="BS32" i="162"/>
  <c r="BR32" i="162"/>
  <c r="BO32" i="162"/>
  <c r="BN32" i="162"/>
  <c r="BK32" i="162"/>
  <c r="BJ32" i="162"/>
  <c r="BB32" i="162"/>
  <c r="BA32" i="162"/>
  <c r="AZ32" i="162"/>
  <c r="AY32" i="162"/>
  <c r="AV32" i="162"/>
  <c r="AU32" i="162"/>
  <c r="AR32" i="162"/>
  <c r="AQ32" i="162"/>
  <c r="AI32" i="162"/>
  <c r="AH32" i="162"/>
  <c r="AG32" i="162"/>
  <c r="AF32" i="162"/>
  <c r="AC32" i="162"/>
  <c r="AB32" i="162"/>
  <c r="Y32" i="162"/>
  <c r="X32" i="162"/>
  <c r="U32" i="162"/>
  <c r="AN32" i="162" s="1"/>
  <c r="BG32" i="162" s="1"/>
  <c r="BZ32" i="162" s="1"/>
  <c r="P32" i="162"/>
  <c r="O32" i="162"/>
  <c r="N32" i="162"/>
  <c r="M32" i="162"/>
  <c r="J32" i="162"/>
  <c r="I32" i="162"/>
  <c r="F32" i="162"/>
  <c r="E32" i="162"/>
  <c r="CD31" i="162"/>
  <c r="CC31" i="162"/>
  <c r="BU31" i="162"/>
  <c r="BT31" i="162"/>
  <c r="BS31" i="162"/>
  <c r="BR31" i="162"/>
  <c r="BO31" i="162"/>
  <c r="BN31" i="162"/>
  <c r="BK31" i="162"/>
  <c r="BJ31" i="162"/>
  <c r="BB31" i="162"/>
  <c r="BA31" i="162"/>
  <c r="AZ31" i="162"/>
  <c r="AY31" i="162"/>
  <c r="AV31" i="162"/>
  <c r="AU31" i="162"/>
  <c r="AR31" i="162"/>
  <c r="AQ31" i="162"/>
  <c r="AI31" i="162"/>
  <c r="AH31" i="162"/>
  <c r="AG31" i="162"/>
  <c r="AF31" i="162"/>
  <c r="AC31" i="162"/>
  <c r="AB31" i="162"/>
  <c r="Y31" i="162"/>
  <c r="X31" i="162"/>
  <c r="U31" i="162"/>
  <c r="AN31" i="162" s="1"/>
  <c r="BG31" i="162" s="1"/>
  <c r="BZ31" i="162" s="1"/>
  <c r="P31" i="162"/>
  <c r="O31" i="162"/>
  <c r="N31" i="162"/>
  <c r="M31" i="162"/>
  <c r="J31" i="162"/>
  <c r="I31" i="162"/>
  <c r="F31" i="162"/>
  <c r="E31" i="162"/>
  <c r="CD30" i="162"/>
  <c r="CC30" i="162"/>
  <c r="BU30" i="162"/>
  <c r="BT30" i="162"/>
  <c r="BS30" i="162"/>
  <c r="BR30" i="162"/>
  <c r="BO30" i="162"/>
  <c r="BN30" i="162"/>
  <c r="BK30" i="162"/>
  <c r="BJ30" i="162"/>
  <c r="BB30" i="162"/>
  <c r="BA30" i="162"/>
  <c r="AZ30" i="162"/>
  <c r="AY30" i="162"/>
  <c r="AV30" i="162"/>
  <c r="AU30" i="162"/>
  <c r="AR30" i="162"/>
  <c r="AQ30" i="162"/>
  <c r="AI30" i="162"/>
  <c r="AH30" i="162"/>
  <c r="AG30" i="162"/>
  <c r="AF30" i="162"/>
  <c r="AC30" i="162"/>
  <c r="AB30" i="162"/>
  <c r="Y30" i="162"/>
  <c r="X30" i="162"/>
  <c r="U30" i="162"/>
  <c r="AN30" i="162" s="1"/>
  <c r="BG30" i="162" s="1"/>
  <c r="BZ30" i="162" s="1"/>
  <c r="P30" i="162"/>
  <c r="O30" i="162"/>
  <c r="N30" i="162"/>
  <c r="M30" i="162"/>
  <c r="J30" i="162"/>
  <c r="I30" i="162"/>
  <c r="F30" i="162"/>
  <c r="E30" i="162"/>
  <c r="CD29" i="162"/>
  <c r="CC29" i="162"/>
  <c r="BU29" i="162"/>
  <c r="BT29" i="162"/>
  <c r="BS29" i="162"/>
  <c r="BR29" i="162"/>
  <c r="BO29" i="162"/>
  <c r="BN29" i="162"/>
  <c r="BK29" i="162"/>
  <c r="BJ29" i="162"/>
  <c r="BB29" i="162"/>
  <c r="BA29" i="162"/>
  <c r="AZ29" i="162"/>
  <c r="AY29" i="162"/>
  <c r="AV29" i="162"/>
  <c r="AU29" i="162"/>
  <c r="AR29" i="162"/>
  <c r="AQ29" i="162"/>
  <c r="AI29" i="162"/>
  <c r="AH29" i="162"/>
  <c r="AG29" i="162"/>
  <c r="AF29" i="162"/>
  <c r="AC29" i="162"/>
  <c r="AB29" i="162"/>
  <c r="Y29" i="162"/>
  <c r="X29" i="162"/>
  <c r="U29" i="162"/>
  <c r="AN29" i="162" s="1"/>
  <c r="BG29" i="162" s="1"/>
  <c r="BZ29" i="162" s="1"/>
  <c r="P29" i="162"/>
  <c r="O29" i="162"/>
  <c r="N29" i="162"/>
  <c r="M29" i="162"/>
  <c r="J29" i="162"/>
  <c r="I29" i="162"/>
  <c r="F29" i="162"/>
  <c r="E29" i="162"/>
  <c r="CD28" i="162"/>
  <c r="CC28" i="162"/>
  <c r="BU28" i="162"/>
  <c r="BW28" i="162" s="1"/>
  <c r="BT28" i="162"/>
  <c r="BS28" i="162"/>
  <c r="BR28" i="162"/>
  <c r="BO28" i="162"/>
  <c r="BN28" i="162"/>
  <c r="BK28" i="162"/>
  <c r="BJ28" i="162"/>
  <c r="BB28" i="162"/>
  <c r="BD28" i="162" s="1"/>
  <c r="BA28" i="162"/>
  <c r="AZ28" i="162"/>
  <c r="AY28" i="162"/>
  <c r="AV28" i="162"/>
  <c r="AU28" i="162"/>
  <c r="AR28" i="162"/>
  <c r="AQ28" i="162"/>
  <c r="AI28" i="162"/>
  <c r="AK28" i="162" s="1"/>
  <c r="AH28" i="162"/>
  <c r="AG28" i="162"/>
  <c r="AF28" i="162"/>
  <c r="AC28" i="162"/>
  <c r="AB28" i="162"/>
  <c r="Y28" i="162"/>
  <c r="X28" i="162"/>
  <c r="U28" i="162"/>
  <c r="AN28" i="162" s="1"/>
  <c r="BG28" i="162" s="1"/>
  <c r="BZ28" i="162" s="1"/>
  <c r="P28" i="162"/>
  <c r="R28" i="162" s="1"/>
  <c r="O28" i="162"/>
  <c r="M28" i="162"/>
  <c r="J28" i="162"/>
  <c r="I28" i="162"/>
  <c r="F28" i="162"/>
  <c r="E28" i="162"/>
  <c r="CD27" i="162"/>
  <c r="CC27" i="162"/>
  <c r="BU27" i="162"/>
  <c r="BT27" i="162"/>
  <c r="BS27" i="162"/>
  <c r="BR27" i="162"/>
  <c r="BO27" i="162"/>
  <c r="BN27" i="162"/>
  <c r="BK27" i="162"/>
  <c r="BJ27" i="162"/>
  <c r="BB27" i="162"/>
  <c r="BA27" i="162"/>
  <c r="AZ27" i="162"/>
  <c r="AY27" i="162"/>
  <c r="AV27" i="162"/>
  <c r="AU27" i="162"/>
  <c r="AR27" i="162"/>
  <c r="AQ27" i="162"/>
  <c r="AI27" i="162"/>
  <c r="AH27" i="162"/>
  <c r="AG27" i="162"/>
  <c r="AF27" i="162"/>
  <c r="AC27" i="162"/>
  <c r="AB27" i="162"/>
  <c r="Y27" i="162"/>
  <c r="X27" i="162"/>
  <c r="U27" i="162"/>
  <c r="AN27" i="162" s="1"/>
  <c r="BG27" i="162" s="1"/>
  <c r="BZ27" i="162" s="1"/>
  <c r="P27" i="162"/>
  <c r="O27" i="162"/>
  <c r="N27" i="162"/>
  <c r="M27" i="162"/>
  <c r="J27" i="162"/>
  <c r="I27" i="162"/>
  <c r="F27" i="162"/>
  <c r="E27" i="162"/>
  <c r="CD26" i="162"/>
  <c r="CC26" i="162"/>
  <c r="BU26" i="162"/>
  <c r="BT26" i="162"/>
  <c r="BS26" i="162"/>
  <c r="BR26" i="162"/>
  <c r="BO26" i="162"/>
  <c r="BN26" i="162"/>
  <c r="BK26" i="162"/>
  <c r="BJ26" i="162"/>
  <c r="BB26" i="162"/>
  <c r="BA26" i="162"/>
  <c r="AZ26" i="162"/>
  <c r="AY26" i="162"/>
  <c r="AV26" i="162"/>
  <c r="AU26" i="162"/>
  <c r="AR26" i="162"/>
  <c r="AQ26" i="162"/>
  <c r="AI26" i="162"/>
  <c r="AH26" i="162"/>
  <c r="AG26" i="162"/>
  <c r="AF26" i="162"/>
  <c r="AC26" i="162"/>
  <c r="AB26" i="162"/>
  <c r="Y26" i="162"/>
  <c r="X26" i="162"/>
  <c r="U26" i="162"/>
  <c r="AN26" i="162" s="1"/>
  <c r="BG26" i="162" s="1"/>
  <c r="BZ26" i="162" s="1"/>
  <c r="P26" i="162"/>
  <c r="O26" i="162"/>
  <c r="N26" i="162"/>
  <c r="M26" i="162"/>
  <c r="J26" i="162"/>
  <c r="I26" i="162"/>
  <c r="F26" i="162"/>
  <c r="E26" i="162"/>
  <c r="CD25" i="162"/>
  <c r="CC25" i="162"/>
  <c r="BU25" i="162"/>
  <c r="BT25" i="162"/>
  <c r="BS25" i="162"/>
  <c r="BR25" i="162"/>
  <c r="BO25" i="162"/>
  <c r="BN25" i="162"/>
  <c r="BK25" i="162"/>
  <c r="BJ25" i="162"/>
  <c r="BB25" i="162"/>
  <c r="BA25" i="162"/>
  <c r="AZ25" i="162"/>
  <c r="AY25" i="162"/>
  <c r="AV25" i="162"/>
  <c r="AU25" i="162"/>
  <c r="AR25" i="162"/>
  <c r="AQ25" i="162"/>
  <c r="AI25" i="162"/>
  <c r="AH25" i="162"/>
  <c r="AG25" i="162"/>
  <c r="AF25" i="162"/>
  <c r="AC25" i="162"/>
  <c r="AB25" i="162"/>
  <c r="Y25" i="162"/>
  <c r="X25" i="162"/>
  <c r="U25" i="162"/>
  <c r="AN25" i="162" s="1"/>
  <c r="BG25" i="162" s="1"/>
  <c r="BZ25" i="162" s="1"/>
  <c r="P25" i="162"/>
  <c r="O25" i="162"/>
  <c r="N25" i="162"/>
  <c r="M25" i="162"/>
  <c r="J25" i="162"/>
  <c r="I25" i="162"/>
  <c r="F25" i="162"/>
  <c r="E25" i="162"/>
  <c r="CD24" i="162"/>
  <c r="CC24" i="162"/>
  <c r="BU24" i="162"/>
  <c r="BT24" i="162"/>
  <c r="BS24" i="162"/>
  <c r="BR24" i="162"/>
  <c r="BO24" i="162"/>
  <c r="BN24" i="162"/>
  <c r="BK24" i="162"/>
  <c r="BJ24" i="162"/>
  <c r="BB24" i="162"/>
  <c r="BA24" i="162"/>
  <c r="AZ24" i="162"/>
  <c r="AY24" i="162"/>
  <c r="AV24" i="162"/>
  <c r="AU24" i="162"/>
  <c r="AR24" i="162"/>
  <c r="AQ24" i="162"/>
  <c r="AI24" i="162"/>
  <c r="AH24" i="162"/>
  <c r="AG24" i="162"/>
  <c r="AF24" i="162"/>
  <c r="AC24" i="162"/>
  <c r="AB24" i="162"/>
  <c r="Y24" i="162"/>
  <c r="X24" i="162"/>
  <c r="U24" i="162"/>
  <c r="AN24" i="162" s="1"/>
  <c r="BG24" i="162" s="1"/>
  <c r="BZ24" i="162" s="1"/>
  <c r="P24" i="162"/>
  <c r="O24" i="162"/>
  <c r="N24" i="162"/>
  <c r="M24" i="162"/>
  <c r="J24" i="162"/>
  <c r="I24" i="162"/>
  <c r="F24" i="162"/>
  <c r="E24" i="162"/>
  <c r="CD23" i="162"/>
  <c r="CC23" i="162"/>
  <c r="BU23" i="162"/>
  <c r="BT23" i="162"/>
  <c r="BS23" i="162"/>
  <c r="BR23" i="162"/>
  <c r="BO23" i="162"/>
  <c r="BN23" i="162"/>
  <c r="BK23" i="162"/>
  <c r="BJ23" i="162"/>
  <c r="BB23" i="162"/>
  <c r="BA23" i="162"/>
  <c r="AZ23" i="162"/>
  <c r="AY23" i="162"/>
  <c r="AV23" i="162"/>
  <c r="AU23" i="162"/>
  <c r="AR23" i="162"/>
  <c r="AQ23" i="162"/>
  <c r="AI23" i="162"/>
  <c r="AH23" i="162"/>
  <c r="AG23" i="162"/>
  <c r="AF23" i="162"/>
  <c r="AC23" i="162"/>
  <c r="AB23" i="162"/>
  <c r="Y23" i="162"/>
  <c r="X23" i="162"/>
  <c r="U23" i="162"/>
  <c r="AN23" i="162" s="1"/>
  <c r="BG23" i="162" s="1"/>
  <c r="BZ23" i="162" s="1"/>
  <c r="P23" i="162"/>
  <c r="O23" i="162"/>
  <c r="N23" i="162"/>
  <c r="M23" i="162"/>
  <c r="J23" i="162"/>
  <c r="I23" i="162"/>
  <c r="F23" i="162"/>
  <c r="E23" i="162"/>
  <c r="CD22" i="162"/>
  <c r="CC22" i="162"/>
  <c r="BU22" i="162"/>
  <c r="BT22" i="162"/>
  <c r="BS22" i="162"/>
  <c r="BR22" i="162"/>
  <c r="BO22" i="162"/>
  <c r="BN22" i="162"/>
  <c r="BK22" i="162"/>
  <c r="BJ22" i="162"/>
  <c r="BB22" i="162"/>
  <c r="BA22" i="162"/>
  <c r="AZ22" i="162"/>
  <c r="AY22" i="162"/>
  <c r="AV22" i="162"/>
  <c r="AU22" i="162"/>
  <c r="AR22" i="162"/>
  <c r="AQ22" i="162"/>
  <c r="AI22" i="162"/>
  <c r="AH22" i="162"/>
  <c r="AG22" i="162"/>
  <c r="AF22" i="162"/>
  <c r="AC22" i="162"/>
  <c r="AB22" i="162"/>
  <c r="Y22" i="162"/>
  <c r="X22" i="162"/>
  <c r="U22" i="162"/>
  <c r="AN22" i="162" s="1"/>
  <c r="BG22" i="162" s="1"/>
  <c r="BZ22" i="162" s="1"/>
  <c r="P22" i="162"/>
  <c r="O22" i="162"/>
  <c r="N22" i="162"/>
  <c r="M22" i="162"/>
  <c r="J22" i="162"/>
  <c r="I22" i="162"/>
  <c r="F22" i="162"/>
  <c r="E22" i="162"/>
  <c r="CD21" i="162"/>
  <c r="CC21" i="162"/>
  <c r="BU21" i="162"/>
  <c r="BW21" i="162" s="1"/>
  <c r="BT21" i="162"/>
  <c r="BS21" i="162"/>
  <c r="BR21" i="162"/>
  <c r="BO21" i="162"/>
  <c r="BN21" i="162"/>
  <c r="BK21" i="162"/>
  <c r="BJ21" i="162"/>
  <c r="BB21" i="162"/>
  <c r="BA21" i="162"/>
  <c r="AZ21" i="162"/>
  <c r="AY21" i="162"/>
  <c r="AV21" i="162"/>
  <c r="AU21" i="162"/>
  <c r="AR21" i="162"/>
  <c r="AQ21" i="162"/>
  <c r="AI21" i="162"/>
  <c r="AH21" i="162"/>
  <c r="AG21" i="162"/>
  <c r="AF21" i="162"/>
  <c r="AC21" i="162"/>
  <c r="AB21" i="162"/>
  <c r="Y21" i="162"/>
  <c r="X21" i="162"/>
  <c r="U21" i="162"/>
  <c r="AN21" i="162" s="1"/>
  <c r="BG21" i="162" s="1"/>
  <c r="BZ21" i="162" s="1"/>
  <c r="P21" i="162"/>
  <c r="O21" i="162"/>
  <c r="N21" i="162"/>
  <c r="M21" i="162"/>
  <c r="J21" i="162"/>
  <c r="I21" i="162"/>
  <c r="F21" i="162"/>
  <c r="E21" i="162"/>
  <c r="CD20" i="162"/>
  <c r="CC20" i="162"/>
  <c r="BU20" i="162"/>
  <c r="BT20" i="162"/>
  <c r="BS20" i="162"/>
  <c r="BR20" i="162"/>
  <c r="BO20" i="162"/>
  <c r="BN20" i="162"/>
  <c r="BK20" i="162"/>
  <c r="BJ20" i="162"/>
  <c r="BB20" i="162"/>
  <c r="BA20" i="162"/>
  <c r="AZ20" i="162"/>
  <c r="AY20" i="162"/>
  <c r="AV20" i="162"/>
  <c r="AU20" i="162"/>
  <c r="AR20" i="162"/>
  <c r="AQ20" i="162"/>
  <c r="AI20" i="162"/>
  <c r="AH20" i="162"/>
  <c r="AG20" i="162"/>
  <c r="AF20" i="162"/>
  <c r="AC20" i="162"/>
  <c r="AB20" i="162"/>
  <c r="Y20" i="162"/>
  <c r="X20" i="162"/>
  <c r="U20" i="162"/>
  <c r="AN20" i="162" s="1"/>
  <c r="BG20" i="162" s="1"/>
  <c r="BZ20" i="162" s="1"/>
  <c r="P20" i="162"/>
  <c r="O20" i="162"/>
  <c r="N20" i="162"/>
  <c r="M20" i="162"/>
  <c r="J20" i="162"/>
  <c r="I20" i="162"/>
  <c r="F20" i="162"/>
  <c r="E20" i="162"/>
  <c r="CD19" i="162"/>
  <c r="CC19" i="162"/>
  <c r="BU19" i="162"/>
  <c r="BT19" i="162"/>
  <c r="BS19" i="162"/>
  <c r="BR19" i="162"/>
  <c r="BO19" i="162"/>
  <c r="BN19" i="162"/>
  <c r="BK19" i="162"/>
  <c r="BJ19" i="162"/>
  <c r="BB19" i="162"/>
  <c r="BA19" i="162"/>
  <c r="AZ19" i="162"/>
  <c r="AY19" i="162"/>
  <c r="AV19" i="162"/>
  <c r="AU19" i="162"/>
  <c r="AR19" i="162"/>
  <c r="AQ19" i="162"/>
  <c r="AI19" i="162"/>
  <c r="AH19" i="162"/>
  <c r="AG19" i="162"/>
  <c r="AF19" i="162"/>
  <c r="AC19" i="162"/>
  <c r="AB19" i="162"/>
  <c r="Y19" i="162"/>
  <c r="X19" i="162"/>
  <c r="U19" i="162"/>
  <c r="AN19" i="162" s="1"/>
  <c r="BG19" i="162" s="1"/>
  <c r="BZ19" i="162" s="1"/>
  <c r="P19" i="162"/>
  <c r="O19" i="162"/>
  <c r="N19" i="162"/>
  <c r="M19" i="162"/>
  <c r="J19" i="162"/>
  <c r="I19" i="162"/>
  <c r="F19" i="162"/>
  <c r="E19" i="162"/>
  <c r="CD18" i="162"/>
  <c r="CC18" i="162"/>
  <c r="BU18" i="162"/>
  <c r="BT18" i="162"/>
  <c r="BS18" i="162"/>
  <c r="BR18" i="162"/>
  <c r="BO18" i="162"/>
  <c r="BN18" i="162"/>
  <c r="BK18" i="162"/>
  <c r="BJ18" i="162"/>
  <c r="BB18" i="162"/>
  <c r="BA18" i="162"/>
  <c r="AZ18" i="162"/>
  <c r="AY18" i="162"/>
  <c r="AV18" i="162"/>
  <c r="AU18" i="162"/>
  <c r="AR18" i="162"/>
  <c r="AQ18" i="162"/>
  <c r="AI18" i="162"/>
  <c r="AH18" i="162"/>
  <c r="AG18" i="162"/>
  <c r="AF18" i="162"/>
  <c r="AC18" i="162"/>
  <c r="AB18" i="162"/>
  <c r="Y18" i="162"/>
  <c r="X18" i="162"/>
  <c r="U18" i="162"/>
  <c r="AN18" i="162" s="1"/>
  <c r="BG18" i="162" s="1"/>
  <c r="BZ18" i="162" s="1"/>
  <c r="P18" i="162"/>
  <c r="O18" i="162"/>
  <c r="N18" i="162"/>
  <c r="M18" i="162"/>
  <c r="J18" i="162"/>
  <c r="I18" i="162"/>
  <c r="F18" i="162"/>
  <c r="E18" i="162"/>
  <c r="CD17" i="162"/>
  <c r="CC17" i="162"/>
  <c r="BU17" i="162"/>
  <c r="BT17" i="162"/>
  <c r="BS17" i="162"/>
  <c r="BR17" i="162"/>
  <c r="BO17" i="162"/>
  <c r="BN17" i="162"/>
  <c r="BK17" i="162"/>
  <c r="BJ17" i="162"/>
  <c r="BB17" i="162"/>
  <c r="BA17" i="162"/>
  <c r="AZ17" i="162"/>
  <c r="AY17" i="162"/>
  <c r="AV17" i="162"/>
  <c r="AU17" i="162"/>
  <c r="AR17" i="162"/>
  <c r="AQ17" i="162"/>
  <c r="AI17" i="162"/>
  <c r="AH17" i="162"/>
  <c r="AG17" i="162"/>
  <c r="AF17" i="162"/>
  <c r="AC17" i="162"/>
  <c r="AB17" i="162"/>
  <c r="Y17" i="162"/>
  <c r="X17" i="162"/>
  <c r="U17" i="162"/>
  <c r="AN17" i="162" s="1"/>
  <c r="BG17" i="162" s="1"/>
  <c r="BZ17" i="162" s="1"/>
  <c r="P17" i="162"/>
  <c r="O17" i="162"/>
  <c r="N17" i="162"/>
  <c r="M17" i="162"/>
  <c r="J17" i="162"/>
  <c r="I17" i="162"/>
  <c r="F17" i="162"/>
  <c r="E17" i="162"/>
  <c r="CD16" i="162"/>
  <c r="CC16" i="162"/>
  <c r="BU16" i="162"/>
  <c r="BT16" i="162"/>
  <c r="BS16" i="162"/>
  <c r="BR16" i="162"/>
  <c r="BO16" i="162"/>
  <c r="BN16" i="162"/>
  <c r="BK16" i="162"/>
  <c r="BJ16" i="162"/>
  <c r="BB16" i="162"/>
  <c r="BA16" i="162"/>
  <c r="AZ16" i="162"/>
  <c r="AY16" i="162"/>
  <c r="AV16" i="162"/>
  <c r="AU16" i="162"/>
  <c r="AR16" i="162"/>
  <c r="AQ16" i="162"/>
  <c r="AI16" i="162"/>
  <c r="AH16" i="162"/>
  <c r="AG16" i="162"/>
  <c r="AF16" i="162"/>
  <c r="AC16" i="162"/>
  <c r="AB16" i="162"/>
  <c r="Y16" i="162"/>
  <c r="X16" i="162"/>
  <c r="U16" i="162"/>
  <c r="AN16" i="162" s="1"/>
  <c r="BG16" i="162" s="1"/>
  <c r="BZ16" i="162" s="1"/>
  <c r="P16" i="162"/>
  <c r="O16" i="162"/>
  <c r="N16" i="162"/>
  <c r="M16" i="162"/>
  <c r="J16" i="162"/>
  <c r="I16" i="162"/>
  <c r="F16" i="162"/>
  <c r="E16" i="162"/>
  <c r="CD15" i="162"/>
  <c r="CC15" i="162"/>
  <c r="BU15" i="162"/>
  <c r="BT15" i="162"/>
  <c r="BS15" i="162"/>
  <c r="BR15" i="162"/>
  <c r="BO15" i="162"/>
  <c r="BN15" i="162"/>
  <c r="BK15" i="162"/>
  <c r="BJ15" i="162"/>
  <c r="BB15" i="162"/>
  <c r="BA15" i="162"/>
  <c r="AZ15" i="162"/>
  <c r="AY15" i="162"/>
  <c r="AV15" i="162"/>
  <c r="AU15" i="162"/>
  <c r="AR15" i="162"/>
  <c r="AQ15" i="162"/>
  <c r="AI15" i="162"/>
  <c r="AH15" i="162"/>
  <c r="AG15" i="162"/>
  <c r="AF15" i="162"/>
  <c r="AC15" i="162"/>
  <c r="AB15" i="162"/>
  <c r="Y15" i="162"/>
  <c r="X15" i="162"/>
  <c r="U15" i="162"/>
  <c r="AN15" i="162" s="1"/>
  <c r="BG15" i="162" s="1"/>
  <c r="BZ15" i="162" s="1"/>
  <c r="P15" i="162"/>
  <c r="O15" i="162"/>
  <c r="N15" i="162"/>
  <c r="M15" i="162"/>
  <c r="J15" i="162"/>
  <c r="I15" i="162"/>
  <c r="F15" i="162"/>
  <c r="E15" i="162"/>
  <c r="CD14" i="162"/>
  <c r="CC14" i="162"/>
  <c r="BU14" i="162"/>
  <c r="BW14" i="162" s="1"/>
  <c r="BT14" i="162"/>
  <c r="BS14" i="162"/>
  <c r="BR14" i="162"/>
  <c r="BO14" i="162"/>
  <c r="BN14" i="162"/>
  <c r="BK14" i="162"/>
  <c r="BJ14" i="162"/>
  <c r="BB14" i="162"/>
  <c r="BA14" i="162"/>
  <c r="AZ14" i="162"/>
  <c r="AY14" i="162"/>
  <c r="AV14" i="162"/>
  <c r="AU14" i="162"/>
  <c r="AR14" i="162"/>
  <c r="AQ14" i="162"/>
  <c r="AI14" i="162"/>
  <c r="AK14" i="162" s="1"/>
  <c r="AH14" i="162"/>
  <c r="AG14" i="162"/>
  <c r="AF14" i="162"/>
  <c r="AC14" i="162"/>
  <c r="AB14" i="162"/>
  <c r="Y14" i="162"/>
  <c r="X14" i="162"/>
  <c r="U14" i="162"/>
  <c r="AN14" i="162" s="1"/>
  <c r="BG14" i="162" s="1"/>
  <c r="BZ14" i="162" s="1"/>
  <c r="P14" i="162"/>
  <c r="Q14" i="162" s="1"/>
  <c r="O14" i="162"/>
  <c r="N14" i="162"/>
  <c r="M14" i="162"/>
  <c r="J14" i="162"/>
  <c r="I14" i="162"/>
  <c r="F14" i="162"/>
  <c r="E14" i="162"/>
  <c r="CD13" i="162"/>
  <c r="CC13" i="162"/>
  <c r="BU13" i="162"/>
  <c r="BT13" i="162"/>
  <c r="BS13" i="162"/>
  <c r="BR13" i="162"/>
  <c r="BO13" i="162"/>
  <c r="BN13" i="162"/>
  <c r="BK13" i="162"/>
  <c r="BJ13" i="162"/>
  <c r="BB13" i="162"/>
  <c r="BA13" i="162"/>
  <c r="AZ13" i="162"/>
  <c r="AY13" i="162"/>
  <c r="AV13" i="162"/>
  <c r="AU13" i="162"/>
  <c r="AR13" i="162"/>
  <c r="AQ13" i="162"/>
  <c r="AI13" i="162"/>
  <c r="AH13" i="162"/>
  <c r="AG13" i="162"/>
  <c r="AF13" i="162"/>
  <c r="AC13" i="162"/>
  <c r="AB13" i="162"/>
  <c r="Y13" i="162"/>
  <c r="X13" i="162"/>
  <c r="U13" i="162"/>
  <c r="AN13" i="162" s="1"/>
  <c r="BG13" i="162" s="1"/>
  <c r="BZ13" i="162" s="1"/>
  <c r="P13" i="162"/>
  <c r="O13" i="162"/>
  <c r="N13" i="162"/>
  <c r="M13" i="162"/>
  <c r="J13" i="162"/>
  <c r="I13" i="162"/>
  <c r="F13" i="162"/>
  <c r="E13" i="162"/>
  <c r="CD12" i="162"/>
  <c r="CC12" i="162"/>
  <c r="BU12" i="162"/>
  <c r="BT12" i="162"/>
  <c r="BS12" i="162"/>
  <c r="BR12" i="162"/>
  <c r="BO12" i="162"/>
  <c r="BN12" i="162"/>
  <c r="BK12" i="162"/>
  <c r="BJ12" i="162"/>
  <c r="BB12" i="162"/>
  <c r="BA12" i="162"/>
  <c r="AZ12" i="162"/>
  <c r="AY12" i="162"/>
  <c r="AV12" i="162"/>
  <c r="AU12" i="162"/>
  <c r="AR12" i="162"/>
  <c r="AQ12" i="162"/>
  <c r="AI12" i="162"/>
  <c r="AH12" i="162"/>
  <c r="AG12" i="162"/>
  <c r="AF12" i="162"/>
  <c r="AC12" i="162"/>
  <c r="AB12" i="162"/>
  <c r="Y12" i="162"/>
  <c r="X12" i="162"/>
  <c r="U12" i="162"/>
  <c r="AN12" i="162" s="1"/>
  <c r="BG12" i="162" s="1"/>
  <c r="BZ12" i="162" s="1"/>
  <c r="P12" i="162"/>
  <c r="O12" i="162"/>
  <c r="N12" i="162"/>
  <c r="M12" i="162"/>
  <c r="J12" i="162"/>
  <c r="I12" i="162"/>
  <c r="F12" i="162"/>
  <c r="E12" i="162"/>
  <c r="CD11" i="162"/>
  <c r="CC11" i="162"/>
  <c r="BU11" i="162"/>
  <c r="BT11" i="162"/>
  <c r="BS11" i="162"/>
  <c r="BR11" i="162"/>
  <c r="BO11" i="162"/>
  <c r="BN11" i="162"/>
  <c r="BK11" i="162"/>
  <c r="BJ11" i="162"/>
  <c r="BB11" i="162"/>
  <c r="BA11" i="162"/>
  <c r="AZ11" i="162"/>
  <c r="AY11" i="162"/>
  <c r="AV11" i="162"/>
  <c r="AU11" i="162"/>
  <c r="AR11" i="162"/>
  <c r="AQ11" i="162"/>
  <c r="AI11" i="162"/>
  <c r="AH11" i="162"/>
  <c r="AG11" i="162"/>
  <c r="AF11" i="162"/>
  <c r="AC11" i="162"/>
  <c r="AB11" i="162"/>
  <c r="Y11" i="162"/>
  <c r="X11" i="162"/>
  <c r="U11" i="162"/>
  <c r="AN11" i="162" s="1"/>
  <c r="BG11" i="162" s="1"/>
  <c r="BZ11" i="162" s="1"/>
  <c r="P11" i="162"/>
  <c r="O11" i="162"/>
  <c r="N11" i="162"/>
  <c r="M11" i="162"/>
  <c r="J11" i="162"/>
  <c r="I11" i="162"/>
  <c r="F11" i="162"/>
  <c r="E11" i="162"/>
  <c r="CD10" i="162"/>
  <c r="CC10" i="162"/>
  <c r="BU10" i="162"/>
  <c r="BT10" i="162"/>
  <c r="BS10" i="162"/>
  <c r="BR10" i="162"/>
  <c r="BO10" i="162"/>
  <c r="BN10" i="162"/>
  <c r="BK10" i="162"/>
  <c r="BJ10" i="162"/>
  <c r="BB10" i="162"/>
  <c r="BA10" i="162"/>
  <c r="AZ10" i="162"/>
  <c r="AY10" i="162"/>
  <c r="AV10" i="162"/>
  <c r="AU10" i="162"/>
  <c r="AR10" i="162"/>
  <c r="AQ10" i="162"/>
  <c r="AI10" i="162"/>
  <c r="AH10" i="162"/>
  <c r="AG10" i="162"/>
  <c r="AF10" i="162"/>
  <c r="AC10" i="162"/>
  <c r="AB10" i="162"/>
  <c r="Y10" i="162"/>
  <c r="X10" i="162"/>
  <c r="U10" i="162"/>
  <c r="AN10" i="162" s="1"/>
  <c r="BG10" i="162" s="1"/>
  <c r="BZ10" i="162" s="1"/>
  <c r="P10" i="162"/>
  <c r="O10" i="162"/>
  <c r="N10" i="162"/>
  <c r="M10" i="162"/>
  <c r="J10" i="162"/>
  <c r="I10" i="162"/>
  <c r="F10" i="162"/>
  <c r="E10" i="162"/>
  <c r="CD9" i="162"/>
  <c r="CC9" i="162"/>
  <c r="BU9" i="162"/>
  <c r="BT9" i="162"/>
  <c r="BS9" i="162"/>
  <c r="BR9" i="162"/>
  <c r="BO9" i="162"/>
  <c r="BN9" i="162"/>
  <c r="BK9" i="162"/>
  <c r="BJ9" i="162"/>
  <c r="BB9" i="162"/>
  <c r="BA9" i="162"/>
  <c r="AZ9" i="162"/>
  <c r="AY9" i="162"/>
  <c r="AV9" i="162"/>
  <c r="AU9" i="162"/>
  <c r="AR9" i="162"/>
  <c r="AQ9" i="162"/>
  <c r="AI9" i="162"/>
  <c r="AH9" i="162"/>
  <c r="AG9" i="162"/>
  <c r="AF9" i="162"/>
  <c r="AC9" i="162"/>
  <c r="AB9" i="162"/>
  <c r="Y9" i="162"/>
  <c r="X9" i="162"/>
  <c r="U9" i="162"/>
  <c r="AN9" i="162" s="1"/>
  <c r="BG9" i="162" s="1"/>
  <c r="BZ9" i="162" s="1"/>
  <c r="P9" i="162"/>
  <c r="O9" i="162"/>
  <c r="N9" i="162"/>
  <c r="M9" i="162"/>
  <c r="J9" i="162"/>
  <c r="I9" i="162"/>
  <c r="F9" i="162"/>
  <c r="E9" i="162"/>
  <c r="CD8" i="162"/>
  <c r="CC8" i="162"/>
  <c r="BY8" i="162"/>
  <c r="BY9" i="162" s="1"/>
  <c r="BY10" i="162" s="1"/>
  <c r="BY11" i="162" s="1"/>
  <c r="BY12" i="162" s="1"/>
  <c r="BY13" i="162" s="1"/>
  <c r="BY14" i="162" s="1"/>
  <c r="BY15" i="162" s="1"/>
  <c r="BY16" i="162" s="1"/>
  <c r="BY17" i="162" s="1"/>
  <c r="BY18" i="162" s="1"/>
  <c r="BY19" i="162" s="1"/>
  <c r="BY20" i="162" s="1"/>
  <c r="BY21" i="162" s="1"/>
  <c r="BY22" i="162" s="1"/>
  <c r="BY23" i="162" s="1"/>
  <c r="BY24" i="162" s="1"/>
  <c r="BY25" i="162" s="1"/>
  <c r="BY26" i="162" s="1"/>
  <c r="BY27" i="162" s="1"/>
  <c r="BY28" i="162" s="1"/>
  <c r="BY29" i="162" s="1"/>
  <c r="BY30" i="162" s="1"/>
  <c r="BY31" i="162" s="1"/>
  <c r="BY32" i="162" s="1"/>
  <c r="BY33" i="162" s="1"/>
  <c r="BY34" i="162" s="1"/>
  <c r="BY35" i="162" s="1"/>
  <c r="BY36" i="162" s="1"/>
  <c r="BU8" i="162"/>
  <c r="BT8" i="162"/>
  <c r="BS8" i="162"/>
  <c r="BR8" i="162"/>
  <c r="BO8" i="162"/>
  <c r="BN8" i="162"/>
  <c r="BK8" i="162"/>
  <c r="BJ8" i="162"/>
  <c r="BF8" i="162"/>
  <c r="BF9" i="162" s="1"/>
  <c r="BF10" i="162" s="1"/>
  <c r="BF11" i="162" s="1"/>
  <c r="BF12" i="162" s="1"/>
  <c r="BF13" i="162" s="1"/>
  <c r="BF14" i="162" s="1"/>
  <c r="BF15" i="162" s="1"/>
  <c r="BF16" i="162" s="1"/>
  <c r="BF17" i="162" s="1"/>
  <c r="BF18" i="162" s="1"/>
  <c r="BF19" i="162" s="1"/>
  <c r="BF20" i="162" s="1"/>
  <c r="BF21" i="162" s="1"/>
  <c r="BF22" i="162" s="1"/>
  <c r="BF23" i="162" s="1"/>
  <c r="BF24" i="162" s="1"/>
  <c r="BF25" i="162" s="1"/>
  <c r="BF26" i="162" s="1"/>
  <c r="BF27" i="162" s="1"/>
  <c r="BF28" i="162" s="1"/>
  <c r="BF29" i="162" s="1"/>
  <c r="BF30" i="162" s="1"/>
  <c r="BF31" i="162" s="1"/>
  <c r="BF32" i="162" s="1"/>
  <c r="BF33" i="162" s="1"/>
  <c r="BF34" i="162" s="1"/>
  <c r="BF35" i="162" s="1"/>
  <c r="BF36" i="162" s="1"/>
  <c r="BB8" i="162"/>
  <c r="BA8" i="162"/>
  <c r="AZ8" i="162"/>
  <c r="AY8" i="162"/>
  <c r="AV8" i="162"/>
  <c r="AU8" i="162"/>
  <c r="AR8" i="162"/>
  <c r="AQ8" i="162"/>
  <c r="AM8" i="162"/>
  <c r="AM9" i="162" s="1"/>
  <c r="AM10" i="162" s="1"/>
  <c r="AM11" i="162" s="1"/>
  <c r="AM12" i="162" s="1"/>
  <c r="AM13" i="162" s="1"/>
  <c r="AM14" i="162" s="1"/>
  <c r="AM15" i="162" s="1"/>
  <c r="AM16" i="162" s="1"/>
  <c r="AM17" i="162" s="1"/>
  <c r="AM18" i="162" s="1"/>
  <c r="AM19" i="162" s="1"/>
  <c r="AM20" i="162" s="1"/>
  <c r="AM21" i="162" s="1"/>
  <c r="AM22" i="162" s="1"/>
  <c r="AM23" i="162" s="1"/>
  <c r="AM24" i="162" s="1"/>
  <c r="AM25" i="162" s="1"/>
  <c r="AM26" i="162" s="1"/>
  <c r="AM27" i="162" s="1"/>
  <c r="AM28" i="162" s="1"/>
  <c r="AM29" i="162" s="1"/>
  <c r="AM30" i="162" s="1"/>
  <c r="AM31" i="162" s="1"/>
  <c r="AM32" i="162" s="1"/>
  <c r="AM33" i="162" s="1"/>
  <c r="AM34" i="162" s="1"/>
  <c r="AM35" i="162" s="1"/>
  <c r="AM36" i="162" s="1"/>
  <c r="AI8" i="162"/>
  <c r="AH8" i="162"/>
  <c r="AG8" i="162"/>
  <c r="AF8" i="162"/>
  <c r="AC8" i="162"/>
  <c r="AB8" i="162"/>
  <c r="Y8" i="162"/>
  <c r="X8" i="162"/>
  <c r="U8" i="162"/>
  <c r="AN8" i="162" s="1"/>
  <c r="BG8" i="162" s="1"/>
  <c r="BZ8" i="162" s="1"/>
  <c r="T8" i="162"/>
  <c r="T9" i="162" s="1"/>
  <c r="T10" i="162" s="1"/>
  <c r="T11" i="162" s="1"/>
  <c r="T12" i="162" s="1"/>
  <c r="T13" i="162" s="1"/>
  <c r="T14" i="162" s="1"/>
  <c r="T15" i="162" s="1"/>
  <c r="T16" i="162" s="1"/>
  <c r="T17" i="162" s="1"/>
  <c r="T18" i="162" s="1"/>
  <c r="T19" i="162" s="1"/>
  <c r="T20" i="162" s="1"/>
  <c r="T21" i="162" s="1"/>
  <c r="T22" i="162" s="1"/>
  <c r="T23" i="162" s="1"/>
  <c r="T24" i="162" s="1"/>
  <c r="T25" i="162" s="1"/>
  <c r="T26" i="162" s="1"/>
  <c r="T27" i="162" s="1"/>
  <c r="T28" i="162" s="1"/>
  <c r="T29" i="162" s="1"/>
  <c r="T30" i="162" s="1"/>
  <c r="T31" i="162" s="1"/>
  <c r="T32" i="162" s="1"/>
  <c r="T33" i="162" s="1"/>
  <c r="T34" i="162" s="1"/>
  <c r="T35" i="162" s="1"/>
  <c r="T36" i="162" s="1"/>
  <c r="P8" i="162"/>
  <c r="O8" i="162"/>
  <c r="N8" i="162"/>
  <c r="M8" i="162"/>
  <c r="J8" i="162"/>
  <c r="I8" i="162"/>
  <c r="F8" i="162"/>
  <c r="E8" i="162"/>
  <c r="A8" i="162"/>
  <c r="A9" i="162" s="1"/>
  <c r="A10" i="162" s="1"/>
  <c r="A11" i="162" s="1"/>
  <c r="A12" i="162" s="1"/>
  <c r="A13" i="162" s="1"/>
  <c r="A14" i="162" s="1"/>
  <c r="A15" i="162" s="1"/>
  <c r="A16" i="162" s="1"/>
  <c r="A17" i="162" s="1"/>
  <c r="A18" i="162" s="1"/>
  <c r="A19" i="162" s="1"/>
  <c r="A20" i="162" s="1"/>
  <c r="A21" i="162" s="1"/>
  <c r="A22" i="162" s="1"/>
  <c r="A23" i="162" s="1"/>
  <c r="A24" i="162" s="1"/>
  <c r="A25" i="162" s="1"/>
  <c r="A26" i="162" s="1"/>
  <c r="A27" i="162" s="1"/>
  <c r="A28" i="162" s="1"/>
  <c r="A29" i="162" s="1"/>
  <c r="A30" i="162" s="1"/>
  <c r="A31" i="162" s="1"/>
  <c r="A32" i="162" s="1"/>
  <c r="A33" i="162" s="1"/>
  <c r="A34" i="162" s="1"/>
  <c r="A35" i="162" s="1"/>
  <c r="A36" i="162" s="1"/>
  <c r="CD7" i="162"/>
  <c r="CC7" i="162"/>
  <c r="BU7" i="162"/>
  <c r="BV7" i="162" s="1"/>
  <c r="BT7" i="162"/>
  <c r="BS7" i="162"/>
  <c r="BR7" i="162"/>
  <c r="BO7" i="162"/>
  <c r="BN7" i="162"/>
  <c r="BK7" i="162"/>
  <c r="BJ7" i="162"/>
  <c r="BB7" i="162"/>
  <c r="BA7" i="162"/>
  <c r="AZ7" i="162"/>
  <c r="AY7" i="162"/>
  <c r="AV7" i="162"/>
  <c r="AU7" i="162"/>
  <c r="AR7" i="162"/>
  <c r="AQ7" i="162"/>
  <c r="AI7" i="162"/>
  <c r="AK7" i="162" s="1"/>
  <c r="AH7" i="162"/>
  <c r="AG7" i="162"/>
  <c r="AF7" i="162"/>
  <c r="AC7" i="162"/>
  <c r="AB7" i="162"/>
  <c r="Y7" i="162"/>
  <c r="X7" i="162"/>
  <c r="U7" i="162"/>
  <c r="AN7" i="162" s="1"/>
  <c r="BG7" i="162" s="1"/>
  <c r="BZ7" i="162" s="1"/>
  <c r="P7" i="162"/>
  <c r="O7" i="162"/>
  <c r="N7" i="162"/>
  <c r="M7" i="162"/>
  <c r="J7" i="162"/>
  <c r="I7" i="162"/>
  <c r="F7" i="162"/>
  <c r="E7" i="162"/>
  <c r="T6" i="162"/>
  <c r="AM6" i="162" s="1"/>
  <c r="BF6" i="162" s="1"/>
  <c r="BY6" i="162" s="1"/>
  <c r="I29" i="161"/>
  <c r="C29" i="161"/>
  <c r="L28" i="161"/>
  <c r="J28" i="161" s="1"/>
  <c r="K28" i="161"/>
  <c r="F28" i="161"/>
  <c r="D28" i="161" s="1"/>
  <c r="E28" i="161"/>
  <c r="L27" i="161"/>
  <c r="J27" i="161" s="1"/>
  <c r="K27" i="161"/>
  <c r="F27" i="161"/>
  <c r="D27" i="161" s="1"/>
  <c r="E27" i="161"/>
  <c r="L26" i="161"/>
  <c r="J26" i="161" s="1"/>
  <c r="K26" i="161"/>
  <c r="F26" i="161"/>
  <c r="D26" i="161" s="1"/>
  <c r="E26" i="161"/>
  <c r="L25" i="161"/>
  <c r="J25" i="161" s="1"/>
  <c r="K25" i="161"/>
  <c r="F25" i="161"/>
  <c r="D25" i="161" s="1"/>
  <c r="E25" i="161"/>
  <c r="L24" i="161"/>
  <c r="J24" i="161" s="1"/>
  <c r="K24" i="161"/>
  <c r="F24" i="161"/>
  <c r="D24" i="161" s="1"/>
  <c r="E24" i="161"/>
  <c r="L23" i="161"/>
  <c r="J23" i="161" s="1"/>
  <c r="K23" i="161"/>
  <c r="F23" i="161"/>
  <c r="D23" i="161" s="1"/>
  <c r="E23" i="161"/>
  <c r="L22" i="161"/>
  <c r="J22" i="161" s="1"/>
  <c r="K22" i="161"/>
  <c r="F22" i="161"/>
  <c r="D22" i="161" s="1"/>
  <c r="E22" i="161"/>
  <c r="L21" i="161"/>
  <c r="J21" i="161" s="1"/>
  <c r="K21" i="161"/>
  <c r="F21" i="161"/>
  <c r="D21" i="161" s="1"/>
  <c r="E21" i="161"/>
  <c r="L20" i="161"/>
  <c r="J20" i="161" s="1"/>
  <c r="K20" i="161"/>
  <c r="F20" i="161"/>
  <c r="D20" i="161" s="1"/>
  <c r="E20" i="161"/>
  <c r="L19" i="161"/>
  <c r="J19" i="161" s="1"/>
  <c r="K19" i="161"/>
  <c r="F19" i="161"/>
  <c r="D19" i="161" s="1"/>
  <c r="E19" i="161"/>
  <c r="L18" i="161"/>
  <c r="J18" i="161" s="1"/>
  <c r="K18" i="161"/>
  <c r="F18" i="161"/>
  <c r="D18" i="161" s="1"/>
  <c r="E18" i="161"/>
  <c r="L17" i="161"/>
  <c r="J17" i="161" s="1"/>
  <c r="K17" i="161"/>
  <c r="F17" i="161"/>
  <c r="D17" i="161" s="1"/>
  <c r="E17" i="161"/>
  <c r="L16" i="161"/>
  <c r="J16" i="161" s="1"/>
  <c r="K16" i="161"/>
  <c r="F16" i="161"/>
  <c r="D16" i="161" s="1"/>
  <c r="E16" i="161"/>
  <c r="L15" i="161"/>
  <c r="J15" i="161" s="1"/>
  <c r="K15" i="161"/>
  <c r="F15" i="161"/>
  <c r="D15" i="161" s="1"/>
  <c r="E15" i="161"/>
  <c r="L14" i="161"/>
  <c r="J14" i="161" s="1"/>
  <c r="K14" i="161"/>
  <c r="F14" i="161"/>
  <c r="D14" i="161" s="1"/>
  <c r="E14" i="161"/>
  <c r="L13" i="161"/>
  <c r="J13" i="161" s="1"/>
  <c r="K13" i="161"/>
  <c r="F13" i="161"/>
  <c r="D13" i="161" s="1"/>
  <c r="E13" i="161"/>
  <c r="L12" i="161"/>
  <c r="J12" i="161" s="1"/>
  <c r="K12" i="161"/>
  <c r="F12" i="161"/>
  <c r="D12" i="161" s="1"/>
  <c r="E12" i="161"/>
  <c r="L11" i="161"/>
  <c r="J11" i="161" s="1"/>
  <c r="K11" i="161"/>
  <c r="F11" i="161"/>
  <c r="D11" i="161" s="1"/>
  <c r="E11" i="161"/>
  <c r="L10" i="161"/>
  <c r="J10" i="161" s="1"/>
  <c r="K10" i="161"/>
  <c r="F10" i="161"/>
  <c r="D10" i="161" s="1"/>
  <c r="E10" i="161"/>
  <c r="L9" i="161"/>
  <c r="J9" i="161" s="1"/>
  <c r="K9" i="161"/>
  <c r="F9" i="161"/>
  <c r="D9" i="161" s="1"/>
  <c r="E9" i="161"/>
  <c r="L8" i="161"/>
  <c r="J8" i="161" s="1"/>
  <c r="K8" i="161"/>
  <c r="F8" i="161"/>
  <c r="D8" i="161" s="1"/>
  <c r="E8" i="161"/>
  <c r="L7" i="161"/>
  <c r="J7" i="161" s="1"/>
  <c r="K7" i="161"/>
  <c r="F7" i="161"/>
  <c r="D7" i="161" s="1"/>
  <c r="E7" i="161"/>
  <c r="L6" i="161"/>
  <c r="J6" i="161" s="1"/>
  <c r="K6" i="161"/>
  <c r="F6" i="161"/>
  <c r="D6" i="161" s="1"/>
  <c r="E6" i="161"/>
  <c r="L5" i="161"/>
  <c r="J5" i="161" s="1"/>
  <c r="K5" i="161"/>
  <c r="F5" i="161"/>
  <c r="D5" i="161" s="1"/>
  <c r="E5" i="161"/>
  <c r="CB38" i="160"/>
  <c r="CA38" i="160"/>
  <c r="BQ38" i="160"/>
  <c r="BP38" i="160"/>
  <c r="BM38" i="160"/>
  <c r="BL38" i="160"/>
  <c r="BI38" i="160"/>
  <c r="BH38" i="160"/>
  <c r="AX38" i="160"/>
  <c r="AW38" i="160"/>
  <c r="AT38" i="160"/>
  <c r="AS38" i="160"/>
  <c r="AP38" i="160"/>
  <c r="AO38" i="160"/>
  <c r="AE38" i="160"/>
  <c r="AD38" i="160"/>
  <c r="AA38" i="160"/>
  <c r="Z38" i="160"/>
  <c r="W38" i="160"/>
  <c r="V38" i="160"/>
  <c r="L38" i="160"/>
  <c r="K38" i="160"/>
  <c r="H38" i="160"/>
  <c r="G38" i="160"/>
  <c r="D38" i="160"/>
  <c r="C38" i="160"/>
  <c r="CD37" i="160"/>
  <c r="CC37" i="160"/>
  <c r="BU37" i="160"/>
  <c r="BT37" i="160"/>
  <c r="BS37" i="160"/>
  <c r="BR37" i="160"/>
  <c r="BO37" i="160"/>
  <c r="BN37" i="160"/>
  <c r="BK37" i="160"/>
  <c r="BJ37" i="160"/>
  <c r="BB37" i="160"/>
  <c r="BD37" i="160" s="1"/>
  <c r="BA37" i="160"/>
  <c r="AZ37" i="160"/>
  <c r="AY37" i="160"/>
  <c r="AV37" i="160"/>
  <c r="AU37" i="160"/>
  <c r="AR37" i="160"/>
  <c r="AQ37" i="160"/>
  <c r="AI37" i="160"/>
  <c r="AH37" i="160"/>
  <c r="AG37" i="160"/>
  <c r="AF37" i="160"/>
  <c r="AC37" i="160"/>
  <c r="AB37" i="160"/>
  <c r="Y37" i="160"/>
  <c r="X37" i="160"/>
  <c r="U37" i="160"/>
  <c r="AN37" i="160" s="1"/>
  <c r="BG37" i="160" s="1"/>
  <c r="BZ37" i="160" s="1"/>
  <c r="P37" i="160"/>
  <c r="R37" i="160" s="1"/>
  <c r="O37" i="160"/>
  <c r="N37" i="160"/>
  <c r="M37" i="160"/>
  <c r="J37" i="160"/>
  <c r="I37" i="160"/>
  <c r="F37" i="160"/>
  <c r="E37" i="160"/>
  <c r="CD36" i="160"/>
  <c r="CC36" i="160"/>
  <c r="BU36" i="160"/>
  <c r="BT36" i="160"/>
  <c r="BS36" i="160"/>
  <c r="BR36" i="160"/>
  <c r="BO36" i="160"/>
  <c r="BN36" i="160"/>
  <c r="BK36" i="160"/>
  <c r="BJ36" i="160"/>
  <c r="BB36" i="160"/>
  <c r="BA36" i="160"/>
  <c r="AZ36" i="160"/>
  <c r="AY36" i="160"/>
  <c r="AV36" i="160"/>
  <c r="AU36" i="160"/>
  <c r="AR36" i="160"/>
  <c r="AQ36" i="160"/>
  <c r="AI36" i="160"/>
  <c r="AH36" i="160"/>
  <c r="AG36" i="160"/>
  <c r="AF36" i="160"/>
  <c r="AC36" i="160"/>
  <c r="AB36" i="160"/>
  <c r="Y36" i="160"/>
  <c r="X36" i="160"/>
  <c r="U36" i="160"/>
  <c r="AN36" i="160" s="1"/>
  <c r="BG36" i="160" s="1"/>
  <c r="BZ36" i="160" s="1"/>
  <c r="P36" i="160"/>
  <c r="O36" i="160"/>
  <c r="N36" i="160"/>
  <c r="M36" i="160"/>
  <c r="J36" i="160"/>
  <c r="I36" i="160"/>
  <c r="F36" i="160"/>
  <c r="E36" i="160"/>
  <c r="CD35" i="160"/>
  <c r="CC35" i="160"/>
  <c r="BU35" i="160"/>
  <c r="BT35" i="160"/>
  <c r="BS35" i="160"/>
  <c r="BR35" i="160"/>
  <c r="BO35" i="160"/>
  <c r="BN35" i="160"/>
  <c r="BK35" i="160"/>
  <c r="BJ35" i="160"/>
  <c r="BB35" i="160"/>
  <c r="BA35" i="160"/>
  <c r="AZ35" i="160"/>
  <c r="AY35" i="160"/>
  <c r="AV35" i="160"/>
  <c r="AU35" i="160"/>
  <c r="AR35" i="160"/>
  <c r="AQ35" i="160"/>
  <c r="AI35" i="160"/>
  <c r="AH35" i="160"/>
  <c r="AG35" i="160"/>
  <c r="AF35" i="160"/>
  <c r="AC35" i="160"/>
  <c r="AB35" i="160"/>
  <c r="Y35" i="160"/>
  <c r="X35" i="160"/>
  <c r="U35" i="160"/>
  <c r="AN35" i="160" s="1"/>
  <c r="BG35" i="160" s="1"/>
  <c r="BZ35" i="160" s="1"/>
  <c r="P35" i="160"/>
  <c r="O35" i="160"/>
  <c r="N35" i="160"/>
  <c r="M35" i="160"/>
  <c r="J35" i="160"/>
  <c r="I35" i="160"/>
  <c r="F35" i="160"/>
  <c r="E35" i="160"/>
  <c r="CD34" i="160"/>
  <c r="CC34" i="160"/>
  <c r="BU34" i="160"/>
  <c r="BT34" i="160"/>
  <c r="BS34" i="160"/>
  <c r="BR34" i="160"/>
  <c r="BO34" i="160"/>
  <c r="BN34" i="160"/>
  <c r="BK34" i="160"/>
  <c r="BJ34" i="160"/>
  <c r="BB34" i="160"/>
  <c r="BA34" i="160"/>
  <c r="AZ34" i="160"/>
  <c r="AY34" i="160"/>
  <c r="AV34" i="160"/>
  <c r="AU34" i="160"/>
  <c r="AR34" i="160"/>
  <c r="AQ34" i="160"/>
  <c r="AI34" i="160"/>
  <c r="AH34" i="160"/>
  <c r="AG34" i="160"/>
  <c r="AF34" i="160"/>
  <c r="AC34" i="160"/>
  <c r="AB34" i="160"/>
  <c r="Y34" i="160"/>
  <c r="X34" i="160"/>
  <c r="U34" i="160"/>
  <c r="AN34" i="160" s="1"/>
  <c r="BG34" i="160" s="1"/>
  <c r="BZ34" i="160" s="1"/>
  <c r="P34" i="160"/>
  <c r="O34" i="160"/>
  <c r="N34" i="160"/>
  <c r="M34" i="160"/>
  <c r="J34" i="160"/>
  <c r="I34" i="160"/>
  <c r="F34" i="160"/>
  <c r="E34" i="160"/>
  <c r="CD33" i="160"/>
  <c r="CC33" i="160"/>
  <c r="BU33" i="160"/>
  <c r="BT33" i="160"/>
  <c r="BS33" i="160"/>
  <c r="BR33" i="160"/>
  <c r="BO33" i="160"/>
  <c r="BN33" i="160"/>
  <c r="BK33" i="160"/>
  <c r="BJ33" i="160"/>
  <c r="BB33" i="160"/>
  <c r="BA33" i="160"/>
  <c r="AZ33" i="160"/>
  <c r="AY33" i="160"/>
  <c r="AV33" i="160"/>
  <c r="AU33" i="160"/>
  <c r="AR33" i="160"/>
  <c r="AQ33" i="160"/>
  <c r="AI33" i="160"/>
  <c r="AH33" i="160"/>
  <c r="AG33" i="160"/>
  <c r="AF33" i="160"/>
  <c r="AC33" i="160"/>
  <c r="AB33" i="160"/>
  <c r="Y33" i="160"/>
  <c r="X33" i="160"/>
  <c r="U33" i="160"/>
  <c r="AN33" i="160" s="1"/>
  <c r="BG33" i="160" s="1"/>
  <c r="BZ33" i="160" s="1"/>
  <c r="P33" i="160"/>
  <c r="O33" i="160"/>
  <c r="N33" i="160"/>
  <c r="M33" i="160"/>
  <c r="J33" i="160"/>
  <c r="I33" i="160"/>
  <c r="F33" i="160"/>
  <c r="E33" i="160"/>
  <c r="CD32" i="160"/>
  <c r="CC32" i="160"/>
  <c r="BU32" i="160"/>
  <c r="BT32" i="160"/>
  <c r="BS32" i="160"/>
  <c r="BR32" i="160"/>
  <c r="BO32" i="160"/>
  <c r="BN32" i="160"/>
  <c r="BK32" i="160"/>
  <c r="BJ32" i="160"/>
  <c r="BB32" i="160"/>
  <c r="BA32" i="160"/>
  <c r="AZ32" i="160"/>
  <c r="AY32" i="160"/>
  <c r="AV32" i="160"/>
  <c r="AU32" i="160"/>
  <c r="AR32" i="160"/>
  <c r="AQ32" i="160"/>
  <c r="AI32" i="160"/>
  <c r="AH32" i="160"/>
  <c r="AG32" i="160"/>
  <c r="AF32" i="160"/>
  <c r="AC32" i="160"/>
  <c r="AB32" i="160"/>
  <c r="Y32" i="160"/>
  <c r="X32" i="160"/>
  <c r="U32" i="160"/>
  <c r="AN32" i="160" s="1"/>
  <c r="BG32" i="160" s="1"/>
  <c r="BZ32" i="160" s="1"/>
  <c r="P32" i="160"/>
  <c r="O32" i="160"/>
  <c r="N32" i="160"/>
  <c r="M32" i="160"/>
  <c r="J32" i="160"/>
  <c r="I32" i="160"/>
  <c r="F32" i="160"/>
  <c r="E32" i="160"/>
  <c r="CD31" i="160"/>
  <c r="CC31" i="160"/>
  <c r="BU31" i="160"/>
  <c r="BT31" i="160"/>
  <c r="BS31" i="160"/>
  <c r="BR31" i="160"/>
  <c r="BO31" i="160"/>
  <c r="BN31" i="160"/>
  <c r="BK31" i="160"/>
  <c r="BJ31" i="160"/>
  <c r="BB31" i="160"/>
  <c r="BA31" i="160"/>
  <c r="AZ31" i="160"/>
  <c r="AY31" i="160"/>
  <c r="AV31" i="160"/>
  <c r="AU31" i="160"/>
  <c r="AR31" i="160"/>
  <c r="AQ31" i="160"/>
  <c r="AI31" i="160"/>
  <c r="AH31" i="160"/>
  <c r="AG31" i="160"/>
  <c r="AF31" i="160"/>
  <c r="AC31" i="160"/>
  <c r="AB31" i="160"/>
  <c r="Y31" i="160"/>
  <c r="X31" i="160"/>
  <c r="U31" i="160"/>
  <c r="AN31" i="160" s="1"/>
  <c r="BG31" i="160" s="1"/>
  <c r="BZ31" i="160" s="1"/>
  <c r="P31" i="160"/>
  <c r="O31" i="160"/>
  <c r="N31" i="160"/>
  <c r="M31" i="160"/>
  <c r="J31" i="160"/>
  <c r="I31" i="160"/>
  <c r="F31" i="160"/>
  <c r="E31" i="160"/>
  <c r="CD30" i="160"/>
  <c r="CC30" i="160"/>
  <c r="BU30" i="160"/>
  <c r="BT30" i="160"/>
  <c r="BS30" i="160"/>
  <c r="BR30" i="160"/>
  <c r="BO30" i="160"/>
  <c r="BN30" i="160"/>
  <c r="BK30" i="160"/>
  <c r="BJ30" i="160"/>
  <c r="BB30" i="160"/>
  <c r="BA30" i="160"/>
  <c r="AZ30" i="160"/>
  <c r="AY30" i="160"/>
  <c r="AV30" i="160"/>
  <c r="AU30" i="160"/>
  <c r="AR30" i="160"/>
  <c r="AQ30" i="160"/>
  <c r="AI30" i="160"/>
  <c r="AH30" i="160"/>
  <c r="AG30" i="160"/>
  <c r="AF30" i="160"/>
  <c r="AC30" i="160"/>
  <c r="AB30" i="160"/>
  <c r="Y30" i="160"/>
  <c r="X30" i="160"/>
  <c r="U30" i="160"/>
  <c r="AN30" i="160" s="1"/>
  <c r="BG30" i="160" s="1"/>
  <c r="BZ30" i="160" s="1"/>
  <c r="P30" i="160"/>
  <c r="O30" i="160"/>
  <c r="N30" i="160"/>
  <c r="M30" i="160"/>
  <c r="J30" i="160"/>
  <c r="I30" i="160"/>
  <c r="F30" i="160"/>
  <c r="E30" i="160"/>
  <c r="CD29" i="160"/>
  <c r="CC29" i="160"/>
  <c r="BU29" i="160"/>
  <c r="BT29" i="160"/>
  <c r="BS29" i="160"/>
  <c r="BR29" i="160"/>
  <c r="BO29" i="160"/>
  <c r="BN29" i="160"/>
  <c r="BK29" i="160"/>
  <c r="BJ29" i="160"/>
  <c r="BB29" i="160"/>
  <c r="BA29" i="160"/>
  <c r="AZ29" i="160"/>
  <c r="AY29" i="160"/>
  <c r="AV29" i="160"/>
  <c r="AU29" i="160"/>
  <c r="AR29" i="160"/>
  <c r="AQ29" i="160"/>
  <c r="AI29" i="160"/>
  <c r="AH29" i="160"/>
  <c r="AG29" i="160"/>
  <c r="AF29" i="160"/>
  <c r="AC29" i="160"/>
  <c r="AB29" i="160"/>
  <c r="Y29" i="160"/>
  <c r="X29" i="160"/>
  <c r="U29" i="160"/>
  <c r="AN29" i="160" s="1"/>
  <c r="BG29" i="160" s="1"/>
  <c r="BZ29" i="160" s="1"/>
  <c r="P29" i="160"/>
  <c r="O29" i="160"/>
  <c r="N29" i="160"/>
  <c r="M29" i="160"/>
  <c r="J29" i="160"/>
  <c r="I29" i="160"/>
  <c r="F29" i="160"/>
  <c r="E29" i="160"/>
  <c r="CD28" i="160"/>
  <c r="CC28" i="160"/>
  <c r="BU28" i="160"/>
  <c r="BT28" i="160"/>
  <c r="BS28" i="160"/>
  <c r="BR28" i="160"/>
  <c r="BO28" i="160"/>
  <c r="BN28" i="160"/>
  <c r="BK28" i="160"/>
  <c r="BJ28" i="160"/>
  <c r="BB28" i="160"/>
  <c r="BA28" i="160"/>
  <c r="AZ28" i="160"/>
  <c r="AY28" i="160"/>
  <c r="AV28" i="160"/>
  <c r="AU28" i="160"/>
  <c r="AR28" i="160"/>
  <c r="AQ28" i="160"/>
  <c r="AI28" i="160"/>
  <c r="AH28" i="160"/>
  <c r="AG28" i="160"/>
  <c r="AF28" i="160"/>
  <c r="AC28" i="160"/>
  <c r="AB28" i="160"/>
  <c r="Y28" i="160"/>
  <c r="X28" i="160"/>
  <c r="U28" i="160"/>
  <c r="AN28" i="160" s="1"/>
  <c r="BG28" i="160" s="1"/>
  <c r="BZ28" i="160" s="1"/>
  <c r="P28" i="160"/>
  <c r="O28" i="160"/>
  <c r="M28" i="160"/>
  <c r="J28" i="160"/>
  <c r="I28" i="160"/>
  <c r="F28" i="160"/>
  <c r="E28" i="160"/>
  <c r="CD27" i="160"/>
  <c r="CC27" i="160"/>
  <c r="BU27" i="160"/>
  <c r="BT27" i="160"/>
  <c r="BS27" i="160"/>
  <c r="BR27" i="160"/>
  <c r="BO27" i="160"/>
  <c r="BN27" i="160"/>
  <c r="BK27" i="160"/>
  <c r="BJ27" i="160"/>
  <c r="BB27" i="160"/>
  <c r="BA27" i="160"/>
  <c r="AZ27" i="160"/>
  <c r="AY27" i="160"/>
  <c r="AV27" i="160"/>
  <c r="AU27" i="160"/>
  <c r="AR27" i="160"/>
  <c r="AQ27" i="160"/>
  <c r="AI27" i="160"/>
  <c r="AH27" i="160"/>
  <c r="AG27" i="160"/>
  <c r="AF27" i="160"/>
  <c r="AC27" i="160"/>
  <c r="AB27" i="160"/>
  <c r="Y27" i="160"/>
  <c r="X27" i="160"/>
  <c r="U27" i="160"/>
  <c r="AN27" i="160" s="1"/>
  <c r="BG27" i="160" s="1"/>
  <c r="BZ27" i="160" s="1"/>
  <c r="P27" i="160"/>
  <c r="O27" i="160"/>
  <c r="N27" i="160"/>
  <c r="M27" i="160"/>
  <c r="J27" i="160"/>
  <c r="I27" i="160"/>
  <c r="F27" i="160"/>
  <c r="E27" i="160"/>
  <c r="CD26" i="160"/>
  <c r="CC26" i="160"/>
  <c r="BU26" i="160"/>
  <c r="BT26" i="160"/>
  <c r="BS26" i="160"/>
  <c r="BR26" i="160"/>
  <c r="BO26" i="160"/>
  <c r="BN26" i="160"/>
  <c r="BK26" i="160"/>
  <c r="BJ26" i="160"/>
  <c r="BB26" i="160"/>
  <c r="BA26" i="160"/>
  <c r="AZ26" i="160"/>
  <c r="AY26" i="160"/>
  <c r="AV26" i="160"/>
  <c r="AU26" i="160"/>
  <c r="AR26" i="160"/>
  <c r="AQ26" i="160"/>
  <c r="AI26" i="160"/>
  <c r="AH26" i="160"/>
  <c r="AG26" i="160"/>
  <c r="AF26" i="160"/>
  <c r="AC26" i="160"/>
  <c r="AB26" i="160"/>
  <c r="Y26" i="160"/>
  <c r="X26" i="160"/>
  <c r="U26" i="160"/>
  <c r="AN26" i="160" s="1"/>
  <c r="BG26" i="160" s="1"/>
  <c r="BZ26" i="160" s="1"/>
  <c r="P26" i="160"/>
  <c r="O26" i="160"/>
  <c r="N26" i="160"/>
  <c r="M26" i="160"/>
  <c r="J26" i="160"/>
  <c r="I26" i="160"/>
  <c r="F26" i="160"/>
  <c r="E26" i="160"/>
  <c r="CD25" i="160"/>
  <c r="CC25" i="160"/>
  <c r="BU25" i="160"/>
  <c r="BT25" i="160"/>
  <c r="BS25" i="160"/>
  <c r="BR25" i="160"/>
  <c r="BO25" i="160"/>
  <c r="BN25" i="160"/>
  <c r="BK25" i="160"/>
  <c r="BJ25" i="160"/>
  <c r="BB25" i="160"/>
  <c r="BA25" i="160"/>
  <c r="AZ25" i="160"/>
  <c r="AY25" i="160"/>
  <c r="AV25" i="160"/>
  <c r="AU25" i="160"/>
  <c r="AR25" i="160"/>
  <c r="AQ25" i="160"/>
  <c r="AI25" i="160"/>
  <c r="AH25" i="160"/>
  <c r="AG25" i="160"/>
  <c r="AF25" i="160"/>
  <c r="AC25" i="160"/>
  <c r="AB25" i="160"/>
  <c r="Y25" i="160"/>
  <c r="X25" i="160"/>
  <c r="U25" i="160"/>
  <c r="AN25" i="160" s="1"/>
  <c r="BG25" i="160" s="1"/>
  <c r="BZ25" i="160" s="1"/>
  <c r="P25" i="160"/>
  <c r="O25" i="160"/>
  <c r="N25" i="160"/>
  <c r="M25" i="160"/>
  <c r="J25" i="160"/>
  <c r="I25" i="160"/>
  <c r="F25" i="160"/>
  <c r="E25" i="160"/>
  <c r="CD24" i="160"/>
  <c r="CC24" i="160"/>
  <c r="BU24" i="160"/>
  <c r="BT24" i="160"/>
  <c r="BS24" i="160"/>
  <c r="BR24" i="160"/>
  <c r="BO24" i="160"/>
  <c r="BN24" i="160"/>
  <c r="BK24" i="160"/>
  <c r="BJ24" i="160"/>
  <c r="BB24" i="160"/>
  <c r="BA24" i="160"/>
  <c r="AZ24" i="160"/>
  <c r="AY24" i="160"/>
  <c r="AV24" i="160"/>
  <c r="AU24" i="160"/>
  <c r="AR24" i="160"/>
  <c r="AQ24" i="160"/>
  <c r="AI24" i="160"/>
  <c r="AH24" i="160"/>
  <c r="AG24" i="160"/>
  <c r="AF24" i="160"/>
  <c r="AC24" i="160"/>
  <c r="AB24" i="160"/>
  <c r="Y24" i="160"/>
  <c r="X24" i="160"/>
  <c r="U24" i="160"/>
  <c r="AN24" i="160" s="1"/>
  <c r="BG24" i="160" s="1"/>
  <c r="BZ24" i="160" s="1"/>
  <c r="P24" i="160"/>
  <c r="O24" i="160"/>
  <c r="N24" i="160"/>
  <c r="M24" i="160"/>
  <c r="J24" i="160"/>
  <c r="I24" i="160"/>
  <c r="F24" i="160"/>
  <c r="E24" i="160"/>
  <c r="CD23" i="160"/>
  <c r="CC23" i="160"/>
  <c r="BU23" i="160"/>
  <c r="BT23" i="160"/>
  <c r="BS23" i="160"/>
  <c r="BR23" i="160"/>
  <c r="BO23" i="160"/>
  <c r="BN23" i="160"/>
  <c r="BK23" i="160"/>
  <c r="BJ23" i="160"/>
  <c r="BB23" i="160"/>
  <c r="BA23" i="160"/>
  <c r="AZ23" i="160"/>
  <c r="AY23" i="160"/>
  <c r="AV23" i="160"/>
  <c r="AU23" i="160"/>
  <c r="AR23" i="160"/>
  <c r="AQ23" i="160"/>
  <c r="AI23" i="160"/>
  <c r="AH23" i="160"/>
  <c r="AG23" i="160"/>
  <c r="AF23" i="160"/>
  <c r="AC23" i="160"/>
  <c r="AB23" i="160"/>
  <c r="Y23" i="160"/>
  <c r="X23" i="160"/>
  <c r="U23" i="160"/>
  <c r="AN23" i="160" s="1"/>
  <c r="BG23" i="160" s="1"/>
  <c r="BZ23" i="160" s="1"/>
  <c r="P23" i="160"/>
  <c r="O23" i="160"/>
  <c r="N23" i="160"/>
  <c r="M23" i="160"/>
  <c r="J23" i="160"/>
  <c r="I23" i="160"/>
  <c r="F23" i="160"/>
  <c r="E23" i="160"/>
  <c r="CD22" i="160"/>
  <c r="CC22" i="160"/>
  <c r="BU22" i="160"/>
  <c r="BT22" i="160"/>
  <c r="BS22" i="160"/>
  <c r="BR22" i="160"/>
  <c r="BO22" i="160"/>
  <c r="BN22" i="160"/>
  <c r="BK22" i="160"/>
  <c r="BJ22" i="160"/>
  <c r="BB22" i="160"/>
  <c r="BA22" i="160"/>
  <c r="AZ22" i="160"/>
  <c r="AY22" i="160"/>
  <c r="AV22" i="160"/>
  <c r="AU22" i="160"/>
  <c r="AR22" i="160"/>
  <c r="AQ22" i="160"/>
  <c r="AI22" i="160"/>
  <c r="AH22" i="160"/>
  <c r="AG22" i="160"/>
  <c r="AF22" i="160"/>
  <c r="AC22" i="160"/>
  <c r="AB22" i="160"/>
  <c r="Y22" i="160"/>
  <c r="X22" i="160"/>
  <c r="U22" i="160"/>
  <c r="AN22" i="160" s="1"/>
  <c r="BG22" i="160" s="1"/>
  <c r="BZ22" i="160" s="1"/>
  <c r="P22" i="160"/>
  <c r="O22" i="160"/>
  <c r="N22" i="160"/>
  <c r="M22" i="160"/>
  <c r="J22" i="160"/>
  <c r="I22" i="160"/>
  <c r="F22" i="160"/>
  <c r="E22" i="160"/>
  <c r="CD21" i="160"/>
  <c r="CC21" i="160"/>
  <c r="BU21" i="160"/>
  <c r="BT21" i="160"/>
  <c r="BS21" i="160"/>
  <c r="BR21" i="160"/>
  <c r="BO21" i="160"/>
  <c r="BN21" i="160"/>
  <c r="BK21" i="160"/>
  <c r="BJ21" i="160"/>
  <c r="BB21" i="160"/>
  <c r="BA21" i="160"/>
  <c r="AZ21" i="160"/>
  <c r="AY21" i="160"/>
  <c r="AV21" i="160"/>
  <c r="AU21" i="160"/>
  <c r="AR21" i="160"/>
  <c r="AQ21" i="160"/>
  <c r="AI21" i="160"/>
  <c r="AH21" i="160"/>
  <c r="AG21" i="160"/>
  <c r="AF21" i="160"/>
  <c r="AC21" i="160"/>
  <c r="AB21" i="160"/>
  <c r="Y21" i="160"/>
  <c r="X21" i="160"/>
  <c r="U21" i="160"/>
  <c r="AN21" i="160" s="1"/>
  <c r="BG21" i="160" s="1"/>
  <c r="BZ21" i="160" s="1"/>
  <c r="P21" i="160"/>
  <c r="O21" i="160"/>
  <c r="N21" i="160"/>
  <c r="M21" i="160"/>
  <c r="J21" i="160"/>
  <c r="I21" i="160"/>
  <c r="F21" i="160"/>
  <c r="E21" i="160"/>
  <c r="CD20" i="160"/>
  <c r="CC20" i="160"/>
  <c r="BU20" i="160"/>
  <c r="BT20" i="160"/>
  <c r="BS20" i="160"/>
  <c r="BR20" i="160"/>
  <c r="BO20" i="160"/>
  <c r="BN20" i="160"/>
  <c r="BK20" i="160"/>
  <c r="BJ20" i="160"/>
  <c r="BB20" i="160"/>
  <c r="BA20" i="160"/>
  <c r="AZ20" i="160"/>
  <c r="AY20" i="160"/>
  <c r="AV20" i="160"/>
  <c r="AU20" i="160"/>
  <c r="AR20" i="160"/>
  <c r="AQ20" i="160"/>
  <c r="AI20" i="160"/>
  <c r="AH20" i="160"/>
  <c r="AG20" i="160"/>
  <c r="AF20" i="160"/>
  <c r="AC20" i="160"/>
  <c r="AB20" i="160"/>
  <c r="Y20" i="160"/>
  <c r="X20" i="160"/>
  <c r="U20" i="160"/>
  <c r="AN20" i="160" s="1"/>
  <c r="BG20" i="160" s="1"/>
  <c r="BZ20" i="160" s="1"/>
  <c r="P20" i="160"/>
  <c r="O20" i="160"/>
  <c r="N20" i="160"/>
  <c r="M20" i="160"/>
  <c r="J20" i="160"/>
  <c r="I20" i="160"/>
  <c r="F20" i="160"/>
  <c r="E20" i="160"/>
  <c r="CD19" i="160"/>
  <c r="CC19" i="160"/>
  <c r="BU19" i="160"/>
  <c r="BT19" i="160"/>
  <c r="BS19" i="160"/>
  <c r="BR19" i="160"/>
  <c r="BO19" i="160"/>
  <c r="BN19" i="160"/>
  <c r="BK19" i="160"/>
  <c r="BJ19" i="160"/>
  <c r="BB19" i="160"/>
  <c r="BA19" i="160"/>
  <c r="AZ19" i="160"/>
  <c r="AY19" i="160"/>
  <c r="AV19" i="160"/>
  <c r="AU19" i="160"/>
  <c r="AR19" i="160"/>
  <c r="AQ19" i="160"/>
  <c r="AI19" i="160"/>
  <c r="AH19" i="160"/>
  <c r="AG19" i="160"/>
  <c r="AF19" i="160"/>
  <c r="AC19" i="160"/>
  <c r="AB19" i="160"/>
  <c r="Y19" i="160"/>
  <c r="X19" i="160"/>
  <c r="U19" i="160"/>
  <c r="AN19" i="160" s="1"/>
  <c r="BG19" i="160" s="1"/>
  <c r="BZ19" i="160" s="1"/>
  <c r="P19" i="160"/>
  <c r="O19" i="160"/>
  <c r="N19" i="160"/>
  <c r="M19" i="160"/>
  <c r="J19" i="160"/>
  <c r="I19" i="160"/>
  <c r="F19" i="160"/>
  <c r="E19" i="160"/>
  <c r="CD18" i="160"/>
  <c r="CC18" i="160"/>
  <c r="BU18" i="160"/>
  <c r="BT18" i="160"/>
  <c r="BS18" i="160"/>
  <c r="BR18" i="160"/>
  <c r="BO18" i="160"/>
  <c r="BN18" i="160"/>
  <c r="BK18" i="160"/>
  <c r="BJ18" i="160"/>
  <c r="BB18" i="160"/>
  <c r="BA18" i="160"/>
  <c r="AZ18" i="160"/>
  <c r="AY18" i="160"/>
  <c r="AV18" i="160"/>
  <c r="AU18" i="160"/>
  <c r="AR18" i="160"/>
  <c r="AQ18" i="160"/>
  <c r="AI18" i="160"/>
  <c r="AH18" i="160"/>
  <c r="AG18" i="160"/>
  <c r="AF18" i="160"/>
  <c r="AC18" i="160"/>
  <c r="AB18" i="160"/>
  <c r="Y18" i="160"/>
  <c r="X18" i="160"/>
  <c r="U18" i="160"/>
  <c r="AN18" i="160" s="1"/>
  <c r="BG18" i="160" s="1"/>
  <c r="BZ18" i="160" s="1"/>
  <c r="P18" i="160"/>
  <c r="O18" i="160"/>
  <c r="N18" i="160"/>
  <c r="M18" i="160"/>
  <c r="J18" i="160"/>
  <c r="I18" i="160"/>
  <c r="F18" i="160"/>
  <c r="E18" i="160"/>
  <c r="CD17" i="160"/>
  <c r="CC17" i="160"/>
  <c r="BU17" i="160"/>
  <c r="BT17" i="160"/>
  <c r="BS17" i="160"/>
  <c r="BR17" i="160"/>
  <c r="BO17" i="160"/>
  <c r="BN17" i="160"/>
  <c r="BK17" i="160"/>
  <c r="BJ17" i="160"/>
  <c r="BB17" i="160"/>
  <c r="BA17" i="160"/>
  <c r="AZ17" i="160"/>
  <c r="AY17" i="160"/>
  <c r="AV17" i="160"/>
  <c r="AU17" i="160"/>
  <c r="AR17" i="160"/>
  <c r="AQ17" i="160"/>
  <c r="AI17" i="160"/>
  <c r="AH17" i="160"/>
  <c r="AG17" i="160"/>
  <c r="AF17" i="160"/>
  <c r="AC17" i="160"/>
  <c r="AB17" i="160"/>
  <c r="Y17" i="160"/>
  <c r="X17" i="160"/>
  <c r="U17" i="160"/>
  <c r="AN17" i="160" s="1"/>
  <c r="BG17" i="160" s="1"/>
  <c r="BZ17" i="160" s="1"/>
  <c r="P17" i="160"/>
  <c r="O17" i="160"/>
  <c r="N17" i="160"/>
  <c r="M17" i="160"/>
  <c r="J17" i="160"/>
  <c r="I17" i="160"/>
  <c r="F17" i="160"/>
  <c r="E17" i="160"/>
  <c r="CD16" i="160"/>
  <c r="CC16" i="160"/>
  <c r="BU16" i="160"/>
  <c r="BW16" i="160" s="1"/>
  <c r="BT16" i="160"/>
  <c r="BS16" i="160"/>
  <c r="BR16" i="160"/>
  <c r="BO16" i="160"/>
  <c r="BN16" i="160"/>
  <c r="BK16" i="160"/>
  <c r="BJ16" i="160"/>
  <c r="BB16" i="160"/>
  <c r="BD16" i="160" s="1"/>
  <c r="BA16" i="160"/>
  <c r="AZ16" i="160"/>
  <c r="AY16" i="160"/>
  <c r="AV16" i="160"/>
  <c r="AU16" i="160"/>
  <c r="AR16" i="160"/>
  <c r="AQ16" i="160"/>
  <c r="AI16" i="160"/>
  <c r="AK16" i="160" s="1"/>
  <c r="AH16" i="160"/>
  <c r="AG16" i="160"/>
  <c r="AF16" i="160"/>
  <c r="AC16" i="160"/>
  <c r="AB16" i="160"/>
  <c r="Y16" i="160"/>
  <c r="X16" i="160"/>
  <c r="U16" i="160"/>
  <c r="AN16" i="160" s="1"/>
  <c r="BG16" i="160" s="1"/>
  <c r="BZ16" i="160" s="1"/>
  <c r="P16" i="160"/>
  <c r="R16" i="160" s="1"/>
  <c r="O16" i="160"/>
  <c r="N16" i="160"/>
  <c r="M16" i="160"/>
  <c r="J16" i="160"/>
  <c r="I16" i="160"/>
  <c r="F16" i="160"/>
  <c r="E16" i="160"/>
  <c r="CD15" i="160"/>
  <c r="CC15" i="160"/>
  <c r="BU15" i="160"/>
  <c r="BT15" i="160"/>
  <c r="BS15" i="160"/>
  <c r="BR15" i="160"/>
  <c r="BO15" i="160"/>
  <c r="BN15" i="160"/>
  <c r="BK15" i="160"/>
  <c r="BJ15" i="160"/>
  <c r="BB15" i="160"/>
  <c r="BA15" i="160"/>
  <c r="AZ15" i="160"/>
  <c r="AY15" i="160"/>
  <c r="AV15" i="160"/>
  <c r="AU15" i="160"/>
  <c r="AR15" i="160"/>
  <c r="AQ15" i="160"/>
  <c r="AI15" i="160"/>
  <c r="AH15" i="160"/>
  <c r="AG15" i="160"/>
  <c r="AF15" i="160"/>
  <c r="AC15" i="160"/>
  <c r="AB15" i="160"/>
  <c r="Y15" i="160"/>
  <c r="X15" i="160"/>
  <c r="U15" i="160"/>
  <c r="AN15" i="160" s="1"/>
  <c r="BG15" i="160" s="1"/>
  <c r="BZ15" i="160" s="1"/>
  <c r="P15" i="160"/>
  <c r="O15" i="160"/>
  <c r="N15" i="160"/>
  <c r="M15" i="160"/>
  <c r="J15" i="160"/>
  <c r="I15" i="160"/>
  <c r="F15" i="160"/>
  <c r="E15" i="160"/>
  <c r="CD14" i="160"/>
  <c r="CC14" i="160"/>
  <c r="BU14" i="160"/>
  <c r="BT14" i="160"/>
  <c r="BS14" i="160"/>
  <c r="BR14" i="160"/>
  <c r="BO14" i="160"/>
  <c r="BN14" i="160"/>
  <c r="BK14" i="160"/>
  <c r="BJ14" i="160"/>
  <c r="BB14" i="160"/>
  <c r="BA14" i="160"/>
  <c r="AZ14" i="160"/>
  <c r="AY14" i="160"/>
  <c r="AV14" i="160"/>
  <c r="AU14" i="160"/>
  <c r="AR14" i="160"/>
  <c r="AQ14" i="160"/>
  <c r="AI14" i="160"/>
  <c r="AH14" i="160"/>
  <c r="AG14" i="160"/>
  <c r="AF14" i="160"/>
  <c r="AC14" i="160"/>
  <c r="AB14" i="160"/>
  <c r="Y14" i="160"/>
  <c r="X14" i="160"/>
  <c r="U14" i="160"/>
  <c r="AN14" i="160" s="1"/>
  <c r="BG14" i="160" s="1"/>
  <c r="BZ14" i="160" s="1"/>
  <c r="P14" i="160"/>
  <c r="O14" i="160"/>
  <c r="N14" i="160"/>
  <c r="M14" i="160"/>
  <c r="J14" i="160"/>
  <c r="I14" i="160"/>
  <c r="F14" i="160"/>
  <c r="E14" i="160"/>
  <c r="CD13" i="160"/>
  <c r="CC13" i="160"/>
  <c r="BU13" i="160"/>
  <c r="BT13" i="160"/>
  <c r="BS13" i="160"/>
  <c r="BR13" i="160"/>
  <c r="BO13" i="160"/>
  <c r="BN13" i="160"/>
  <c r="BK13" i="160"/>
  <c r="BJ13" i="160"/>
  <c r="BB13" i="160"/>
  <c r="BA13" i="160"/>
  <c r="AZ13" i="160"/>
  <c r="AY13" i="160"/>
  <c r="AV13" i="160"/>
  <c r="AU13" i="160"/>
  <c r="AR13" i="160"/>
  <c r="AQ13" i="160"/>
  <c r="AI13" i="160"/>
  <c r="AH13" i="160"/>
  <c r="AG13" i="160"/>
  <c r="AF13" i="160"/>
  <c r="AC13" i="160"/>
  <c r="AB13" i="160"/>
  <c r="Y13" i="160"/>
  <c r="X13" i="160"/>
  <c r="U13" i="160"/>
  <c r="AN13" i="160" s="1"/>
  <c r="BG13" i="160" s="1"/>
  <c r="BZ13" i="160" s="1"/>
  <c r="P13" i="160"/>
  <c r="O13" i="160"/>
  <c r="N13" i="160"/>
  <c r="M13" i="160"/>
  <c r="J13" i="160"/>
  <c r="I13" i="160"/>
  <c r="F13" i="160"/>
  <c r="E13" i="160"/>
  <c r="CD12" i="160"/>
  <c r="CC12" i="160"/>
  <c r="BU12" i="160"/>
  <c r="BT12" i="160"/>
  <c r="BS12" i="160"/>
  <c r="BR12" i="160"/>
  <c r="BO12" i="160"/>
  <c r="BN12" i="160"/>
  <c r="BK12" i="160"/>
  <c r="BJ12" i="160"/>
  <c r="BB12" i="160"/>
  <c r="BA12" i="160"/>
  <c r="AZ12" i="160"/>
  <c r="AY12" i="160"/>
  <c r="AV12" i="160"/>
  <c r="AU12" i="160"/>
  <c r="AR12" i="160"/>
  <c r="AQ12" i="160"/>
  <c r="AI12" i="160"/>
  <c r="AH12" i="160"/>
  <c r="AG12" i="160"/>
  <c r="AF12" i="160"/>
  <c r="AC12" i="160"/>
  <c r="AB12" i="160"/>
  <c r="Y12" i="160"/>
  <c r="X12" i="160"/>
  <c r="U12" i="160"/>
  <c r="AN12" i="160" s="1"/>
  <c r="BG12" i="160" s="1"/>
  <c r="BZ12" i="160" s="1"/>
  <c r="P12" i="160"/>
  <c r="O12" i="160"/>
  <c r="N12" i="160"/>
  <c r="M12" i="160"/>
  <c r="J12" i="160"/>
  <c r="I12" i="160"/>
  <c r="F12" i="160"/>
  <c r="E12" i="160"/>
  <c r="CD11" i="160"/>
  <c r="CC11" i="160"/>
  <c r="BU11" i="160"/>
  <c r="BT11" i="160"/>
  <c r="BS11" i="160"/>
  <c r="BR11" i="160"/>
  <c r="BO11" i="160"/>
  <c r="BN11" i="160"/>
  <c r="BK11" i="160"/>
  <c r="BJ11" i="160"/>
  <c r="BB11" i="160"/>
  <c r="BA11" i="160"/>
  <c r="AZ11" i="160"/>
  <c r="AY11" i="160"/>
  <c r="AV11" i="160"/>
  <c r="AU11" i="160"/>
  <c r="AR11" i="160"/>
  <c r="AQ11" i="160"/>
  <c r="AI11" i="160"/>
  <c r="AH11" i="160"/>
  <c r="AG11" i="160"/>
  <c r="AF11" i="160"/>
  <c r="AC11" i="160"/>
  <c r="AB11" i="160"/>
  <c r="Y11" i="160"/>
  <c r="X11" i="160"/>
  <c r="U11" i="160"/>
  <c r="AN11" i="160" s="1"/>
  <c r="BG11" i="160" s="1"/>
  <c r="BZ11" i="160" s="1"/>
  <c r="P11" i="160"/>
  <c r="O11" i="160"/>
  <c r="N11" i="160"/>
  <c r="M11" i="160"/>
  <c r="J11" i="160"/>
  <c r="I11" i="160"/>
  <c r="F11" i="160"/>
  <c r="E11" i="160"/>
  <c r="CD10" i="160"/>
  <c r="CC10" i="160"/>
  <c r="BU10" i="160"/>
  <c r="BT10" i="160"/>
  <c r="BS10" i="160"/>
  <c r="BR10" i="160"/>
  <c r="BO10" i="160"/>
  <c r="BN10" i="160"/>
  <c r="BK10" i="160"/>
  <c r="BJ10" i="160"/>
  <c r="BB10" i="160"/>
  <c r="BA10" i="160"/>
  <c r="AZ10" i="160"/>
  <c r="AY10" i="160"/>
  <c r="AV10" i="160"/>
  <c r="AU10" i="160"/>
  <c r="AR10" i="160"/>
  <c r="AQ10" i="160"/>
  <c r="AI10" i="160"/>
  <c r="AH10" i="160"/>
  <c r="AG10" i="160"/>
  <c r="AF10" i="160"/>
  <c r="AC10" i="160"/>
  <c r="AB10" i="160"/>
  <c r="Y10" i="160"/>
  <c r="X10" i="160"/>
  <c r="U10" i="160"/>
  <c r="AN10" i="160" s="1"/>
  <c r="BG10" i="160" s="1"/>
  <c r="BZ10" i="160" s="1"/>
  <c r="P10" i="160"/>
  <c r="O10" i="160"/>
  <c r="N10" i="160"/>
  <c r="M10" i="160"/>
  <c r="J10" i="160"/>
  <c r="I10" i="160"/>
  <c r="F10" i="160"/>
  <c r="E10" i="160"/>
  <c r="CD9" i="160"/>
  <c r="CC9" i="160"/>
  <c r="BU9" i="160"/>
  <c r="BW9" i="160" s="1"/>
  <c r="BT9" i="160"/>
  <c r="BS9" i="160"/>
  <c r="BR9" i="160"/>
  <c r="BO9" i="160"/>
  <c r="BN9" i="160"/>
  <c r="BK9" i="160"/>
  <c r="BJ9" i="160"/>
  <c r="BB9" i="160"/>
  <c r="BC9" i="160" s="1"/>
  <c r="BA9" i="160"/>
  <c r="AZ9" i="160"/>
  <c r="AY9" i="160"/>
  <c r="AV9" i="160"/>
  <c r="AU9" i="160"/>
  <c r="AR9" i="160"/>
  <c r="AQ9" i="160"/>
  <c r="AI9" i="160"/>
  <c r="AK9" i="160" s="1"/>
  <c r="AH9" i="160"/>
  <c r="AG9" i="160"/>
  <c r="AF9" i="160"/>
  <c r="AC9" i="160"/>
  <c r="AB9" i="160"/>
  <c r="Y9" i="160"/>
  <c r="X9" i="160"/>
  <c r="U9" i="160"/>
  <c r="AN9" i="160" s="1"/>
  <c r="BG9" i="160" s="1"/>
  <c r="BZ9" i="160" s="1"/>
  <c r="P9" i="160"/>
  <c r="R9" i="160" s="1"/>
  <c r="O9" i="160"/>
  <c r="N9" i="160"/>
  <c r="M9" i="160"/>
  <c r="J9" i="160"/>
  <c r="I9" i="160"/>
  <c r="F9" i="160"/>
  <c r="E9" i="160"/>
  <c r="CD8" i="160"/>
  <c r="CC8" i="160"/>
  <c r="BY8" i="160"/>
  <c r="BY9" i="160" s="1"/>
  <c r="BY10" i="160" s="1"/>
  <c r="BY11" i="160" s="1"/>
  <c r="BY12" i="160" s="1"/>
  <c r="BY13" i="160" s="1"/>
  <c r="BY14" i="160" s="1"/>
  <c r="BY15" i="160" s="1"/>
  <c r="BY16" i="160" s="1"/>
  <c r="BY17" i="160" s="1"/>
  <c r="BY18" i="160" s="1"/>
  <c r="BY19" i="160" s="1"/>
  <c r="BY20" i="160" s="1"/>
  <c r="BY21" i="160" s="1"/>
  <c r="BY22" i="160" s="1"/>
  <c r="BY23" i="160" s="1"/>
  <c r="BY24" i="160" s="1"/>
  <c r="BY25" i="160" s="1"/>
  <c r="BY26" i="160" s="1"/>
  <c r="BY27" i="160" s="1"/>
  <c r="BY28" i="160" s="1"/>
  <c r="BY29" i="160" s="1"/>
  <c r="BY30" i="160" s="1"/>
  <c r="BY31" i="160" s="1"/>
  <c r="BY32" i="160" s="1"/>
  <c r="BY33" i="160" s="1"/>
  <c r="BY34" i="160" s="1"/>
  <c r="BY35" i="160" s="1"/>
  <c r="BY36" i="160" s="1"/>
  <c r="BU8" i="160"/>
  <c r="BT8" i="160"/>
  <c r="BS8" i="160"/>
  <c r="BR8" i="160"/>
  <c r="BO8" i="160"/>
  <c r="BN8" i="160"/>
  <c r="BK8" i="160"/>
  <c r="BJ8" i="160"/>
  <c r="BF8" i="160"/>
  <c r="BF9" i="160" s="1"/>
  <c r="BF10" i="160" s="1"/>
  <c r="BF11" i="160" s="1"/>
  <c r="BF12" i="160" s="1"/>
  <c r="BF13" i="160" s="1"/>
  <c r="BF14" i="160" s="1"/>
  <c r="BF15" i="160" s="1"/>
  <c r="BF16" i="160" s="1"/>
  <c r="BF17" i="160" s="1"/>
  <c r="BF18" i="160" s="1"/>
  <c r="BF19" i="160" s="1"/>
  <c r="BF20" i="160" s="1"/>
  <c r="BF21" i="160" s="1"/>
  <c r="BF22" i="160" s="1"/>
  <c r="BF23" i="160" s="1"/>
  <c r="BF24" i="160" s="1"/>
  <c r="BF25" i="160" s="1"/>
  <c r="BF26" i="160" s="1"/>
  <c r="BF27" i="160" s="1"/>
  <c r="BF28" i="160" s="1"/>
  <c r="BF29" i="160" s="1"/>
  <c r="BF30" i="160" s="1"/>
  <c r="BF31" i="160" s="1"/>
  <c r="BF32" i="160" s="1"/>
  <c r="BF33" i="160" s="1"/>
  <c r="BF34" i="160" s="1"/>
  <c r="BF35" i="160" s="1"/>
  <c r="BF36" i="160" s="1"/>
  <c r="BB8" i="160"/>
  <c r="BA8" i="160"/>
  <c r="AZ8" i="160"/>
  <c r="AY8" i="160"/>
  <c r="AV8" i="160"/>
  <c r="AU8" i="160"/>
  <c r="AR8" i="160"/>
  <c r="AQ8" i="160"/>
  <c r="AM8" i="160"/>
  <c r="AM9" i="160" s="1"/>
  <c r="AM10" i="160" s="1"/>
  <c r="AM11" i="160" s="1"/>
  <c r="AM12" i="160" s="1"/>
  <c r="AM13" i="160" s="1"/>
  <c r="AM14" i="160" s="1"/>
  <c r="AM15" i="160" s="1"/>
  <c r="AM16" i="160" s="1"/>
  <c r="AM17" i="160" s="1"/>
  <c r="AM18" i="160" s="1"/>
  <c r="AM19" i="160" s="1"/>
  <c r="AM20" i="160" s="1"/>
  <c r="AM21" i="160" s="1"/>
  <c r="AM22" i="160" s="1"/>
  <c r="AM23" i="160" s="1"/>
  <c r="AM24" i="160" s="1"/>
  <c r="AM25" i="160" s="1"/>
  <c r="AM26" i="160" s="1"/>
  <c r="AM27" i="160" s="1"/>
  <c r="AM28" i="160" s="1"/>
  <c r="AM29" i="160" s="1"/>
  <c r="AM30" i="160" s="1"/>
  <c r="AM31" i="160" s="1"/>
  <c r="AM32" i="160" s="1"/>
  <c r="AM33" i="160" s="1"/>
  <c r="AM34" i="160" s="1"/>
  <c r="AM35" i="160" s="1"/>
  <c r="AM36" i="160" s="1"/>
  <c r="AI8" i="160"/>
  <c r="AH8" i="160"/>
  <c r="AG8" i="160"/>
  <c r="AF8" i="160"/>
  <c r="AC8" i="160"/>
  <c r="AB8" i="160"/>
  <c r="Y8" i="160"/>
  <c r="X8" i="160"/>
  <c r="U8" i="160"/>
  <c r="AN8" i="160" s="1"/>
  <c r="BG8" i="160" s="1"/>
  <c r="BZ8" i="160" s="1"/>
  <c r="T8" i="160"/>
  <c r="T9" i="160" s="1"/>
  <c r="T10" i="160" s="1"/>
  <c r="T11" i="160" s="1"/>
  <c r="T12" i="160" s="1"/>
  <c r="T13" i="160" s="1"/>
  <c r="T14" i="160" s="1"/>
  <c r="T15" i="160" s="1"/>
  <c r="T16" i="160" s="1"/>
  <c r="T17" i="160" s="1"/>
  <c r="T18" i="160" s="1"/>
  <c r="T19" i="160" s="1"/>
  <c r="T20" i="160" s="1"/>
  <c r="T21" i="160" s="1"/>
  <c r="T22" i="160" s="1"/>
  <c r="T23" i="160" s="1"/>
  <c r="T24" i="160" s="1"/>
  <c r="T25" i="160" s="1"/>
  <c r="T26" i="160" s="1"/>
  <c r="T27" i="160" s="1"/>
  <c r="T28" i="160" s="1"/>
  <c r="T29" i="160" s="1"/>
  <c r="T30" i="160" s="1"/>
  <c r="T31" i="160" s="1"/>
  <c r="T32" i="160" s="1"/>
  <c r="T33" i="160" s="1"/>
  <c r="T34" i="160" s="1"/>
  <c r="T35" i="160" s="1"/>
  <c r="T36" i="160" s="1"/>
  <c r="P8" i="160"/>
  <c r="O8" i="160"/>
  <c r="N8" i="160"/>
  <c r="M8" i="160"/>
  <c r="J8" i="160"/>
  <c r="I8" i="160"/>
  <c r="F8" i="160"/>
  <c r="E8" i="160"/>
  <c r="A8" i="160"/>
  <c r="A9" i="160" s="1"/>
  <c r="A10" i="160" s="1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CD7" i="160"/>
  <c r="CC7" i="160"/>
  <c r="BU7" i="160"/>
  <c r="BT7" i="160"/>
  <c r="BS7" i="160"/>
  <c r="BR7" i="160"/>
  <c r="BO7" i="160"/>
  <c r="BN7" i="160"/>
  <c r="BK7" i="160"/>
  <c r="BJ7" i="160"/>
  <c r="BB7" i="160"/>
  <c r="BA7" i="160"/>
  <c r="AZ7" i="160"/>
  <c r="AY7" i="160"/>
  <c r="AV7" i="160"/>
  <c r="AU7" i="160"/>
  <c r="AR7" i="160"/>
  <c r="AQ7" i="160"/>
  <c r="AI7" i="160"/>
  <c r="AH7" i="160"/>
  <c r="AG7" i="160"/>
  <c r="AF7" i="160"/>
  <c r="AC7" i="160"/>
  <c r="AB7" i="160"/>
  <c r="Y7" i="160"/>
  <c r="X7" i="160"/>
  <c r="U7" i="160"/>
  <c r="AN7" i="160" s="1"/>
  <c r="BG7" i="160" s="1"/>
  <c r="BZ7" i="160" s="1"/>
  <c r="P7" i="160"/>
  <c r="O7" i="160"/>
  <c r="N7" i="160"/>
  <c r="M7" i="160"/>
  <c r="J7" i="160"/>
  <c r="I7" i="160"/>
  <c r="F7" i="160"/>
  <c r="E7" i="160"/>
  <c r="T6" i="160"/>
  <c r="AM6" i="160" s="1"/>
  <c r="BF6" i="160" s="1"/>
  <c r="BY6" i="160" s="1"/>
  <c r="I30" i="159"/>
  <c r="C30" i="159"/>
  <c r="L29" i="159"/>
  <c r="J29" i="159" s="1"/>
  <c r="K29" i="159"/>
  <c r="F29" i="159"/>
  <c r="D29" i="159" s="1"/>
  <c r="E29" i="159"/>
  <c r="L28" i="159"/>
  <c r="J28" i="159" s="1"/>
  <c r="K28" i="159"/>
  <c r="F28" i="159"/>
  <c r="D28" i="159" s="1"/>
  <c r="E28" i="159"/>
  <c r="L27" i="159"/>
  <c r="J27" i="159" s="1"/>
  <c r="K27" i="159"/>
  <c r="F27" i="159"/>
  <c r="D27" i="159" s="1"/>
  <c r="E27" i="159"/>
  <c r="L26" i="159"/>
  <c r="J26" i="159" s="1"/>
  <c r="K26" i="159"/>
  <c r="F26" i="159"/>
  <c r="D26" i="159" s="1"/>
  <c r="E26" i="159"/>
  <c r="L25" i="159"/>
  <c r="J25" i="159" s="1"/>
  <c r="K25" i="159"/>
  <c r="F25" i="159"/>
  <c r="D25" i="159" s="1"/>
  <c r="E25" i="159"/>
  <c r="L24" i="159"/>
  <c r="J24" i="159" s="1"/>
  <c r="K24" i="159"/>
  <c r="F24" i="159"/>
  <c r="D24" i="159" s="1"/>
  <c r="E24" i="159"/>
  <c r="L23" i="159"/>
  <c r="J23" i="159" s="1"/>
  <c r="K23" i="159"/>
  <c r="F23" i="159"/>
  <c r="D23" i="159" s="1"/>
  <c r="E23" i="159"/>
  <c r="L22" i="159"/>
  <c r="J22" i="159" s="1"/>
  <c r="K22" i="159"/>
  <c r="F22" i="159"/>
  <c r="D22" i="159" s="1"/>
  <c r="E22" i="159"/>
  <c r="L21" i="159"/>
  <c r="J21" i="159" s="1"/>
  <c r="K21" i="159"/>
  <c r="F21" i="159"/>
  <c r="D21" i="159" s="1"/>
  <c r="E21" i="159"/>
  <c r="L20" i="159"/>
  <c r="J20" i="159" s="1"/>
  <c r="K20" i="159"/>
  <c r="F20" i="159"/>
  <c r="D20" i="159" s="1"/>
  <c r="E20" i="159"/>
  <c r="L19" i="159"/>
  <c r="J19" i="159" s="1"/>
  <c r="K19" i="159"/>
  <c r="F19" i="159"/>
  <c r="D19" i="159" s="1"/>
  <c r="E19" i="159"/>
  <c r="L18" i="159"/>
  <c r="J18" i="159" s="1"/>
  <c r="K18" i="159"/>
  <c r="F18" i="159"/>
  <c r="D18" i="159" s="1"/>
  <c r="E18" i="159"/>
  <c r="L17" i="159"/>
  <c r="J17" i="159" s="1"/>
  <c r="K17" i="159"/>
  <c r="F17" i="159"/>
  <c r="D17" i="159" s="1"/>
  <c r="E17" i="159"/>
  <c r="L16" i="159"/>
  <c r="J16" i="159" s="1"/>
  <c r="K16" i="159"/>
  <c r="F16" i="159"/>
  <c r="D16" i="159" s="1"/>
  <c r="E16" i="159"/>
  <c r="L15" i="159"/>
  <c r="J15" i="159" s="1"/>
  <c r="K15" i="159"/>
  <c r="F15" i="159"/>
  <c r="D15" i="159" s="1"/>
  <c r="E15" i="159"/>
  <c r="L14" i="159"/>
  <c r="J14" i="159" s="1"/>
  <c r="K14" i="159"/>
  <c r="F14" i="159"/>
  <c r="D14" i="159" s="1"/>
  <c r="E14" i="159"/>
  <c r="L13" i="159"/>
  <c r="J13" i="159" s="1"/>
  <c r="K13" i="159"/>
  <c r="F13" i="159"/>
  <c r="D13" i="159" s="1"/>
  <c r="E13" i="159"/>
  <c r="L12" i="159"/>
  <c r="J12" i="159" s="1"/>
  <c r="K12" i="159"/>
  <c r="F12" i="159"/>
  <c r="D12" i="159" s="1"/>
  <c r="E12" i="159"/>
  <c r="L11" i="159"/>
  <c r="J11" i="159" s="1"/>
  <c r="K11" i="159"/>
  <c r="F11" i="159"/>
  <c r="D11" i="159" s="1"/>
  <c r="E11" i="159"/>
  <c r="L10" i="159"/>
  <c r="J10" i="159" s="1"/>
  <c r="K10" i="159"/>
  <c r="F10" i="159"/>
  <c r="D10" i="159" s="1"/>
  <c r="E10" i="159"/>
  <c r="L9" i="159"/>
  <c r="J9" i="159" s="1"/>
  <c r="K9" i="159"/>
  <c r="F9" i="159"/>
  <c r="D9" i="159" s="1"/>
  <c r="E9" i="159"/>
  <c r="L8" i="159"/>
  <c r="J8" i="159" s="1"/>
  <c r="K8" i="159"/>
  <c r="F8" i="159"/>
  <c r="D8" i="159" s="1"/>
  <c r="E8" i="159"/>
  <c r="L7" i="159"/>
  <c r="J7" i="159" s="1"/>
  <c r="K7" i="159"/>
  <c r="F7" i="159"/>
  <c r="D7" i="159" s="1"/>
  <c r="E7" i="159"/>
  <c r="L6" i="159"/>
  <c r="J6" i="159" s="1"/>
  <c r="K6" i="159"/>
  <c r="F6" i="159"/>
  <c r="D6" i="159" s="1"/>
  <c r="E6" i="159"/>
  <c r="L5" i="159"/>
  <c r="J5" i="159" s="1"/>
  <c r="K5" i="159"/>
  <c r="F5" i="159"/>
  <c r="D5" i="159" s="1"/>
  <c r="E5" i="159"/>
  <c r="I28" i="140"/>
  <c r="C28" i="140"/>
  <c r="L27" i="140"/>
  <c r="J27" i="140" s="1"/>
  <c r="K27" i="140"/>
  <c r="F27" i="140"/>
  <c r="D27" i="140" s="1"/>
  <c r="E27" i="140"/>
  <c r="L26" i="140"/>
  <c r="J26" i="140" s="1"/>
  <c r="K26" i="140"/>
  <c r="F26" i="140"/>
  <c r="D26" i="140" s="1"/>
  <c r="E26" i="140"/>
  <c r="L25" i="140"/>
  <c r="J25" i="140" s="1"/>
  <c r="K25" i="140"/>
  <c r="F25" i="140"/>
  <c r="D25" i="140" s="1"/>
  <c r="E25" i="140"/>
  <c r="L24" i="140"/>
  <c r="J24" i="140" s="1"/>
  <c r="K24" i="140"/>
  <c r="F24" i="140"/>
  <c r="D24" i="140" s="1"/>
  <c r="E24" i="140"/>
  <c r="L23" i="140"/>
  <c r="J23" i="140" s="1"/>
  <c r="K23" i="140"/>
  <c r="F23" i="140"/>
  <c r="D23" i="140" s="1"/>
  <c r="E23" i="140"/>
  <c r="L22" i="140"/>
  <c r="J22" i="140" s="1"/>
  <c r="K22" i="140"/>
  <c r="F22" i="140"/>
  <c r="D22" i="140" s="1"/>
  <c r="E22" i="140"/>
  <c r="L21" i="140"/>
  <c r="J21" i="140" s="1"/>
  <c r="K21" i="140"/>
  <c r="F21" i="140"/>
  <c r="D21" i="140" s="1"/>
  <c r="E21" i="140"/>
  <c r="L20" i="140"/>
  <c r="J20" i="140" s="1"/>
  <c r="K20" i="140"/>
  <c r="F20" i="140"/>
  <c r="D20" i="140" s="1"/>
  <c r="E20" i="140"/>
  <c r="L19" i="140"/>
  <c r="J19" i="140" s="1"/>
  <c r="K19" i="140"/>
  <c r="F19" i="140"/>
  <c r="D19" i="140" s="1"/>
  <c r="E19" i="140"/>
  <c r="L18" i="140"/>
  <c r="J18" i="140" s="1"/>
  <c r="K18" i="140"/>
  <c r="F18" i="140"/>
  <c r="D18" i="140" s="1"/>
  <c r="E18" i="140"/>
  <c r="L17" i="140"/>
  <c r="J17" i="140" s="1"/>
  <c r="K17" i="140"/>
  <c r="F17" i="140"/>
  <c r="D17" i="140" s="1"/>
  <c r="E17" i="140"/>
  <c r="L16" i="140"/>
  <c r="J16" i="140" s="1"/>
  <c r="K16" i="140"/>
  <c r="F16" i="140"/>
  <c r="D16" i="140" s="1"/>
  <c r="E16" i="140"/>
  <c r="L15" i="140"/>
  <c r="J15" i="140" s="1"/>
  <c r="K15" i="140"/>
  <c r="F15" i="140"/>
  <c r="D15" i="140" s="1"/>
  <c r="E15" i="140"/>
  <c r="L14" i="140"/>
  <c r="J14" i="140" s="1"/>
  <c r="K14" i="140"/>
  <c r="F14" i="140"/>
  <c r="D14" i="140" s="1"/>
  <c r="E14" i="140"/>
  <c r="L13" i="140"/>
  <c r="J13" i="140" s="1"/>
  <c r="K13" i="140"/>
  <c r="F13" i="140"/>
  <c r="D13" i="140" s="1"/>
  <c r="E13" i="140"/>
  <c r="L12" i="140"/>
  <c r="J12" i="140" s="1"/>
  <c r="K12" i="140"/>
  <c r="F12" i="140"/>
  <c r="D12" i="140" s="1"/>
  <c r="E12" i="140"/>
  <c r="L11" i="140"/>
  <c r="J11" i="140" s="1"/>
  <c r="K11" i="140"/>
  <c r="F11" i="140"/>
  <c r="D11" i="140" s="1"/>
  <c r="E11" i="140"/>
  <c r="L10" i="140"/>
  <c r="J10" i="140" s="1"/>
  <c r="K10" i="140"/>
  <c r="F10" i="140"/>
  <c r="D10" i="140" s="1"/>
  <c r="E10" i="140"/>
  <c r="L9" i="140"/>
  <c r="J9" i="140" s="1"/>
  <c r="K9" i="140"/>
  <c r="F9" i="140"/>
  <c r="D9" i="140" s="1"/>
  <c r="E9" i="140"/>
  <c r="L8" i="140"/>
  <c r="J8" i="140" s="1"/>
  <c r="K8" i="140"/>
  <c r="F8" i="140"/>
  <c r="D8" i="140" s="1"/>
  <c r="E8" i="140"/>
  <c r="L7" i="140"/>
  <c r="J7" i="140" s="1"/>
  <c r="K7" i="140"/>
  <c r="F7" i="140"/>
  <c r="D7" i="140" s="1"/>
  <c r="E7" i="140"/>
  <c r="L6" i="140"/>
  <c r="J6" i="140" s="1"/>
  <c r="K6" i="140"/>
  <c r="F6" i="140"/>
  <c r="D6" i="140" s="1"/>
  <c r="E6" i="140"/>
  <c r="L5" i="140"/>
  <c r="J5" i="140" s="1"/>
  <c r="K5" i="140"/>
  <c r="F5" i="140"/>
  <c r="D5" i="140" s="1"/>
  <c r="E5" i="140"/>
  <c r="I25" i="142"/>
  <c r="C25" i="142"/>
  <c r="L24" i="142"/>
  <c r="J24" i="142" s="1"/>
  <c r="K24" i="142"/>
  <c r="F24" i="142"/>
  <c r="D24" i="142" s="1"/>
  <c r="E24" i="142"/>
  <c r="L23" i="142"/>
  <c r="J23" i="142" s="1"/>
  <c r="K23" i="142"/>
  <c r="F23" i="142"/>
  <c r="D23" i="142" s="1"/>
  <c r="E23" i="142"/>
  <c r="L22" i="142"/>
  <c r="J22" i="142" s="1"/>
  <c r="K22" i="142"/>
  <c r="F22" i="142"/>
  <c r="D22" i="142" s="1"/>
  <c r="E22" i="142"/>
  <c r="L21" i="142"/>
  <c r="J21" i="142" s="1"/>
  <c r="K21" i="142"/>
  <c r="F21" i="142"/>
  <c r="D21" i="142" s="1"/>
  <c r="E21" i="142"/>
  <c r="L20" i="142"/>
  <c r="J20" i="142" s="1"/>
  <c r="K20" i="142"/>
  <c r="F20" i="142"/>
  <c r="D20" i="142" s="1"/>
  <c r="E20" i="142"/>
  <c r="L19" i="142"/>
  <c r="J19" i="142" s="1"/>
  <c r="K19" i="142"/>
  <c r="F19" i="142"/>
  <c r="D19" i="142" s="1"/>
  <c r="E19" i="142"/>
  <c r="L18" i="142"/>
  <c r="J18" i="142" s="1"/>
  <c r="K18" i="142"/>
  <c r="F18" i="142"/>
  <c r="D18" i="142" s="1"/>
  <c r="E18" i="142"/>
  <c r="L17" i="142"/>
  <c r="J17" i="142" s="1"/>
  <c r="K17" i="142"/>
  <c r="F17" i="142"/>
  <c r="D17" i="142" s="1"/>
  <c r="E17" i="142"/>
  <c r="L16" i="142"/>
  <c r="J16" i="142" s="1"/>
  <c r="K16" i="142"/>
  <c r="F16" i="142"/>
  <c r="D16" i="142" s="1"/>
  <c r="E16" i="142"/>
  <c r="L15" i="142"/>
  <c r="J15" i="142" s="1"/>
  <c r="K15" i="142"/>
  <c r="F15" i="142"/>
  <c r="D15" i="142" s="1"/>
  <c r="E15" i="142"/>
  <c r="L14" i="142"/>
  <c r="J14" i="142" s="1"/>
  <c r="K14" i="142"/>
  <c r="F14" i="142"/>
  <c r="D14" i="142" s="1"/>
  <c r="E14" i="142"/>
  <c r="L13" i="142"/>
  <c r="J13" i="142" s="1"/>
  <c r="K13" i="142"/>
  <c r="F13" i="142"/>
  <c r="D13" i="142" s="1"/>
  <c r="E13" i="142"/>
  <c r="L12" i="142"/>
  <c r="J12" i="142" s="1"/>
  <c r="K12" i="142"/>
  <c r="F12" i="142"/>
  <c r="D12" i="142" s="1"/>
  <c r="E12" i="142"/>
  <c r="L11" i="142"/>
  <c r="J11" i="142" s="1"/>
  <c r="K11" i="142"/>
  <c r="F11" i="142"/>
  <c r="D11" i="142" s="1"/>
  <c r="E11" i="142"/>
  <c r="L10" i="142"/>
  <c r="J10" i="142" s="1"/>
  <c r="K10" i="142"/>
  <c r="F10" i="142"/>
  <c r="D10" i="142" s="1"/>
  <c r="E10" i="142"/>
  <c r="L9" i="142"/>
  <c r="J9" i="142" s="1"/>
  <c r="K9" i="142"/>
  <c r="F9" i="142"/>
  <c r="D9" i="142" s="1"/>
  <c r="E9" i="142"/>
  <c r="L8" i="142"/>
  <c r="J8" i="142" s="1"/>
  <c r="K8" i="142"/>
  <c r="F8" i="142"/>
  <c r="D8" i="142" s="1"/>
  <c r="E8" i="142"/>
  <c r="L7" i="142"/>
  <c r="J7" i="142" s="1"/>
  <c r="K7" i="142"/>
  <c r="F7" i="142"/>
  <c r="D7" i="142" s="1"/>
  <c r="E7" i="142"/>
  <c r="L6" i="142"/>
  <c r="J6" i="142" s="1"/>
  <c r="K6" i="142"/>
  <c r="F6" i="142"/>
  <c r="D6" i="142" s="1"/>
  <c r="E6" i="142"/>
  <c r="L5" i="142"/>
  <c r="J5" i="142" s="1"/>
  <c r="K5" i="142"/>
  <c r="F5" i="142"/>
  <c r="D5" i="142" s="1"/>
  <c r="E5" i="142"/>
  <c r="I27" i="137"/>
  <c r="C27" i="137"/>
  <c r="L26" i="137"/>
  <c r="J26" i="137" s="1"/>
  <c r="K26" i="137"/>
  <c r="F26" i="137"/>
  <c r="D26" i="137" s="1"/>
  <c r="E26" i="137"/>
  <c r="L25" i="137"/>
  <c r="J25" i="137" s="1"/>
  <c r="K25" i="137"/>
  <c r="F25" i="137"/>
  <c r="D25" i="137" s="1"/>
  <c r="E25" i="137"/>
  <c r="L24" i="137"/>
  <c r="J24" i="137" s="1"/>
  <c r="K24" i="137"/>
  <c r="F24" i="137"/>
  <c r="D24" i="137" s="1"/>
  <c r="E24" i="137"/>
  <c r="L23" i="137"/>
  <c r="J23" i="137" s="1"/>
  <c r="K23" i="137"/>
  <c r="F23" i="137"/>
  <c r="D23" i="137" s="1"/>
  <c r="E23" i="137"/>
  <c r="L22" i="137"/>
  <c r="J22" i="137" s="1"/>
  <c r="K22" i="137"/>
  <c r="F22" i="137"/>
  <c r="D22" i="137" s="1"/>
  <c r="E22" i="137"/>
  <c r="L21" i="137"/>
  <c r="J21" i="137" s="1"/>
  <c r="K21" i="137"/>
  <c r="F21" i="137"/>
  <c r="D21" i="137" s="1"/>
  <c r="E21" i="137"/>
  <c r="L20" i="137"/>
  <c r="J20" i="137" s="1"/>
  <c r="K20" i="137"/>
  <c r="F20" i="137"/>
  <c r="D20" i="137" s="1"/>
  <c r="E20" i="137"/>
  <c r="L19" i="137"/>
  <c r="J19" i="137" s="1"/>
  <c r="K19" i="137"/>
  <c r="F19" i="137"/>
  <c r="D19" i="137" s="1"/>
  <c r="E19" i="137"/>
  <c r="L18" i="137"/>
  <c r="J18" i="137" s="1"/>
  <c r="K18" i="137"/>
  <c r="F18" i="137"/>
  <c r="D18" i="137" s="1"/>
  <c r="E18" i="137"/>
  <c r="L17" i="137"/>
  <c r="J17" i="137" s="1"/>
  <c r="K17" i="137"/>
  <c r="F17" i="137"/>
  <c r="D17" i="137" s="1"/>
  <c r="E17" i="137"/>
  <c r="L16" i="137"/>
  <c r="J16" i="137" s="1"/>
  <c r="K16" i="137"/>
  <c r="F16" i="137"/>
  <c r="D16" i="137" s="1"/>
  <c r="E16" i="137"/>
  <c r="L15" i="137"/>
  <c r="J15" i="137" s="1"/>
  <c r="K15" i="137"/>
  <c r="F15" i="137"/>
  <c r="D15" i="137" s="1"/>
  <c r="E15" i="137"/>
  <c r="L14" i="137"/>
  <c r="J14" i="137" s="1"/>
  <c r="K14" i="137"/>
  <c r="F14" i="137"/>
  <c r="D14" i="137" s="1"/>
  <c r="E14" i="137"/>
  <c r="L13" i="137"/>
  <c r="J13" i="137" s="1"/>
  <c r="K13" i="137"/>
  <c r="F13" i="137"/>
  <c r="D13" i="137" s="1"/>
  <c r="E13" i="137"/>
  <c r="L12" i="137"/>
  <c r="J12" i="137" s="1"/>
  <c r="K12" i="137"/>
  <c r="F12" i="137"/>
  <c r="D12" i="137" s="1"/>
  <c r="E12" i="137"/>
  <c r="L11" i="137"/>
  <c r="J11" i="137" s="1"/>
  <c r="K11" i="137"/>
  <c r="F11" i="137"/>
  <c r="D11" i="137" s="1"/>
  <c r="E11" i="137"/>
  <c r="L10" i="137"/>
  <c r="J10" i="137" s="1"/>
  <c r="K10" i="137"/>
  <c r="F10" i="137"/>
  <c r="D10" i="137" s="1"/>
  <c r="E10" i="137"/>
  <c r="L9" i="137"/>
  <c r="J9" i="137" s="1"/>
  <c r="K9" i="137"/>
  <c r="F9" i="137"/>
  <c r="D9" i="137" s="1"/>
  <c r="E9" i="137"/>
  <c r="L8" i="137"/>
  <c r="J8" i="137" s="1"/>
  <c r="K8" i="137"/>
  <c r="F8" i="137"/>
  <c r="D8" i="137" s="1"/>
  <c r="E8" i="137"/>
  <c r="L7" i="137"/>
  <c r="J7" i="137" s="1"/>
  <c r="K7" i="137"/>
  <c r="F7" i="137"/>
  <c r="D7" i="137" s="1"/>
  <c r="E7" i="137"/>
  <c r="L6" i="137"/>
  <c r="J6" i="137" s="1"/>
  <c r="K6" i="137"/>
  <c r="F6" i="137"/>
  <c r="D6" i="137" s="1"/>
  <c r="E6" i="137"/>
  <c r="L5" i="137"/>
  <c r="J5" i="137" s="1"/>
  <c r="K5" i="137"/>
  <c r="F5" i="137"/>
  <c r="D5" i="137" s="1"/>
  <c r="E5" i="137"/>
  <c r="I25" i="134"/>
  <c r="C25" i="134"/>
  <c r="L24" i="134"/>
  <c r="J24" i="134" s="1"/>
  <c r="K24" i="134"/>
  <c r="F24" i="134"/>
  <c r="D24" i="134" s="1"/>
  <c r="E24" i="134"/>
  <c r="L23" i="134"/>
  <c r="J23" i="134" s="1"/>
  <c r="K23" i="134"/>
  <c r="F23" i="134"/>
  <c r="D23" i="134" s="1"/>
  <c r="E23" i="134"/>
  <c r="L22" i="134"/>
  <c r="J22" i="134" s="1"/>
  <c r="K22" i="134"/>
  <c r="F22" i="134"/>
  <c r="D22" i="134" s="1"/>
  <c r="E22" i="134"/>
  <c r="L21" i="134"/>
  <c r="J21" i="134" s="1"/>
  <c r="K21" i="134"/>
  <c r="F21" i="134"/>
  <c r="D21" i="134" s="1"/>
  <c r="E21" i="134"/>
  <c r="L20" i="134"/>
  <c r="J20" i="134" s="1"/>
  <c r="K20" i="134"/>
  <c r="F20" i="134"/>
  <c r="D20" i="134" s="1"/>
  <c r="E20" i="134"/>
  <c r="L19" i="134"/>
  <c r="J19" i="134" s="1"/>
  <c r="K19" i="134"/>
  <c r="F19" i="134"/>
  <c r="D19" i="134" s="1"/>
  <c r="E19" i="134"/>
  <c r="L18" i="134"/>
  <c r="J18" i="134" s="1"/>
  <c r="K18" i="134"/>
  <c r="F18" i="134"/>
  <c r="D18" i="134" s="1"/>
  <c r="E18" i="134"/>
  <c r="L17" i="134"/>
  <c r="J17" i="134" s="1"/>
  <c r="K17" i="134"/>
  <c r="F17" i="134"/>
  <c r="D17" i="134" s="1"/>
  <c r="E17" i="134"/>
  <c r="L16" i="134"/>
  <c r="J16" i="134" s="1"/>
  <c r="K16" i="134"/>
  <c r="F16" i="134"/>
  <c r="D16" i="134" s="1"/>
  <c r="E16" i="134"/>
  <c r="L15" i="134"/>
  <c r="J15" i="134" s="1"/>
  <c r="K15" i="134"/>
  <c r="F15" i="134"/>
  <c r="D15" i="134" s="1"/>
  <c r="E15" i="134"/>
  <c r="L14" i="134"/>
  <c r="J14" i="134" s="1"/>
  <c r="K14" i="134"/>
  <c r="F14" i="134"/>
  <c r="D14" i="134" s="1"/>
  <c r="E14" i="134"/>
  <c r="L13" i="134"/>
  <c r="J13" i="134" s="1"/>
  <c r="K13" i="134"/>
  <c r="F13" i="134"/>
  <c r="D13" i="134" s="1"/>
  <c r="E13" i="134"/>
  <c r="L12" i="134"/>
  <c r="J12" i="134" s="1"/>
  <c r="K12" i="134"/>
  <c r="F12" i="134"/>
  <c r="D12" i="134" s="1"/>
  <c r="E12" i="134"/>
  <c r="L11" i="134"/>
  <c r="J11" i="134" s="1"/>
  <c r="K11" i="134"/>
  <c r="F11" i="134"/>
  <c r="D11" i="134" s="1"/>
  <c r="E11" i="134"/>
  <c r="L10" i="134"/>
  <c r="J10" i="134" s="1"/>
  <c r="K10" i="134"/>
  <c r="F10" i="134"/>
  <c r="D10" i="134" s="1"/>
  <c r="E10" i="134"/>
  <c r="L9" i="134"/>
  <c r="J9" i="134" s="1"/>
  <c r="K9" i="134"/>
  <c r="F9" i="134"/>
  <c r="D9" i="134" s="1"/>
  <c r="E9" i="134"/>
  <c r="L8" i="134"/>
  <c r="J8" i="134" s="1"/>
  <c r="K8" i="134"/>
  <c r="F8" i="134"/>
  <c r="D8" i="134" s="1"/>
  <c r="E8" i="134"/>
  <c r="L7" i="134"/>
  <c r="J7" i="134" s="1"/>
  <c r="K7" i="134"/>
  <c r="F7" i="134"/>
  <c r="D7" i="134" s="1"/>
  <c r="E7" i="134"/>
  <c r="L6" i="134"/>
  <c r="J6" i="134" s="1"/>
  <c r="K6" i="134"/>
  <c r="F6" i="134"/>
  <c r="D6" i="134" s="1"/>
  <c r="E6" i="134"/>
  <c r="L5" i="134"/>
  <c r="J5" i="134" s="1"/>
  <c r="K5" i="134"/>
  <c r="F5" i="134"/>
  <c r="D5" i="134" s="1"/>
  <c r="E5" i="134"/>
  <c r="I26" i="114"/>
  <c r="C26" i="114"/>
  <c r="L25" i="114"/>
  <c r="J25" i="114" s="1"/>
  <c r="K25" i="114"/>
  <c r="F25" i="114"/>
  <c r="D25" i="114" s="1"/>
  <c r="E25" i="114"/>
  <c r="L24" i="114"/>
  <c r="J24" i="114" s="1"/>
  <c r="K24" i="114"/>
  <c r="F24" i="114"/>
  <c r="D24" i="114" s="1"/>
  <c r="E24" i="114"/>
  <c r="L23" i="114"/>
  <c r="J23" i="114" s="1"/>
  <c r="K23" i="114"/>
  <c r="F23" i="114"/>
  <c r="D23" i="114" s="1"/>
  <c r="E23" i="114"/>
  <c r="L22" i="114"/>
  <c r="J22" i="114" s="1"/>
  <c r="K22" i="114"/>
  <c r="F22" i="114"/>
  <c r="D22" i="114" s="1"/>
  <c r="E22" i="114"/>
  <c r="L21" i="114"/>
  <c r="J21" i="114" s="1"/>
  <c r="K21" i="114"/>
  <c r="F21" i="114"/>
  <c r="D21" i="114" s="1"/>
  <c r="E21" i="114"/>
  <c r="L20" i="114"/>
  <c r="J20" i="114" s="1"/>
  <c r="K20" i="114"/>
  <c r="F20" i="114"/>
  <c r="D20" i="114" s="1"/>
  <c r="E20" i="114"/>
  <c r="L19" i="114"/>
  <c r="J19" i="114" s="1"/>
  <c r="K19" i="114"/>
  <c r="F19" i="114"/>
  <c r="D19" i="114" s="1"/>
  <c r="E19" i="114"/>
  <c r="L18" i="114"/>
  <c r="J18" i="114" s="1"/>
  <c r="K18" i="114"/>
  <c r="F18" i="114"/>
  <c r="D18" i="114" s="1"/>
  <c r="E18" i="114"/>
  <c r="L17" i="114"/>
  <c r="J17" i="114" s="1"/>
  <c r="K17" i="114"/>
  <c r="F17" i="114"/>
  <c r="D17" i="114" s="1"/>
  <c r="E17" i="114"/>
  <c r="L16" i="114"/>
  <c r="J16" i="114" s="1"/>
  <c r="K16" i="114"/>
  <c r="F16" i="114"/>
  <c r="D16" i="114" s="1"/>
  <c r="E16" i="114"/>
  <c r="L15" i="114"/>
  <c r="J15" i="114" s="1"/>
  <c r="K15" i="114"/>
  <c r="F15" i="114"/>
  <c r="D15" i="114" s="1"/>
  <c r="E15" i="114"/>
  <c r="L14" i="114"/>
  <c r="J14" i="114" s="1"/>
  <c r="K14" i="114"/>
  <c r="F14" i="114"/>
  <c r="D14" i="114" s="1"/>
  <c r="E14" i="114"/>
  <c r="L13" i="114"/>
  <c r="J13" i="114" s="1"/>
  <c r="K13" i="114"/>
  <c r="F13" i="114"/>
  <c r="D13" i="114" s="1"/>
  <c r="E13" i="114"/>
  <c r="L12" i="114"/>
  <c r="J12" i="114" s="1"/>
  <c r="K12" i="114"/>
  <c r="F12" i="114"/>
  <c r="D12" i="114" s="1"/>
  <c r="E12" i="114"/>
  <c r="L11" i="114"/>
  <c r="J11" i="114" s="1"/>
  <c r="K11" i="114"/>
  <c r="F11" i="114"/>
  <c r="D11" i="114" s="1"/>
  <c r="E11" i="114"/>
  <c r="L10" i="114"/>
  <c r="J10" i="114" s="1"/>
  <c r="K10" i="114"/>
  <c r="F10" i="114"/>
  <c r="D10" i="114" s="1"/>
  <c r="E10" i="114"/>
  <c r="L9" i="114"/>
  <c r="F9" i="114"/>
  <c r="L8" i="114"/>
  <c r="F8" i="114"/>
  <c r="L7" i="114"/>
  <c r="F7" i="114"/>
  <c r="L6" i="114"/>
  <c r="F6" i="114"/>
  <c r="L5" i="114"/>
  <c r="G5" i="114"/>
  <c r="K5" i="114" s="1"/>
  <c r="F5" i="114"/>
  <c r="L4" i="114"/>
  <c r="J4" i="114" s="1"/>
  <c r="K4" i="114"/>
  <c r="F4" i="114"/>
  <c r="D4" i="114" s="1"/>
  <c r="E4" i="114"/>
  <c r="I25" i="112"/>
  <c r="C25" i="112"/>
  <c r="L24" i="112"/>
  <c r="J24" i="112" s="1"/>
  <c r="K24" i="112"/>
  <c r="F24" i="112"/>
  <c r="D24" i="112" s="1"/>
  <c r="E24" i="112"/>
  <c r="L23" i="112"/>
  <c r="J23" i="112" s="1"/>
  <c r="K23" i="112"/>
  <c r="F23" i="112"/>
  <c r="D23" i="112" s="1"/>
  <c r="E23" i="112"/>
  <c r="L22" i="112"/>
  <c r="J22" i="112" s="1"/>
  <c r="K22" i="112"/>
  <c r="F22" i="112"/>
  <c r="D22" i="112" s="1"/>
  <c r="E22" i="112"/>
  <c r="L21" i="112"/>
  <c r="J21" i="112" s="1"/>
  <c r="K21" i="112"/>
  <c r="F21" i="112"/>
  <c r="D21" i="112" s="1"/>
  <c r="E21" i="112"/>
  <c r="L20" i="112"/>
  <c r="J20" i="112" s="1"/>
  <c r="K20" i="112"/>
  <c r="F20" i="112"/>
  <c r="D20" i="112" s="1"/>
  <c r="E20" i="112"/>
  <c r="L19" i="112"/>
  <c r="J19" i="112" s="1"/>
  <c r="K19" i="112"/>
  <c r="F19" i="112"/>
  <c r="D19" i="112" s="1"/>
  <c r="E19" i="112"/>
  <c r="L18" i="112"/>
  <c r="J18" i="112" s="1"/>
  <c r="K18" i="112"/>
  <c r="F18" i="112"/>
  <c r="D18" i="112" s="1"/>
  <c r="E18" i="112"/>
  <c r="L17" i="112"/>
  <c r="J17" i="112" s="1"/>
  <c r="K17" i="112"/>
  <c r="F17" i="112"/>
  <c r="D17" i="112" s="1"/>
  <c r="E17" i="112"/>
  <c r="L16" i="112"/>
  <c r="J16" i="112" s="1"/>
  <c r="K16" i="112"/>
  <c r="F16" i="112"/>
  <c r="D16" i="112" s="1"/>
  <c r="E16" i="112"/>
  <c r="L15" i="112"/>
  <c r="J15" i="112" s="1"/>
  <c r="K15" i="112"/>
  <c r="F15" i="112"/>
  <c r="D15" i="112" s="1"/>
  <c r="E15" i="112"/>
  <c r="L14" i="112"/>
  <c r="J14" i="112" s="1"/>
  <c r="K14" i="112"/>
  <c r="F14" i="112"/>
  <c r="D14" i="112" s="1"/>
  <c r="E14" i="112"/>
  <c r="L13" i="112"/>
  <c r="J13" i="112" s="1"/>
  <c r="K13" i="112"/>
  <c r="F13" i="112"/>
  <c r="D13" i="112" s="1"/>
  <c r="E13" i="112"/>
  <c r="L12" i="112"/>
  <c r="J12" i="112" s="1"/>
  <c r="K12" i="112"/>
  <c r="F12" i="112"/>
  <c r="D12" i="112" s="1"/>
  <c r="E12" i="112"/>
  <c r="L11" i="112"/>
  <c r="J11" i="112" s="1"/>
  <c r="K11" i="112"/>
  <c r="F11" i="112"/>
  <c r="D11" i="112" s="1"/>
  <c r="E11" i="112"/>
  <c r="L10" i="112"/>
  <c r="J10" i="112" s="1"/>
  <c r="K10" i="112"/>
  <c r="F10" i="112"/>
  <c r="D10" i="112" s="1"/>
  <c r="E10" i="112"/>
  <c r="L9" i="112"/>
  <c r="F9" i="112"/>
  <c r="L8" i="112"/>
  <c r="F8" i="112"/>
  <c r="L7" i="112"/>
  <c r="F7" i="112"/>
  <c r="L6" i="112"/>
  <c r="F6" i="112"/>
  <c r="L5" i="112"/>
  <c r="G5" i="112"/>
  <c r="F5" i="112"/>
  <c r="L4" i="112"/>
  <c r="J4" i="112" s="1"/>
  <c r="K4" i="112"/>
  <c r="F4" i="112"/>
  <c r="D4" i="112" s="1"/>
  <c r="E4" i="112"/>
  <c r="I24" i="110"/>
  <c r="C24" i="110"/>
  <c r="L23" i="110"/>
  <c r="J23" i="110" s="1"/>
  <c r="K23" i="110"/>
  <c r="F23" i="110"/>
  <c r="D23" i="110" s="1"/>
  <c r="E23" i="110"/>
  <c r="L22" i="110"/>
  <c r="J22" i="110" s="1"/>
  <c r="K22" i="110"/>
  <c r="F22" i="110"/>
  <c r="D22" i="110" s="1"/>
  <c r="E22" i="110"/>
  <c r="L21" i="110"/>
  <c r="J21" i="110" s="1"/>
  <c r="K21" i="110"/>
  <c r="F21" i="110"/>
  <c r="D21" i="110" s="1"/>
  <c r="E21" i="110"/>
  <c r="L20" i="110"/>
  <c r="J20" i="110" s="1"/>
  <c r="K20" i="110"/>
  <c r="F20" i="110"/>
  <c r="D20" i="110" s="1"/>
  <c r="E20" i="110"/>
  <c r="L19" i="110"/>
  <c r="J19" i="110" s="1"/>
  <c r="K19" i="110"/>
  <c r="F19" i="110"/>
  <c r="D19" i="110" s="1"/>
  <c r="E19" i="110"/>
  <c r="L18" i="110"/>
  <c r="J18" i="110" s="1"/>
  <c r="K18" i="110"/>
  <c r="F18" i="110"/>
  <c r="D18" i="110" s="1"/>
  <c r="E18" i="110"/>
  <c r="L17" i="110"/>
  <c r="J17" i="110" s="1"/>
  <c r="K17" i="110"/>
  <c r="F17" i="110"/>
  <c r="D17" i="110" s="1"/>
  <c r="E17" i="110"/>
  <c r="L16" i="110"/>
  <c r="J16" i="110" s="1"/>
  <c r="K16" i="110"/>
  <c r="F16" i="110"/>
  <c r="D16" i="110" s="1"/>
  <c r="E16" i="110"/>
  <c r="L15" i="110"/>
  <c r="J15" i="110" s="1"/>
  <c r="K15" i="110"/>
  <c r="F15" i="110"/>
  <c r="D15" i="110" s="1"/>
  <c r="E15" i="110"/>
  <c r="L14" i="110"/>
  <c r="J14" i="110" s="1"/>
  <c r="K14" i="110"/>
  <c r="F14" i="110"/>
  <c r="D14" i="110" s="1"/>
  <c r="E14" i="110"/>
  <c r="L13" i="110"/>
  <c r="J13" i="110" s="1"/>
  <c r="K13" i="110"/>
  <c r="F13" i="110"/>
  <c r="D13" i="110" s="1"/>
  <c r="E13" i="110"/>
  <c r="L12" i="110"/>
  <c r="J12" i="110" s="1"/>
  <c r="K12" i="110"/>
  <c r="F12" i="110"/>
  <c r="D12" i="110" s="1"/>
  <c r="E12" i="110"/>
  <c r="L11" i="110"/>
  <c r="J11" i="110" s="1"/>
  <c r="K11" i="110"/>
  <c r="F11" i="110"/>
  <c r="D11" i="110" s="1"/>
  <c r="E11" i="110"/>
  <c r="L10" i="110"/>
  <c r="J10" i="110" s="1"/>
  <c r="K10" i="110"/>
  <c r="F10" i="110"/>
  <c r="D10" i="110" s="1"/>
  <c r="E10" i="110"/>
  <c r="L9" i="110"/>
  <c r="F9" i="110"/>
  <c r="L8" i="110"/>
  <c r="F8" i="110"/>
  <c r="L7" i="110"/>
  <c r="F7" i="110"/>
  <c r="L6" i="110"/>
  <c r="F6" i="110"/>
  <c r="L5" i="110"/>
  <c r="G5" i="110"/>
  <c r="F5" i="110"/>
  <c r="L4" i="110"/>
  <c r="J4" i="110" s="1"/>
  <c r="K4" i="110"/>
  <c r="F4" i="110"/>
  <c r="D4" i="110" s="1"/>
  <c r="E4" i="110"/>
  <c r="I21" i="108"/>
  <c r="C21" i="108"/>
  <c r="L20" i="108"/>
  <c r="J20" i="108" s="1"/>
  <c r="K20" i="108"/>
  <c r="F20" i="108"/>
  <c r="D20" i="108" s="1"/>
  <c r="E20" i="108"/>
  <c r="L19" i="108"/>
  <c r="J19" i="108" s="1"/>
  <c r="K19" i="108"/>
  <c r="F19" i="108"/>
  <c r="D19" i="108" s="1"/>
  <c r="E19" i="108"/>
  <c r="L18" i="108"/>
  <c r="J18" i="108" s="1"/>
  <c r="K18" i="108"/>
  <c r="F18" i="108"/>
  <c r="D18" i="108" s="1"/>
  <c r="E18" i="108"/>
  <c r="L17" i="108"/>
  <c r="J17" i="108" s="1"/>
  <c r="K17" i="108"/>
  <c r="F17" i="108"/>
  <c r="D17" i="108" s="1"/>
  <c r="E17" i="108"/>
  <c r="L16" i="108"/>
  <c r="J16" i="108" s="1"/>
  <c r="K16" i="108"/>
  <c r="F16" i="108"/>
  <c r="D16" i="108" s="1"/>
  <c r="E16" i="108"/>
  <c r="L15" i="108"/>
  <c r="J15" i="108" s="1"/>
  <c r="K15" i="108"/>
  <c r="F15" i="108"/>
  <c r="D15" i="108" s="1"/>
  <c r="E15" i="108"/>
  <c r="L14" i="108"/>
  <c r="J14" i="108" s="1"/>
  <c r="K14" i="108"/>
  <c r="F14" i="108"/>
  <c r="D14" i="108" s="1"/>
  <c r="E14" i="108"/>
  <c r="L13" i="108"/>
  <c r="J13" i="108" s="1"/>
  <c r="K13" i="108"/>
  <c r="F13" i="108"/>
  <c r="D13" i="108" s="1"/>
  <c r="E13" i="108"/>
  <c r="L12" i="108"/>
  <c r="J12" i="108" s="1"/>
  <c r="K12" i="108"/>
  <c r="F12" i="108"/>
  <c r="D12" i="108" s="1"/>
  <c r="E12" i="108"/>
  <c r="L11" i="108"/>
  <c r="J11" i="108" s="1"/>
  <c r="K11" i="108"/>
  <c r="F11" i="108"/>
  <c r="D11" i="108" s="1"/>
  <c r="E11" i="108"/>
  <c r="L10" i="108"/>
  <c r="J10" i="108" s="1"/>
  <c r="K10" i="108"/>
  <c r="F10" i="108"/>
  <c r="D10" i="108" s="1"/>
  <c r="E10" i="108"/>
  <c r="L9" i="108"/>
  <c r="F9" i="108"/>
  <c r="L8" i="108"/>
  <c r="F8" i="108"/>
  <c r="L7" i="108"/>
  <c r="F7" i="108"/>
  <c r="L6" i="108"/>
  <c r="F6" i="108"/>
  <c r="L5" i="108"/>
  <c r="G5" i="108"/>
  <c r="K5" i="108" s="1"/>
  <c r="F5" i="108"/>
  <c r="L4" i="108"/>
  <c r="J4" i="108" s="1"/>
  <c r="K4" i="108"/>
  <c r="F4" i="108"/>
  <c r="D4" i="108" s="1"/>
  <c r="E4" i="108"/>
  <c r="CB38" i="95"/>
  <c r="CA38" i="95"/>
  <c r="BQ38" i="95"/>
  <c r="BP38" i="95"/>
  <c r="BM38" i="95"/>
  <c r="BL38" i="95"/>
  <c r="BI38" i="95"/>
  <c r="BH38" i="95"/>
  <c r="AX38" i="95"/>
  <c r="AW38" i="95"/>
  <c r="AT38" i="95"/>
  <c r="AS38" i="95"/>
  <c r="AP38" i="95"/>
  <c r="AO38" i="95"/>
  <c r="AE38" i="95"/>
  <c r="AD38" i="95"/>
  <c r="AA38" i="95"/>
  <c r="Z38" i="95"/>
  <c r="W38" i="95"/>
  <c r="V38" i="95"/>
  <c r="L38" i="95"/>
  <c r="K38" i="95"/>
  <c r="H38" i="95"/>
  <c r="J38" i="95" s="1"/>
  <c r="G38" i="95"/>
  <c r="D38" i="95"/>
  <c r="C38" i="95"/>
  <c r="CD37" i="95"/>
  <c r="CC37" i="95"/>
  <c r="BU37" i="95"/>
  <c r="BW37" i="95" s="1"/>
  <c r="BT37" i="95"/>
  <c r="BS37" i="95"/>
  <c r="BR37" i="95"/>
  <c r="BO37" i="95"/>
  <c r="BN37" i="95"/>
  <c r="BK37" i="95"/>
  <c r="BJ37" i="95"/>
  <c r="BB37" i="95"/>
  <c r="BC37" i="95" s="1"/>
  <c r="BA37" i="95"/>
  <c r="AZ37" i="95"/>
  <c r="AY37" i="95"/>
  <c r="AV37" i="95"/>
  <c r="AU37" i="95"/>
  <c r="AR37" i="95"/>
  <c r="AQ37" i="95"/>
  <c r="AI37" i="95"/>
  <c r="AK37" i="95" s="1"/>
  <c r="AH37" i="95"/>
  <c r="AG37" i="95"/>
  <c r="AF37" i="95"/>
  <c r="AC37" i="95"/>
  <c r="AB37" i="95"/>
  <c r="Y37" i="95"/>
  <c r="X37" i="95"/>
  <c r="P37" i="95"/>
  <c r="R37" i="95" s="1"/>
  <c r="O37" i="95"/>
  <c r="N37" i="95"/>
  <c r="M37" i="95"/>
  <c r="J37" i="95"/>
  <c r="I37" i="95"/>
  <c r="F37" i="95"/>
  <c r="E37" i="95"/>
  <c r="CD36" i="95"/>
  <c r="CC36" i="95"/>
  <c r="BU36" i="95"/>
  <c r="BV36" i="95" s="1"/>
  <c r="BT36" i="95"/>
  <c r="BS36" i="95"/>
  <c r="BR36" i="95"/>
  <c r="BO36" i="95"/>
  <c r="BN36" i="95"/>
  <c r="BK36" i="95"/>
  <c r="BJ36" i="95"/>
  <c r="BB36" i="95"/>
  <c r="BD36" i="95" s="1"/>
  <c r="BA36" i="95"/>
  <c r="AZ36" i="95"/>
  <c r="AY36" i="95"/>
  <c r="AV36" i="95"/>
  <c r="AU36" i="95"/>
  <c r="AR36" i="95"/>
  <c r="AQ36" i="95"/>
  <c r="AI36" i="95"/>
  <c r="AH36" i="95"/>
  <c r="AG36" i="95"/>
  <c r="AF36" i="95"/>
  <c r="AC36" i="95"/>
  <c r="AB36" i="95"/>
  <c r="Y36" i="95"/>
  <c r="X36" i="95"/>
  <c r="P36" i="95"/>
  <c r="R36" i="95" s="1"/>
  <c r="O36" i="95"/>
  <c r="N36" i="95"/>
  <c r="M36" i="95"/>
  <c r="J36" i="95"/>
  <c r="I36" i="95"/>
  <c r="F36" i="95"/>
  <c r="E36" i="95"/>
  <c r="CD35" i="95"/>
  <c r="CC35" i="95"/>
  <c r="BU35" i="95"/>
  <c r="BT35" i="95"/>
  <c r="BS35" i="95"/>
  <c r="BR35" i="95"/>
  <c r="BO35" i="95"/>
  <c r="BN35" i="95"/>
  <c r="BK35" i="95"/>
  <c r="BJ35" i="95"/>
  <c r="BB35" i="95"/>
  <c r="BA35" i="95"/>
  <c r="AZ35" i="95"/>
  <c r="AY35" i="95"/>
  <c r="AV35" i="95"/>
  <c r="AU35" i="95"/>
  <c r="AR35" i="95"/>
  <c r="AQ35" i="95"/>
  <c r="AI35" i="95"/>
  <c r="AH35" i="95"/>
  <c r="AG35" i="95"/>
  <c r="AF35" i="95"/>
  <c r="AC35" i="95"/>
  <c r="AB35" i="95"/>
  <c r="Y35" i="95"/>
  <c r="X35" i="95"/>
  <c r="P35" i="95"/>
  <c r="O35" i="95"/>
  <c r="N35" i="95"/>
  <c r="M35" i="95"/>
  <c r="J35" i="95"/>
  <c r="I35" i="95"/>
  <c r="F35" i="95"/>
  <c r="E35" i="95"/>
  <c r="CD34" i="95"/>
  <c r="CC34" i="95"/>
  <c r="BU34" i="95"/>
  <c r="BT34" i="95"/>
  <c r="BS34" i="95"/>
  <c r="BR34" i="95"/>
  <c r="BO34" i="95"/>
  <c r="BN34" i="95"/>
  <c r="BK34" i="95"/>
  <c r="BJ34" i="95"/>
  <c r="BB34" i="95"/>
  <c r="BA34" i="95"/>
  <c r="AZ34" i="95"/>
  <c r="AY34" i="95"/>
  <c r="AV34" i="95"/>
  <c r="AU34" i="95"/>
  <c r="AR34" i="95"/>
  <c r="AQ34" i="95"/>
  <c r="AI34" i="95"/>
  <c r="AH34" i="95"/>
  <c r="AG34" i="95"/>
  <c r="AF34" i="95"/>
  <c r="AC34" i="95"/>
  <c r="AB34" i="95"/>
  <c r="Y34" i="95"/>
  <c r="X34" i="95"/>
  <c r="P34" i="95"/>
  <c r="O34" i="95"/>
  <c r="N34" i="95"/>
  <c r="M34" i="95"/>
  <c r="J34" i="95"/>
  <c r="I34" i="95"/>
  <c r="F34" i="95"/>
  <c r="E34" i="95"/>
  <c r="CD33" i="95"/>
  <c r="CC33" i="95"/>
  <c r="BU33" i="95"/>
  <c r="BT33" i="95"/>
  <c r="BS33" i="95"/>
  <c r="BR33" i="95"/>
  <c r="BO33" i="95"/>
  <c r="BN33" i="95"/>
  <c r="BK33" i="95"/>
  <c r="BJ33" i="95"/>
  <c r="BB33" i="95"/>
  <c r="BA33" i="95"/>
  <c r="AZ33" i="95"/>
  <c r="AY33" i="95"/>
  <c r="AV33" i="95"/>
  <c r="AU33" i="95"/>
  <c r="AR33" i="95"/>
  <c r="AQ33" i="95"/>
  <c r="AI33" i="95"/>
  <c r="AH33" i="95"/>
  <c r="AG33" i="95"/>
  <c r="AF33" i="95"/>
  <c r="AC33" i="95"/>
  <c r="AB33" i="95"/>
  <c r="Y33" i="95"/>
  <c r="X33" i="95"/>
  <c r="P33" i="95"/>
  <c r="O33" i="95"/>
  <c r="N33" i="95"/>
  <c r="M33" i="95"/>
  <c r="J33" i="95"/>
  <c r="I33" i="95"/>
  <c r="F33" i="95"/>
  <c r="E33" i="95"/>
  <c r="CD32" i="95"/>
  <c r="CC32" i="95"/>
  <c r="BU32" i="95"/>
  <c r="BT32" i="95"/>
  <c r="BS32" i="95"/>
  <c r="BR32" i="95"/>
  <c r="BO32" i="95"/>
  <c r="BN32" i="95"/>
  <c r="BK32" i="95"/>
  <c r="BJ32" i="95"/>
  <c r="BB32" i="95"/>
  <c r="BA32" i="95"/>
  <c r="AZ32" i="95"/>
  <c r="AY32" i="95"/>
  <c r="AV32" i="95"/>
  <c r="AU32" i="95"/>
  <c r="AR32" i="95"/>
  <c r="AQ32" i="95"/>
  <c r="AI32" i="95"/>
  <c r="AH32" i="95"/>
  <c r="AG32" i="95"/>
  <c r="AF32" i="95"/>
  <c r="AC32" i="95"/>
  <c r="AB32" i="95"/>
  <c r="Y32" i="95"/>
  <c r="X32" i="95"/>
  <c r="P32" i="95"/>
  <c r="O32" i="95"/>
  <c r="N32" i="95"/>
  <c r="M32" i="95"/>
  <c r="J32" i="95"/>
  <c r="I32" i="95"/>
  <c r="F32" i="95"/>
  <c r="E32" i="95"/>
  <c r="CD31" i="95"/>
  <c r="CC31" i="95"/>
  <c r="BU31" i="95"/>
  <c r="BT31" i="95"/>
  <c r="BS31" i="95"/>
  <c r="BR31" i="95"/>
  <c r="BO31" i="95"/>
  <c r="BN31" i="95"/>
  <c r="BK31" i="95"/>
  <c r="BJ31" i="95"/>
  <c r="BB31" i="95"/>
  <c r="BA31" i="95"/>
  <c r="AZ31" i="95"/>
  <c r="AY31" i="95"/>
  <c r="AV31" i="95"/>
  <c r="AU31" i="95"/>
  <c r="AR31" i="95"/>
  <c r="AQ31" i="95"/>
  <c r="AI31" i="95"/>
  <c r="AH31" i="95"/>
  <c r="AG31" i="95"/>
  <c r="AF31" i="95"/>
  <c r="AC31" i="95"/>
  <c r="AB31" i="95"/>
  <c r="Y31" i="95"/>
  <c r="X31" i="95"/>
  <c r="P31" i="95"/>
  <c r="O31" i="95"/>
  <c r="N31" i="95"/>
  <c r="M31" i="95"/>
  <c r="J31" i="95"/>
  <c r="I31" i="95"/>
  <c r="F31" i="95"/>
  <c r="E31" i="95"/>
  <c r="CD30" i="95"/>
  <c r="CC30" i="95"/>
  <c r="BU30" i="95"/>
  <c r="BT30" i="95"/>
  <c r="BS30" i="95"/>
  <c r="BR30" i="95"/>
  <c r="BO30" i="95"/>
  <c r="BN30" i="95"/>
  <c r="BK30" i="95"/>
  <c r="BJ30" i="95"/>
  <c r="BB30" i="95"/>
  <c r="BD30" i="95" s="1"/>
  <c r="BA30" i="95"/>
  <c r="AZ30" i="95"/>
  <c r="AY30" i="95"/>
  <c r="AV30" i="95"/>
  <c r="AU30" i="95"/>
  <c r="AR30" i="95"/>
  <c r="AQ30" i="95"/>
  <c r="AI30" i="95"/>
  <c r="AH30" i="95"/>
  <c r="AG30" i="95"/>
  <c r="AF30" i="95"/>
  <c r="AC30" i="95"/>
  <c r="AB30" i="95"/>
  <c r="Y30" i="95"/>
  <c r="X30" i="95"/>
  <c r="P30" i="95"/>
  <c r="Q30" i="95" s="1"/>
  <c r="O30" i="95"/>
  <c r="N30" i="95"/>
  <c r="M30" i="95"/>
  <c r="J30" i="95"/>
  <c r="I30" i="95"/>
  <c r="F30" i="95"/>
  <c r="E30" i="95"/>
  <c r="CD29" i="95"/>
  <c r="CC29" i="95"/>
  <c r="BU29" i="95"/>
  <c r="BW29" i="95" s="1"/>
  <c r="BT29" i="95"/>
  <c r="BS29" i="95"/>
  <c r="BR29" i="95"/>
  <c r="BO29" i="95"/>
  <c r="BN29" i="95"/>
  <c r="BK29" i="95"/>
  <c r="BJ29" i="95"/>
  <c r="BB29" i="95"/>
  <c r="BA29" i="95"/>
  <c r="AZ29" i="95"/>
  <c r="AY29" i="95"/>
  <c r="AV29" i="95"/>
  <c r="AU29" i="95"/>
  <c r="AR29" i="95"/>
  <c r="AQ29" i="95"/>
  <c r="AI29" i="95"/>
  <c r="AH29" i="95"/>
  <c r="AG29" i="95"/>
  <c r="AF29" i="95"/>
  <c r="AC29" i="95"/>
  <c r="AB29" i="95"/>
  <c r="Y29" i="95"/>
  <c r="X29" i="95"/>
  <c r="P29" i="95"/>
  <c r="O29" i="95"/>
  <c r="N29" i="95"/>
  <c r="M29" i="95"/>
  <c r="J29" i="95"/>
  <c r="I29" i="95"/>
  <c r="F29" i="95"/>
  <c r="E29" i="95"/>
  <c r="CD28" i="95"/>
  <c r="CC28" i="95"/>
  <c r="BU28" i="95"/>
  <c r="BT28" i="95"/>
  <c r="BS28" i="95"/>
  <c r="BR28" i="95"/>
  <c r="BO28" i="95"/>
  <c r="BN28" i="95"/>
  <c r="BK28" i="95"/>
  <c r="BJ28" i="95"/>
  <c r="BB28" i="95"/>
  <c r="BA28" i="95"/>
  <c r="AZ28" i="95"/>
  <c r="AY28" i="95"/>
  <c r="AV28" i="95"/>
  <c r="AU28" i="95"/>
  <c r="AR28" i="95"/>
  <c r="AQ28" i="95"/>
  <c r="AI28" i="95"/>
  <c r="AH28" i="95"/>
  <c r="AG28" i="95"/>
  <c r="AF28" i="95"/>
  <c r="AC28" i="95"/>
  <c r="AB28" i="95"/>
  <c r="Y28" i="95"/>
  <c r="X28" i="95"/>
  <c r="P28" i="95"/>
  <c r="O28" i="95"/>
  <c r="N28" i="95"/>
  <c r="M28" i="95"/>
  <c r="J28" i="95"/>
  <c r="I28" i="95"/>
  <c r="F28" i="95"/>
  <c r="E28" i="95"/>
  <c r="CD27" i="95"/>
  <c r="CC27" i="95"/>
  <c r="BU27" i="95"/>
  <c r="BT27" i="95"/>
  <c r="BS27" i="95"/>
  <c r="BR27" i="95"/>
  <c r="BO27" i="95"/>
  <c r="BN27" i="95"/>
  <c r="BK27" i="95"/>
  <c r="BJ27" i="95"/>
  <c r="BB27" i="95"/>
  <c r="BA27" i="95"/>
  <c r="AZ27" i="95"/>
  <c r="AY27" i="95"/>
  <c r="AV27" i="95"/>
  <c r="AU27" i="95"/>
  <c r="AR27" i="95"/>
  <c r="AQ27" i="95"/>
  <c r="AI27" i="95"/>
  <c r="AH27" i="95"/>
  <c r="AG27" i="95"/>
  <c r="AF27" i="95"/>
  <c r="AC27" i="95"/>
  <c r="AB27" i="95"/>
  <c r="Y27" i="95"/>
  <c r="X27" i="95"/>
  <c r="P27" i="95"/>
  <c r="O27" i="95"/>
  <c r="N27" i="95"/>
  <c r="M27" i="95"/>
  <c r="J27" i="95"/>
  <c r="I27" i="95"/>
  <c r="F27" i="95"/>
  <c r="E27" i="95"/>
  <c r="CD26" i="95"/>
  <c r="CC26" i="95"/>
  <c r="BU26" i="95"/>
  <c r="BT26" i="95"/>
  <c r="BS26" i="95"/>
  <c r="BR26" i="95"/>
  <c r="BO26" i="95"/>
  <c r="BN26" i="95"/>
  <c r="BK26" i="95"/>
  <c r="BJ26" i="95"/>
  <c r="BB26" i="95"/>
  <c r="BA26" i="95"/>
  <c r="AZ26" i="95"/>
  <c r="AY26" i="95"/>
  <c r="AV26" i="95"/>
  <c r="AU26" i="95"/>
  <c r="AR26" i="95"/>
  <c r="AQ26" i="95"/>
  <c r="AI26" i="95"/>
  <c r="AH26" i="95"/>
  <c r="AG26" i="95"/>
  <c r="AF26" i="95"/>
  <c r="AC26" i="95"/>
  <c r="AB26" i="95"/>
  <c r="Y26" i="95"/>
  <c r="X26" i="95"/>
  <c r="P26" i="95"/>
  <c r="O26" i="95"/>
  <c r="N26" i="95"/>
  <c r="M26" i="95"/>
  <c r="J26" i="95"/>
  <c r="I26" i="95"/>
  <c r="F26" i="95"/>
  <c r="E26" i="95"/>
  <c r="CD25" i="95"/>
  <c r="CC25" i="95"/>
  <c r="BU25" i="95"/>
  <c r="BT25" i="95"/>
  <c r="BS25" i="95"/>
  <c r="BR25" i="95"/>
  <c r="BO25" i="95"/>
  <c r="BN25" i="95"/>
  <c r="BK25" i="95"/>
  <c r="BJ25" i="95"/>
  <c r="BB25" i="95"/>
  <c r="BA25" i="95"/>
  <c r="AZ25" i="95"/>
  <c r="AY25" i="95"/>
  <c r="AV25" i="95"/>
  <c r="AU25" i="95"/>
  <c r="AR25" i="95"/>
  <c r="AQ25" i="95"/>
  <c r="AI25" i="95"/>
  <c r="AH25" i="95"/>
  <c r="AG25" i="95"/>
  <c r="AF25" i="95"/>
  <c r="AC25" i="95"/>
  <c r="AB25" i="95"/>
  <c r="Y25" i="95"/>
  <c r="X25" i="95"/>
  <c r="P25" i="95"/>
  <c r="O25" i="95"/>
  <c r="N25" i="95"/>
  <c r="M25" i="95"/>
  <c r="J25" i="95"/>
  <c r="I25" i="95"/>
  <c r="F25" i="95"/>
  <c r="E25" i="95"/>
  <c r="CD24" i="95"/>
  <c r="CC24" i="95"/>
  <c r="BU24" i="95"/>
  <c r="BT24" i="95"/>
  <c r="BS24" i="95"/>
  <c r="BR24" i="95"/>
  <c r="BO24" i="95"/>
  <c r="BN24" i="95"/>
  <c r="BK24" i="95"/>
  <c r="BJ24" i="95"/>
  <c r="BB24" i="95"/>
  <c r="BA24" i="95"/>
  <c r="AZ24" i="95"/>
  <c r="AV24" i="95"/>
  <c r="AU24" i="95"/>
  <c r="AR24" i="95"/>
  <c r="AQ24" i="95"/>
  <c r="AI24" i="95"/>
  <c r="AH24" i="95"/>
  <c r="AG24" i="95"/>
  <c r="AF24" i="95"/>
  <c r="AC24" i="95"/>
  <c r="AB24" i="95"/>
  <c r="Y24" i="95"/>
  <c r="X24" i="95"/>
  <c r="P24" i="95"/>
  <c r="O24" i="95"/>
  <c r="N24" i="95"/>
  <c r="M24" i="95"/>
  <c r="J24" i="95"/>
  <c r="I24" i="95"/>
  <c r="F24" i="95"/>
  <c r="E24" i="95"/>
  <c r="CD23" i="95"/>
  <c r="CC23" i="95"/>
  <c r="BU23" i="95"/>
  <c r="BT23" i="95"/>
  <c r="BS23" i="95"/>
  <c r="BR23" i="95"/>
  <c r="BO23" i="95"/>
  <c r="BN23" i="95"/>
  <c r="BK23" i="95"/>
  <c r="BJ23" i="95"/>
  <c r="BB23" i="95"/>
  <c r="BD23" i="95" s="1"/>
  <c r="BA23" i="95"/>
  <c r="AZ23" i="95"/>
  <c r="AY23" i="95"/>
  <c r="AV23" i="95"/>
  <c r="AU23" i="95"/>
  <c r="AR23" i="95"/>
  <c r="AQ23" i="95"/>
  <c r="AI23" i="95"/>
  <c r="AJ23" i="95" s="1"/>
  <c r="AH23" i="95"/>
  <c r="AG23" i="95"/>
  <c r="AF23" i="95"/>
  <c r="AC23" i="95"/>
  <c r="Y23" i="95"/>
  <c r="X23" i="95"/>
  <c r="P23" i="95"/>
  <c r="O23" i="95"/>
  <c r="N23" i="95"/>
  <c r="M23" i="95"/>
  <c r="J23" i="95"/>
  <c r="I23" i="95"/>
  <c r="F23" i="95"/>
  <c r="E23" i="95"/>
  <c r="CD22" i="95"/>
  <c r="CC22" i="95"/>
  <c r="BU22" i="95"/>
  <c r="BV22" i="95" s="1"/>
  <c r="BT22" i="95"/>
  <c r="BS22" i="95"/>
  <c r="BR22" i="95"/>
  <c r="BO22" i="95"/>
  <c r="BN22" i="95"/>
  <c r="BK22" i="95"/>
  <c r="BJ22" i="95"/>
  <c r="BB22" i="95"/>
  <c r="BD22" i="95" s="1"/>
  <c r="BA22" i="95"/>
  <c r="AZ22" i="95"/>
  <c r="AY22" i="95"/>
  <c r="AV22" i="95"/>
  <c r="AU22" i="95"/>
  <c r="AR22" i="95"/>
  <c r="AQ22" i="95"/>
  <c r="AI22" i="95"/>
  <c r="AH22" i="95"/>
  <c r="AG22" i="95"/>
  <c r="AF22" i="95"/>
  <c r="AC22" i="95"/>
  <c r="AB22" i="95"/>
  <c r="Y22" i="95"/>
  <c r="X22" i="95"/>
  <c r="P22" i="95"/>
  <c r="R22" i="95" s="1"/>
  <c r="O22" i="95"/>
  <c r="N22" i="95"/>
  <c r="M22" i="95"/>
  <c r="J22" i="95"/>
  <c r="I22" i="95"/>
  <c r="F22" i="95"/>
  <c r="E22" i="95"/>
  <c r="CD21" i="95"/>
  <c r="CC21" i="95"/>
  <c r="BU21" i="95"/>
  <c r="BT21" i="95"/>
  <c r="BS21" i="95"/>
  <c r="BR21" i="95"/>
  <c r="BO21" i="95"/>
  <c r="BN21" i="95"/>
  <c r="BK21" i="95"/>
  <c r="BJ21" i="95"/>
  <c r="BB21" i="95"/>
  <c r="BA21" i="95"/>
  <c r="AZ21" i="95"/>
  <c r="AY21" i="95"/>
  <c r="AV21" i="95"/>
  <c r="AU21" i="95"/>
  <c r="AR21" i="95"/>
  <c r="AQ21" i="95"/>
  <c r="AI21" i="95"/>
  <c r="AH21" i="95"/>
  <c r="AG21" i="95"/>
  <c r="AF21" i="95"/>
  <c r="AC21" i="95"/>
  <c r="AB21" i="95"/>
  <c r="Y21" i="95"/>
  <c r="X21" i="95"/>
  <c r="P21" i="95"/>
  <c r="O21" i="95"/>
  <c r="N21" i="95"/>
  <c r="J21" i="95"/>
  <c r="I21" i="95"/>
  <c r="F21" i="95"/>
  <c r="E21" i="95"/>
  <c r="CD20" i="95"/>
  <c r="CC20" i="95"/>
  <c r="BU20" i="95"/>
  <c r="BT20" i="95"/>
  <c r="BS20" i="95"/>
  <c r="BR20" i="95"/>
  <c r="BO20" i="95"/>
  <c r="BN20" i="95"/>
  <c r="BK20" i="95"/>
  <c r="BJ20" i="95"/>
  <c r="BB20" i="95"/>
  <c r="BA20" i="95"/>
  <c r="AZ20" i="95"/>
  <c r="AY20" i="95"/>
  <c r="AV20" i="95"/>
  <c r="AU20" i="95"/>
  <c r="AR20" i="95"/>
  <c r="AQ20" i="95"/>
  <c r="AI20" i="95"/>
  <c r="AH20" i="95"/>
  <c r="AG20" i="95"/>
  <c r="AF20" i="95"/>
  <c r="AC20" i="95"/>
  <c r="AB20" i="95"/>
  <c r="Y20" i="95"/>
  <c r="X20" i="95"/>
  <c r="P20" i="95"/>
  <c r="O20" i="95"/>
  <c r="N20" i="95"/>
  <c r="M20" i="95"/>
  <c r="J20" i="95"/>
  <c r="I20" i="95"/>
  <c r="F20" i="95"/>
  <c r="E20" i="95"/>
  <c r="CD19" i="95"/>
  <c r="CC19" i="95"/>
  <c r="BU19" i="95"/>
  <c r="BT19" i="95"/>
  <c r="BS19" i="95"/>
  <c r="BR19" i="95"/>
  <c r="BO19" i="95"/>
  <c r="BN19" i="95"/>
  <c r="BK19" i="95"/>
  <c r="BJ19" i="95"/>
  <c r="BB19" i="95"/>
  <c r="BA19" i="95"/>
  <c r="AZ19" i="95"/>
  <c r="AY19" i="95"/>
  <c r="AV19" i="95"/>
  <c r="AU19" i="95"/>
  <c r="AR19" i="95"/>
  <c r="AQ19" i="95"/>
  <c r="AI19" i="95"/>
  <c r="AH19" i="95"/>
  <c r="AG19" i="95"/>
  <c r="AF19" i="95"/>
  <c r="AC19" i="95"/>
  <c r="AB19" i="95"/>
  <c r="Y19" i="95"/>
  <c r="X19" i="95"/>
  <c r="P19" i="95"/>
  <c r="O19" i="95"/>
  <c r="N19" i="95"/>
  <c r="M19" i="95"/>
  <c r="J19" i="95"/>
  <c r="I19" i="95"/>
  <c r="F19" i="95"/>
  <c r="E19" i="95"/>
  <c r="CD18" i="95"/>
  <c r="CC18" i="95"/>
  <c r="BU18" i="95"/>
  <c r="BT18" i="95"/>
  <c r="BS18" i="95"/>
  <c r="BR18" i="95"/>
  <c r="BO18" i="95"/>
  <c r="BN18" i="95"/>
  <c r="BK18" i="95"/>
  <c r="BJ18" i="95"/>
  <c r="BB18" i="95"/>
  <c r="BA18" i="95"/>
  <c r="AZ18" i="95"/>
  <c r="AY18" i="95"/>
  <c r="AV18" i="95"/>
  <c r="AU18" i="95"/>
  <c r="AR18" i="95"/>
  <c r="AQ18" i="95"/>
  <c r="AI18" i="95"/>
  <c r="AH18" i="95"/>
  <c r="AG18" i="95"/>
  <c r="AF18" i="95"/>
  <c r="AC18" i="95"/>
  <c r="AB18" i="95"/>
  <c r="Y18" i="95"/>
  <c r="X18" i="95"/>
  <c r="P18" i="95"/>
  <c r="O18" i="95"/>
  <c r="N18" i="95"/>
  <c r="M18" i="95"/>
  <c r="J18" i="95"/>
  <c r="I18" i="95"/>
  <c r="F18" i="95"/>
  <c r="E18" i="95"/>
  <c r="CD17" i="95"/>
  <c r="CC17" i="95"/>
  <c r="BU17" i="95"/>
  <c r="BT17" i="95"/>
  <c r="BS17" i="95"/>
  <c r="BR17" i="95"/>
  <c r="BO17" i="95"/>
  <c r="BN17" i="95"/>
  <c r="BK17" i="95"/>
  <c r="BJ17" i="95"/>
  <c r="BB17" i="95"/>
  <c r="BA17" i="95"/>
  <c r="AZ17" i="95"/>
  <c r="AY17" i="95"/>
  <c r="AV17" i="95"/>
  <c r="AU17" i="95"/>
  <c r="AR17" i="95"/>
  <c r="AQ17" i="95"/>
  <c r="AI17" i="95"/>
  <c r="AH17" i="95"/>
  <c r="AG17" i="95"/>
  <c r="AF17" i="95"/>
  <c r="AC17" i="95"/>
  <c r="AB17" i="95"/>
  <c r="Y17" i="95"/>
  <c r="X17" i="95"/>
  <c r="P17" i="95"/>
  <c r="O17" i="95"/>
  <c r="N17" i="95"/>
  <c r="M17" i="95"/>
  <c r="J17" i="95"/>
  <c r="I17" i="95"/>
  <c r="F17" i="95"/>
  <c r="E17" i="95"/>
  <c r="CD16" i="95"/>
  <c r="CC16" i="95"/>
  <c r="BU16" i="95"/>
  <c r="BW16" i="95" s="1"/>
  <c r="BT16" i="95"/>
  <c r="BS16" i="95"/>
  <c r="BR16" i="95"/>
  <c r="BO16" i="95"/>
  <c r="BN16" i="95"/>
  <c r="BK16" i="95"/>
  <c r="BJ16" i="95"/>
  <c r="BB16" i="95"/>
  <c r="BC16" i="95" s="1"/>
  <c r="BA16" i="95"/>
  <c r="AZ16" i="95"/>
  <c r="AY16" i="95"/>
  <c r="AV16" i="95"/>
  <c r="AU16" i="95"/>
  <c r="AR16" i="95"/>
  <c r="AQ16" i="95"/>
  <c r="AI16" i="95"/>
  <c r="AK16" i="95" s="1"/>
  <c r="AH16" i="95"/>
  <c r="AG16" i="95"/>
  <c r="AF16" i="95"/>
  <c r="AC16" i="95"/>
  <c r="AB16" i="95"/>
  <c r="Y16" i="95"/>
  <c r="X16" i="95"/>
  <c r="P16" i="95"/>
  <c r="O16" i="95"/>
  <c r="N16" i="95"/>
  <c r="M16" i="95"/>
  <c r="J16" i="95"/>
  <c r="I16" i="95"/>
  <c r="F16" i="95"/>
  <c r="E16" i="95"/>
  <c r="CD15" i="95"/>
  <c r="CC15" i="95"/>
  <c r="BU15" i="95"/>
  <c r="BV15" i="95" s="1"/>
  <c r="BT15" i="95"/>
  <c r="BS15" i="95"/>
  <c r="BR15" i="95"/>
  <c r="BO15" i="95"/>
  <c r="BN15" i="95"/>
  <c r="BK15" i="95"/>
  <c r="BJ15" i="95"/>
  <c r="BB15" i="95"/>
  <c r="BA15" i="95"/>
  <c r="AZ15" i="95"/>
  <c r="AY15" i="95"/>
  <c r="AV15" i="95"/>
  <c r="AU15" i="95"/>
  <c r="AR15" i="95"/>
  <c r="AQ15" i="95"/>
  <c r="AI15" i="95"/>
  <c r="AH15" i="95"/>
  <c r="AG15" i="95"/>
  <c r="AF15" i="95"/>
  <c r="AC15" i="95"/>
  <c r="AB15" i="95"/>
  <c r="Y15" i="95"/>
  <c r="X15" i="95"/>
  <c r="P15" i="95"/>
  <c r="R15" i="95" s="1"/>
  <c r="O15" i="95"/>
  <c r="N15" i="95"/>
  <c r="M15" i="95"/>
  <c r="J15" i="95"/>
  <c r="I15" i="95"/>
  <c r="F15" i="95"/>
  <c r="E15" i="95"/>
  <c r="CD14" i="95"/>
  <c r="CC14" i="95"/>
  <c r="BU14" i="95"/>
  <c r="BT14" i="95"/>
  <c r="BS14" i="95"/>
  <c r="BR14" i="95"/>
  <c r="BO14" i="95"/>
  <c r="BN14" i="95"/>
  <c r="BK14" i="95"/>
  <c r="BJ14" i="95"/>
  <c r="BB14" i="95"/>
  <c r="BA14" i="95"/>
  <c r="AZ14" i="95"/>
  <c r="AY14" i="95"/>
  <c r="AV14" i="95"/>
  <c r="AU14" i="95"/>
  <c r="AR14" i="95"/>
  <c r="AQ14" i="95"/>
  <c r="AI14" i="95"/>
  <c r="AH14" i="95"/>
  <c r="AG14" i="95"/>
  <c r="AF14" i="95"/>
  <c r="AC14" i="95"/>
  <c r="AB14" i="95"/>
  <c r="Y14" i="95"/>
  <c r="X14" i="95"/>
  <c r="P14" i="95"/>
  <c r="O14" i="95"/>
  <c r="N14" i="95"/>
  <c r="M14" i="95"/>
  <c r="J14" i="95"/>
  <c r="I14" i="95"/>
  <c r="F14" i="95"/>
  <c r="E14" i="95"/>
  <c r="CD13" i="95"/>
  <c r="CC13" i="95"/>
  <c r="BU13" i="95"/>
  <c r="BT13" i="95"/>
  <c r="BS13" i="95"/>
  <c r="BR13" i="95"/>
  <c r="BO13" i="95"/>
  <c r="BN13" i="95"/>
  <c r="BK13" i="95"/>
  <c r="BJ13" i="95"/>
  <c r="BB13" i="95"/>
  <c r="BA13" i="95"/>
  <c r="AZ13" i="95"/>
  <c r="AY13" i="95"/>
  <c r="AV13" i="95"/>
  <c r="AU13" i="95"/>
  <c r="AR13" i="95"/>
  <c r="AQ13" i="95"/>
  <c r="AI13" i="95"/>
  <c r="AH13" i="95"/>
  <c r="AG13" i="95"/>
  <c r="AF13" i="95"/>
  <c r="AC13" i="95"/>
  <c r="AB13" i="95"/>
  <c r="Y13" i="95"/>
  <c r="X13" i="95"/>
  <c r="P13" i="95"/>
  <c r="O13" i="95"/>
  <c r="N13" i="95"/>
  <c r="M13" i="95"/>
  <c r="J13" i="95"/>
  <c r="I13" i="95"/>
  <c r="F13" i="95"/>
  <c r="E13" i="95"/>
  <c r="CD12" i="95"/>
  <c r="CC12" i="95"/>
  <c r="BU12" i="95"/>
  <c r="BT12" i="95"/>
  <c r="BS12" i="95"/>
  <c r="BR12" i="95"/>
  <c r="BO12" i="95"/>
  <c r="BN12" i="95"/>
  <c r="BK12" i="95"/>
  <c r="BJ12" i="95"/>
  <c r="BB12" i="95"/>
  <c r="BA12" i="95"/>
  <c r="AZ12" i="95"/>
  <c r="AY12" i="95"/>
  <c r="AV12" i="95"/>
  <c r="AU12" i="95"/>
  <c r="AR12" i="95"/>
  <c r="AQ12" i="95"/>
  <c r="AI12" i="95"/>
  <c r="AH12" i="95"/>
  <c r="AG12" i="95"/>
  <c r="AF12" i="95"/>
  <c r="AC12" i="95"/>
  <c r="AB12" i="95"/>
  <c r="Y12" i="95"/>
  <c r="X12" i="95"/>
  <c r="P12" i="95"/>
  <c r="O12" i="95"/>
  <c r="N12" i="95"/>
  <c r="M12" i="95"/>
  <c r="J12" i="95"/>
  <c r="I12" i="95"/>
  <c r="F12" i="95"/>
  <c r="E12" i="95"/>
  <c r="CD11" i="95"/>
  <c r="CC11" i="95"/>
  <c r="BU11" i="95"/>
  <c r="BT11" i="95"/>
  <c r="BS11" i="95"/>
  <c r="BR11" i="95"/>
  <c r="BO11" i="95"/>
  <c r="BN11" i="95"/>
  <c r="BK11" i="95"/>
  <c r="BJ11" i="95"/>
  <c r="BB11" i="95"/>
  <c r="BA11" i="95"/>
  <c r="AZ11" i="95"/>
  <c r="AY11" i="95"/>
  <c r="AV11" i="95"/>
  <c r="AU11" i="95"/>
  <c r="AR11" i="95"/>
  <c r="AQ11" i="95"/>
  <c r="AI11" i="95"/>
  <c r="AH11" i="95"/>
  <c r="AG11" i="95"/>
  <c r="AF11" i="95"/>
  <c r="AC11" i="95"/>
  <c r="AB11" i="95"/>
  <c r="Y11" i="95"/>
  <c r="X11" i="95"/>
  <c r="P11" i="95"/>
  <c r="O11" i="95"/>
  <c r="N11" i="95"/>
  <c r="M11" i="95"/>
  <c r="J11" i="95"/>
  <c r="I11" i="95"/>
  <c r="F11" i="95"/>
  <c r="E11" i="95"/>
  <c r="CD10" i="95"/>
  <c r="CC10" i="95"/>
  <c r="BU10" i="95"/>
  <c r="BT10" i="95"/>
  <c r="BS10" i="95"/>
  <c r="BR10" i="95"/>
  <c r="BO10" i="95"/>
  <c r="BN10" i="95"/>
  <c r="BK10" i="95"/>
  <c r="BJ10" i="95"/>
  <c r="BB10" i="95"/>
  <c r="BA10" i="95"/>
  <c r="AZ10" i="95"/>
  <c r="AY10" i="95"/>
  <c r="AV10" i="95"/>
  <c r="AU10" i="95"/>
  <c r="AR10" i="95"/>
  <c r="AQ10" i="95"/>
  <c r="AI10" i="95"/>
  <c r="AH10" i="95"/>
  <c r="AG10" i="95"/>
  <c r="AF10" i="95"/>
  <c r="AC10" i="95"/>
  <c r="AB10" i="95"/>
  <c r="Y10" i="95"/>
  <c r="X10" i="95"/>
  <c r="P10" i="95"/>
  <c r="O10" i="95"/>
  <c r="N10" i="95"/>
  <c r="M10" i="95"/>
  <c r="J10" i="95"/>
  <c r="I10" i="95"/>
  <c r="F10" i="95"/>
  <c r="E10" i="95"/>
  <c r="CD9" i="95"/>
  <c r="CC9" i="95"/>
  <c r="BU9" i="95"/>
  <c r="BT9" i="95"/>
  <c r="BS9" i="95"/>
  <c r="BR9" i="95"/>
  <c r="BO9" i="95"/>
  <c r="BN9" i="95"/>
  <c r="BK9" i="95"/>
  <c r="BJ9" i="95"/>
  <c r="BB9" i="95"/>
  <c r="BD9" i="95" s="1"/>
  <c r="BA9" i="95"/>
  <c r="AZ9" i="95"/>
  <c r="AY9" i="95"/>
  <c r="AV9" i="95"/>
  <c r="AU9" i="95"/>
  <c r="AR9" i="95"/>
  <c r="AQ9" i="95"/>
  <c r="AI9" i="95"/>
  <c r="AJ9" i="95" s="1"/>
  <c r="AH9" i="95"/>
  <c r="AG9" i="95"/>
  <c r="AF9" i="95"/>
  <c r="AC9" i="95"/>
  <c r="AB9" i="95"/>
  <c r="Y9" i="95"/>
  <c r="X9" i="95"/>
  <c r="P9" i="95"/>
  <c r="Q9" i="95" s="1"/>
  <c r="O9" i="95"/>
  <c r="N9" i="95"/>
  <c r="M9" i="95"/>
  <c r="J9" i="95"/>
  <c r="I9" i="95"/>
  <c r="F9" i="95"/>
  <c r="E9" i="95"/>
  <c r="CD8" i="95"/>
  <c r="CC8" i="95"/>
  <c r="BY8" i="95"/>
  <c r="BY9" i="95" s="1"/>
  <c r="BY10" i="95" s="1"/>
  <c r="BY11" i="95" s="1"/>
  <c r="BY12" i="95" s="1"/>
  <c r="BY13" i="95" s="1"/>
  <c r="BY14" i="95" s="1"/>
  <c r="BY15" i="95" s="1"/>
  <c r="BY16" i="95" s="1"/>
  <c r="BY17" i="95" s="1"/>
  <c r="BY18" i="95" s="1"/>
  <c r="BY19" i="95" s="1"/>
  <c r="BY20" i="95" s="1"/>
  <c r="BY21" i="95" s="1"/>
  <c r="BY22" i="95" s="1"/>
  <c r="BY23" i="95" s="1"/>
  <c r="BY24" i="95" s="1"/>
  <c r="BY25" i="95" s="1"/>
  <c r="BY26" i="95" s="1"/>
  <c r="BY27" i="95" s="1"/>
  <c r="BY28" i="95" s="1"/>
  <c r="BY29" i="95" s="1"/>
  <c r="BY30" i="95" s="1"/>
  <c r="BY31" i="95" s="1"/>
  <c r="BY32" i="95" s="1"/>
  <c r="BY33" i="95" s="1"/>
  <c r="BY34" i="95" s="1"/>
  <c r="BY35" i="95" s="1"/>
  <c r="BY36" i="95" s="1"/>
  <c r="BU8" i="95"/>
  <c r="BW8" i="95" s="1"/>
  <c r="BT8" i="95"/>
  <c r="BS8" i="95"/>
  <c r="BR8" i="95"/>
  <c r="BO8" i="95"/>
  <c r="BN8" i="95"/>
  <c r="BK8" i="95"/>
  <c r="BJ8" i="95"/>
  <c r="BF8" i="95"/>
  <c r="BF9" i="95" s="1"/>
  <c r="BF10" i="95" s="1"/>
  <c r="BF11" i="95" s="1"/>
  <c r="BF12" i="95" s="1"/>
  <c r="BF13" i="95" s="1"/>
  <c r="BF14" i="95" s="1"/>
  <c r="BF15" i="95" s="1"/>
  <c r="BF16" i="95" s="1"/>
  <c r="BF17" i="95" s="1"/>
  <c r="BF18" i="95" s="1"/>
  <c r="BF19" i="95" s="1"/>
  <c r="BF20" i="95" s="1"/>
  <c r="BF21" i="95" s="1"/>
  <c r="BF22" i="95" s="1"/>
  <c r="BF23" i="95" s="1"/>
  <c r="BF24" i="95" s="1"/>
  <c r="BF25" i="95" s="1"/>
  <c r="BF26" i="95" s="1"/>
  <c r="BF27" i="95" s="1"/>
  <c r="BF28" i="95" s="1"/>
  <c r="BF29" i="95" s="1"/>
  <c r="BF30" i="95" s="1"/>
  <c r="BF31" i="95" s="1"/>
  <c r="BF32" i="95" s="1"/>
  <c r="BF33" i="95" s="1"/>
  <c r="BF34" i="95" s="1"/>
  <c r="BF35" i="95" s="1"/>
  <c r="BF36" i="95" s="1"/>
  <c r="BB8" i="95"/>
  <c r="BC8" i="95" s="1"/>
  <c r="BA8" i="95"/>
  <c r="AZ8" i="95"/>
  <c r="AY8" i="95"/>
  <c r="AV8" i="95"/>
  <c r="AU8" i="95"/>
  <c r="AR8" i="95"/>
  <c r="AQ8" i="95"/>
  <c r="AM8" i="95"/>
  <c r="AM9" i="95" s="1"/>
  <c r="AM10" i="95" s="1"/>
  <c r="AM11" i="95" s="1"/>
  <c r="AM12" i="95" s="1"/>
  <c r="AM13" i="95" s="1"/>
  <c r="AM14" i="95" s="1"/>
  <c r="AM15" i="95" s="1"/>
  <c r="AM16" i="95" s="1"/>
  <c r="AM17" i="95" s="1"/>
  <c r="AM18" i="95" s="1"/>
  <c r="AM19" i="95" s="1"/>
  <c r="AM20" i="95" s="1"/>
  <c r="AM21" i="95" s="1"/>
  <c r="AM22" i="95" s="1"/>
  <c r="AM23" i="95" s="1"/>
  <c r="AM24" i="95" s="1"/>
  <c r="AM25" i="95" s="1"/>
  <c r="AM26" i="95" s="1"/>
  <c r="AM27" i="95" s="1"/>
  <c r="AM28" i="95" s="1"/>
  <c r="AM29" i="95" s="1"/>
  <c r="AM30" i="95" s="1"/>
  <c r="AM31" i="95" s="1"/>
  <c r="AM32" i="95" s="1"/>
  <c r="AM33" i="95" s="1"/>
  <c r="AM34" i="95" s="1"/>
  <c r="AM35" i="95" s="1"/>
  <c r="AM36" i="95" s="1"/>
  <c r="AI8" i="95"/>
  <c r="AJ8" i="95" s="1"/>
  <c r="AH8" i="95"/>
  <c r="AG8" i="95"/>
  <c r="AF8" i="95"/>
  <c r="AC8" i="95"/>
  <c r="AB8" i="95"/>
  <c r="Y8" i="95"/>
  <c r="X8" i="95"/>
  <c r="T8" i="95"/>
  <c r="T9" i="95" s="1"/>
  <c r="T10" i="95" s="1"/>
  <c r="T11" i="95" s="1"/>
  <c r="T12" i="95" s="1"/>
  <c r="T13" i="95" s="1"/>
  <c r="T14" i="95" s="1"/>
  <c r="T15" i="95" s="1"/>
  <c r="T16" i="95" s="1"/>
  <c r="T17" i="95" s="1"/>
  <c r="T18" i="95" s="1"/>
  <c r="T19" i="95" s="1"/>
  <c r="T20" i="95" s="1"/>
  <c r="T21" i="95" s="1"/>
  <c r="T22" i="95" s="1"/>
  <c r="T23" i="95" s="1"/>
  <c r="T24" i="95" s="1"/>
  <c r="T25" i="95" s="1"/>
  <c r="T26" i="95" s="1"/>
  <c r="T27" i="95" s="1"/>
  <c r="T28" i="95" s="1"/>
  <c r="T29" i="95" s="1"/>
  <c r="T30" i="95" s="1"/>
  <c r="T31" i="95" s="1"/>
  <c r="T32" i="95" s="1"/>
  <c r="T33" i="95" s="1"/>
  <c r="T34" i="95" s="1"/>
  <c r="T35" i="95" s="1"/>
  <c r="T36" i="95" s="1"/>
  <c r="P8" i="95"/>
  <c r="O8" i="95"/>
  <c r="N8" i="95"/>
  <c r="M8" i="95"/>
  <c r="J8" i="95"/>
  <c r="I8" i="95"/>
  <c r="F8" i="95"/>
  <c r="E8" i="95"/>
  <c r="A8" i="95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34" i="95" s="1"/>
  <c r="A35" i="95" s="1"/>
  <c r="A36" i="95" s="1"/>
  <c r="CD7" i="95"/>
  <c r="CC7" i="95"/>
  <c r="BU7" i="95"/>
  <c r="BW7" i="95" s="1"/>
  <c r="BT7" i="95"/>
  <c r="BS7" i="95"/>
  <c r="BR7" i="95"/>
  <c r="BO7" i="95"/>
  <c r="BN7" i="95"/>
  <c r="BK7" i="95"/>
  <c r="BJ7" i="95"/>
  <c r="BB7" i="95"/>
  <c r="BD7" i="95" s="1"/>
  <c r="BA7" i="95"/>
  <c r="AZ7" i="95"/>
  <c r="AY7" i="95"/>
  <c r="AV7" i="95"/>
  <c r="AU7" i="95"/>
  <c r="AR7" i="95"/>
  <c r="AQ7" i="95"/>
  <c r="AI7" i="95"/>
  <c r="AH7" i="95"/>
  <c r="AG7" i="95"/>
  <c r="AF7" i="95"/>
  <c r="AC7" i="95"/>
  <c r="AB7" i="95"/>
  <c r="Y7" i="95"/>
  <c r="X7" i="95"/>
  <c r="P7" i="95"/>
  <c r="O7" i="95"/>
  <c r="N7" i="95"/>
  <c r="M7" i="95"/>
  <c r="J7" i="95"/>
  <c r="I7" i="95"/>
  <c r="F7" i="95"/>
  <c r="E7" i="95"/>
  <c r="I26" i="90"/>
  <c r="C26" i="90"/>
  <c r="L25" i="90"/>
  <c r="J25" i="90" s="1"/>
  <c r="K25" i="90"/>
  <c r="F25" i="90"/>
  <c r="D25" i="90" s="1"/>
  <c r="E25" i="90"/>
  <c r="L24" i="90"/>
  <c r="J24" i="90" s="1"/>
  <c r="K24" i="90"/>
  <c r="F24" i="90"/>
  <c r="D24" i="90" s="1"/>
  <c r="E24" i="90"/>
  <c r="L23" i="90"/>
  <c r="J23" i="90" s="1"/>
  <c r="K23" i="90"/>
  <c r="F23" i="90"/>
  <c r="D23" i="90" s="1"/>
  <c r="E23" i="90"/>
  <c r="L22" i="90"/>
  <c r="J22" i="90" s="1"/>
  <c r="K22" i="90"/>
  <c r="F22" i="90"/>
  <c r="D22" i="90" s="1"/>
  <c r="E22" i="90"/>
  <c r="L21" i="90"/>
  <c r="J21" i="90" s="1"/>
  <c r="K21" i="90"/>
  <c r="F21" i="90"/>
  <c r="D21" i="90" s="1"/>
  <c r="E21" i="90"/>
  <c r="L20" i="90"/>
  <c r="J20" i="90" s="1"/>
  <c r="K20" i="90"/>
  <c r="F20" i="90"/>
  <c r="D20" i="90" s="1"/>
  <c r="E20" i="90"/>
  <c r="L19" i="90"/>
  <c r="J19" i="90" s="1"/>
  <c r="K19" i="90"/>
  <c r="F19" i="90"/>
  <c r="D19" i="90" s="1"/>
  <c r="E19" i="90"/>
  <c r="L18" i="90"/>
  <c r="J18" i="90" s="1"/>
  <c r="K18" i="90"/>
  <c r="F18" i="90"/>
  <c r="D18" i="90" s="1"/>
  <c r="E18" i="90"/>
  <c r="L17" i="90"/>
  <c r="J17" i="90" s="1"/>
  <c r="K17" i="90"/>
  <c r="F17" i="90"/>
  <c r="D17" i="90" s="1"/>
  <c r="E17" i="90"/>
  <c r="L16" i="90"/>
  <c r="J16" i="90" s="1"/>
  <c r="K16" i="90"/>
  <c r="F16" i="90"/>
  <c r="D16" i="90" s="1"/>
  <c r="E16" i="90"/>
  <c r="L15" i="90"/>
  <c r="J15" i="90" s="1"/>
  <c r="K15" i="90"/>
  <c r="F15" i="90"/>
  <c r="D15" i="90" s="1"/>
  <c r="E15" i="90"/>
  <c r="L14" i="90"/>
  <c r="J14" i="90" s="1"/>
  <c r="K14" i="90"/>
  <c r="F14" i="90"/>
  <c r="D14" i="90" s="1"/>
  <c r="E14" i="90"/>
  <c r="L13" i="90"/>
  <c r="J13" i="90" s="1"/>
  <c r="K13" i="90"/>
  <c r="F13" i="90"/>
  <c r="D13" i="90" s="1"/>
  <c r="E13" i="90"/>
  <c r="L12" i="90"/>
  <c r="J12" i="90" s="1"/>
  <c r="K12" i="90"/>
  <c r="F12" i="90"/>
  <c r="D12" i="90" s="1"/>
  <c r="E12" i="90"/>
  <c r="L11" i="90"/>
  <c r="G11" i="90"/>
  <c r="K11" i="90" s="1"/>
  <c r="F11" i="90"/>
  <c r="L10" i="90"/>
  <c r="J10" i="90" s="1"/>
  <c r="K10" i="90"/>
  <c r="F10" i="90"/>
  <c r="D10" i="90" s="1"/>
  <c r="E10" i="90"/>
  <c r="L9" i="90"/>
  <c r="F9" i="90"/>
  <c r="L8" i="90"/>
  <c r="F8" i="90"/>
  <c r="L7" i="90"/>
  <c r="F7" i="90"/>
  <c r="L6" i="90"/>
  <c r="F6" i="90"/>
  <c r="L5" i="90"/>
  <c r="G5" i="90"/>
  <c r="F5" i="90"/>
  <c r="L4" i="90"/>
  <c r="J4" i="90" s="1"/>
  <c r="K4" i="90"/>
  <c r="F4" i="90"/>
  <c r="D4" i="90" s="1"/>
  <c r="E4" i="90"/>
  <c r="I24" i="88"/>
  <c r="C24" i="88"/>
  <c r="L23" i="88"/>
  <c r="J23" i="88" s="1"/>
  <c r="K23" i="88"/>
  <c r="F23" i="88"/>
  <c r="D23" i="88" s="1"/>
  <c r="E23" i="88"/>
  <c r="L22" i="88"/>
  <c r="J22" i="88" s="1"/>
  <c r="K22" i="88"/>
  <c r="F22" i="88"/>
  <c r="D22" i="88" s="1"/>
  <c r="E22" i="88"/>
  <c r="L21" i="88"/>
  <c r="J21" i="88" s="1"/>
  <c r="K21" i="88"/>
  <c r="F21" i="88"/>
  <c r="D21" i="88" s="1"/>
  <c r="E21" i="88"/>
  <c r="L20" i="88"/>
  <c r="J20" i="88" s="1"/>
  <c r="K20" i="88"/>
  <c r="F20" i="88"/>
  <c r="D20" i="88" s="1"/>
  <c r="E20" i="88"/>
  <c r="L19" i="88"/>
  <c r="J19" i="88" s="1"/>
  <c r="K19" i="88"/>
  <c r="F19" i="88"/>
  <c r="D19" i="88" s="1"/>
  <c r="E19" i="88"/>
  <c r="L18" i="88"/>
  <c r="J18" i="88" s="1"/>
  <c r="K18" i="88"/>
  <c r="F18" i="88"/>
  <c r="D18" i="88" s="1"/>
  <c r="E18" i="88"/>
  <c r="L17" i="88"/>
  <c r="J17" i="88" s="1"/>
  <c r="K17" i="88"/>
  <c r="F17" i="88"/>
  <c r="D17" i="88" s="1"/>
  <c r="E17" i="88"/>
  <c r="L16" i="88"/>
  <c r="J16" i="88" s="1"/>
  <c r="K16" i="88"/>
  <c r="F16" i="88"/>
  <c r="D16" i="88" s="1"/>
  <c r="E16" i="88"/>
  <c r="L15" i="88"/>
  <c r="J15" i="88" s="1"/>
  <c r="K15" i="88"/>
  <c r="F15" i="88"/>
  <c r="D15" i="88" s="1"/>
  <c r="E15" i="88"/>
  <c r="L14" i="88"/>
  <c r="J14" i="88" s="1"/>
  <c r="K14" i="88"/>
  <c r="F14" i="88"/>
  <c r="D14" i="88" s="1"/>
  <c r="E14" i="88"/>
  <c r="L13" i="88"/>
  <c r="J13" i="88" s="1"/>
  <c r="K13" i="88"/>
  <c r="F13" i="88"/>
  <c r="D13" i="88" s="1"/>
  <c r="E13" i="88"/>
  <c r="L12" i="88"/>
  <c r="J12" i="88" s="1"/>
  <c r="K12" i="88"/>
  <c r="F12" i="88"/>
  <c r="D12" i="88" s="1"/>
  <c r="E12" i="88"/>
  <c r="L11" i="88"/>
  <c r="G11" i="88"/>
  <c r="F11" i="88"/>
  <c r="L10" i="88"/>
  <c r="J10" i="88" s="1"/>
  <c r="K10" i="88"/>
  <c r="F10" i="88"/>
  <c r="D10" i="88" s="1"/>
  <c r="E10" i="88"/>
  <c r="L9" i="88"/>
  <c r="F9" i="88"/>
  <c r="L8" i="88"/>
  <c r="F8" i="88"/>
  <c r="L7" i="88"/>
  <c r="F7" i="88"/>
  <c r="L6" i="88"/>
  <c r="F6" i="88"/>
  <c r="L5" i="88"/>
  <c r="G5" i="88"/>
  <c r="G6" i="88" s="1"/>
  <c r="G7" i="88" s="1"/>
  <c r="G8" i="88" s="1"/>
  <c r="F5" i="88"/>
  <c r="L4" i="88"/>
  <c r="J4" i="88" s="1"/>
  <c r="K4" i="88"/>
  <c r="F4" i="88"/>
  <c r="D4" i="88" s="1"/>
  <c r="E4" i="88"/>
  <c r="I25" i="86"/>
  <c r="C25" i="86"/>
  <c r="L24" i="86"/>
  <c r="J24" i="86" s="1"/>
  <c r="K24" i="86"/>
  <c r="F24" i="86"/>
  <c r="D24" i="86" s="1"/>
  <c r="E24" i="86"/>
  <c r="L23" i="86"/>
  <c r="J23" i="86" s="1"/>
  <c r="K23" i="86"/>
  <c r="F23" i="86"/>
  <c r="D23" i="86" s="1"/>
  <c r="E23" i="86"/>
  <c r="L22" i="86"/>
  <c r="J22" i="86" s="1"/>
  <c r="K22" i="86"/>
  <c r="F22" i="86"/>
  <c r="D22" i="86" s="1"/>
  <c r="E22" i="86"/>
  <c r="L21" i="86"/>
  <c r="J21" i="86" s="1"/>
  <c r="K21" i="86"/>
  <c r="F21" i="86"/>
  <c r="D21" i="86" s="1"/>
  <c r="E21" i="86"/>
  <c r="L20" i="86"/>
  <c r="J20" i="86" s="1"/>
  <c r="K20" i="86"/>
  <c r="F20" i="86"/>
  <c r="D20" i="86" s="1"/>
  <c r="E20" i="86"/>
  <c r="L19" i="86"/>
  <c r="J19" i="86" s="1"/>
  <c r="K19" i="86"/>
  <c r="F19" i="86"/>
  <c r="D19" i="86" s="1"/>
  <c r="E19" i="86"/>
  <c r="L18" i="86"/>
  <c r="J18" i="86" s="1"/>
  <c r="K18" i="86"/>
  <c r="F18" i="86"/>
  <c r="D18" i="86" s="1"/>
  <c r="E18" i="86"/>
  <c r="L17" i="86"/>
  <c r="J17" i="86" s="1"/>
  <c r="K17" i="86"/>
  <c r="F17" i="86"/>
  <c r="D17" i="86" s="1"/>
  <c r="E17" i="86"/>
  <c r="L16" i="86"/>
  <c r="J16" i="86" s="1"/>
  <c r="K16" i="86"/>
  <c r="F16" i="86"/>
  <c r="D16" i="86" s="1"/>
  <c r="E16" i="86"/>
  <c r="L15" i="86"/>
  <c r="J15" i="86" s="1"/>
  <c r="K15" i="86"/>
  <c r="F15" i="86"/>
  <c r="D15" i="86" s="1"/>
  <c r="E15" i="86"/>
  <c r="L14" i="86"/>
  <c r="J14" i="86" s="1"/>
  <c r="K14" i="86"/>
  <c r="F14" i="86"/>
  <c r="D14" i="86" s="1"/>
  <c r="E14" i="86"/>
  <c r="L13" i="86"/>
  <c r="J13" i="86" s="1"/>
  <c r="K13" i="86"/>
  <c r="F13" i="86"/>
  <c r="D13" i="86" s="1"/>
  <c r="E13" i="86"/>
  <c r="L12" i="86"/>
  <c r="J12" i="86" s="1"/>
  <c r="K12" i="86"/>
  <c r="F12" i="86"/>
  <c r="D12" i="86" s="1"/>
  <c r="E12" i="86"/>
  <c r="L11" i="86"/>
  <c r="G11" i="86"/>
  <c r="F11" i="86"/>
  <c r="L10" i="86"/>
  <c r="J10" i="86" s="1"/>
  <c r="K10" i="86"/>
  <c r="F10" i="86"/>
  <c r="D10" i="86" s="1"/>
  <c r="E10" i="86"/>
  <c r="L9" i="86"/>
  <c r="F9" i="86"/>
  <c r="L8" i="86"/>
  <c r="F8" i="86"/>
  <c r="L7" i="86"/>
  <c r="F7" i="86"/>
  <c r="L6" i="86"/>
  <c r="F6" i="86"/>
  <c r="L5" i="86"/>
  <c r="G5" i="86"/>
  <c r="G6" i="86" s="1"/>
  <c r="G7" i="86" s="1"/>
  <c r="F5" i="86"/>
  <c r="L4" i="86"/>
  <c r="J4" i="86" s="1"/>
  <c r="K4" i="86"/>
  <c r="F4" i="86"/>
  <c r="D4" i="86" s="1"/>
  <c r="E4" i="86"/>
  <c r="I22" i="84"/>
  <c r="C22" i="84"/>
  <c r="L21" i="84"/>
  <c r="J21" i="84" s="1"/>
  <c r="K21" i="84"/>
  <c r="F21" i="84"/>
  <c r="D21" i="84" s="1"/>
  <c r="E21" i="84"/>
  <c r="L20" i="84"/>
  <c r="J20" i="84" s="1"/>
  <c r="K20" i="84"/>
  <c r="F20" i="84"/>
  <c r="D20" i="84" s="1"/>
  <c r="E20" i="84"/>
  <c r="L19" i="84"/>
  <c r="J19" i="84" s="1"/>
  <c r="K19" i="84"/>
  <c r="F19" i="84"/>
  <c r="D19" i="84" s="1"/>
  <c r="E19" i="84"/>
  <c r="L18" i="84"/>
  <c r="J18" i="84" s="1"/>
  <c r="K18" i="84"/>
  <c r="F18" i="84"/>
  <c r="D18" i="84" s="1"/>
  <c r="E18" i="84"/>
  <c r="L17" i="84"/>
  <c r="J17" i="84" s="1"/>
  <c r="K17" i="84"/>
  <c r="F17" i="84"/>
  <c r="D17" i="84" s="1"/>
  <c r="E17" i="84"/>
  <c r="L16" i="84"/>
  <c r="J16" i="84" s="1"/>
  <c r="K16" i="84"/>
  <c r="F16" i="84"/>
  <c r="D16" i="84" s="1"/>
  <c r="E16" i="84"/>
  <c r="L15" i="84"/>
  <c r="J15" i="84" s="1"/>
  <c r="K15" i="84"/>
  <c r="F15" i="84"/>
  <c r="D15" i="84" s="1"/>
  <c r="E15" i="84"/>
  <c r="L14" i="84"/>
  <c r="J14" i="84" s="1"/>
  <c r="K14" i="84"/>
  <c r="F14" i="84"/>
  <c r="D14" i="84" s="1"/>
  <c r="E14" i="84"/>
  <c r="L13" i="84"/>
  <c r="J13" i="84" s="1"/>
  <c r="K13" i="84"/>
  <c r="F13" i="84"/>
  <c r="D13" i="84" s="1"/>
  <c r="E13" i="84"/>
  <c r="L12" i="84"/>
  <c r="J12" i="84" s="1"/>
  <c r="K12" i="84"/>
  <c r="F12" i="84"/>
  <c r="D12" i="84" s="1"/>
  <c r="E12" i="84"/>
  <c r="L11" i="84"/>
  <c r="G11" i="84"/>
  <c r="F11" i="84"/>
  <c r="L10" i="84"/>
  <c r="J10" i="84" s="1"/>
  <c r="K10" i="84"/>
  <c r="F10" i="84"/>
  <c r="D10" i="84" s="1"/>
  <c r="E10" i="84"/>
  <c r="L9" i="84"/>
  <c r="F9" i="84"/>
  <c r="L8" i="84"/>
  <c r="F8" i="84"/>
  <c r="L7" i="84"/>
  <c r="F7" i="84"/>
  <c r="L6" i="84"/>
  <c r="F6" i="84"/>
  <c r="L5" i="84"/>
  <c r="G5" i="84"/>
  <c r="F5" i="84"/>
  <c r="L4" i="84"/>
  <c r="J4" i="84" s="1"/>
  <c r="K4" i="84"/>
  <c r="F4" i="84"/>
  <c r="D4" i="84" s="1"/>
  <c r="E4" i="84"/>
  <c r="I25" i="70"/>
  <c r="C25" i="70"/>
  <c r="L24" i="70"/>
  <c r="J24" i="70" s="1"/>
  <c r="K24" i="70"/>
  <c r="F24" i="70"/>
  <c r="D24" i="70" s="1"/>
  <c r="E24" i="70"/>
  <c r="L23" i="70"/>
  <c r="J23" i="70" s="1"/>
  <c r="K23" i="70"/>
  <c r="F23" i="70"/>
  <c r="D23" i="70" s="1"/>
  <c r="E23" i="70"/>
  <c r="L22" i="70"/>
  <c r="J22" i="70" s="1"/>
  <c r="K22" i="70"/>
  <c r="F22" i="70"/>
  <c r="D22" i="70" s="1"/>
  <c r="E22" i="70"/>
  <c r="L21" i="70"/>
  <c r="F21" i="70"/>
  <c r="L20" i="70"/>
  <c r="F20" i="70"/>
  <c r="L19" i="70"/>
  <c r="G19" i="70"/>
  <c r="K19" i="70" s="1"/>
  <c r="F19" i="70"/>
  <c r="L18" i="70"/>
  <c r="J18" i="70" s="1"/>
  <c r="K18" i="70"/>
  <c r="F18" i="70"/>
  <c r="D18" i="70" s="1"/>
  <c r="E18" i="70"/>
  <c r="L17" i="70"/>
  <c r="J17" i="70" s="1"/>
  <c r="K17" i="70"/>
  <c r="F17" i="70"/>
  <c r="D17" i="70" s="1"/>
  <c r="E17" i="70"/>
  <c r="L16" i="70"/>
  <c r="J16" i="70" s="1"/>
  <c r="K16" i="70"/>
  <c r="F16" i="70"/>
  <c r="D16" i="70" s="1"/>
  <c r="E16" i="70"/>
  <c r="L15" i="70"/>
  <c r="J15" i="70" s="1"/>
  <c r="K15" i="70"/>
  <c r="F15" i="70"/>
  <c r="D15" i="70" s="1"/>
  <c r="E15" i="70"/>
  <c r="L14" i="70"/>
  <c r="F14" i="70"/>
  <c r="L13" i="70"/>
  <c r="F13" i="70"/>
  <c r="L12" i="70"/>
  <c r="F12" i="70"/>
  <c r="L11" i="70"/>
  <c r="F11" i="70"/>
  <c r="L10" i="70"/>
  <c r="F10" i="70"/>
  <c r="L9" i="70"/>
  <c r="F9" i="70"/>
  <c r="L8" i="70"/>
  <c r="F8" i="70"/>
  <c r="L7" i="70"/>
  <c r="F7" i="70"/>
  <c r="L6" i="70"/>
  <c r="F6" i="70"/>
  <c r="L5" i="70"/>
  <c r="G5" i="70"/>
  <c r="K5" i="70" s="1"/>
  <c r="F5" i="70"/>
  <c r="L4" i="70"/>
  <c r="J4" i="70" s="1"/>
  <c r="K4" i="70"/>
  <c r="F4" i="70"/>
  <c r="D4" i="70" s="1"/>
  <c r="E4" i="70"/>
  <c r="I25" i="66"/>
  <c r="C25" i="66"/>
  <c r="L24" i="66"/>
  <c r="J24" i="66" s="1"/>
  <c r="K24" i="66"/>
  <c r="F24" i="66"/>
  <c r="D24" i="66" s="1"/>
  <c r="E24" i="66"/>
  <c r="L23" i="66"/>
  <c r="J23" i="66" s="1"/>
  <c r="K23" i="66"/>
  <c r="F23" i="66"/>
  <c r="D23" i="66" s="1"/>
  <c r="E23" i="66"/>
  <c r="L22" i="66"/>
  <c r="J22" i="66" s="1"/>
  <c r="K22" i="66"/>
  <c r="F22" i="66"/>
  <c r="D22" i="66" s="1"/>
  <c r="E22" i="66"/>
  <c r="L21" i="66"/>
  <c r="J21" i="66" s="1"/>
  <c r="K21" i="66"/>
  <c r="F21" i="66"/>
  <c r="D21" i="66" s="1"/>
  <c r="E21" i="66"/>
  <c r="L20" i="66"/>
  <c r="J20" i="66" s="1"/>
  <c r="K20" i="66"/>
  <c r="F20" i="66"/>
  <c r="D20" i="66" s="1"/>
  <c r="E20" i="66"/>
  <c r="L19" i="66"/>
  <c r="F19" i="66"/>
  <c r="L18" i="66"/>
  <c r="F18" i="66"/>
  <c r="L17" i="66"/>
  <c r="F17" i="66"/>
  <c r="L16" i="66"/>
  <c r="F16" i="66"/>
  <c r="L15" i="66"/>
  <c r="F15" i="66"/>
  <c r="L14" i="66"/>
  <c r="F14" i="66"/>
  <c r="L13" i="66"/>
  <c r="F13" i="66"/>
  <c r="L12" i="66"/>
  <c r="F12" i="66"/>
  <c r="L11" i="66"/>
  <c r="F11" i="66"/>
  <c r="L10" i="66"/>
  <c r="F10" i="66"/>
  <c r="L9" i="66"/>
  <c r="F9" i="66"/>
  <c r="L8" i="66"/>
  <c r="F8" i="66"/>
  <c r="L7" i="66"/>
  <c r="F7" i="66"/>
  <c r="L6" i="66"/>
  <c r="F6" i="66"/>
  <c r="L5" i="66"/>
  <c r="G5" i="66"/>
  <c r="K5" i="66" s="1"/>
  <c r="F5" i="66"/>
  <c r="L4" i="66"/>
  <c r="J4" i="66" s="1"/>
  <c r="K4" i="66"/>
  <c r="F4" i="66"/>
  <c r="D4" i="66" s="1"/>
  <c r="E4" i="66"/>
  <c r="I24" i="64"/>
  <c r="C24" i="64"/>
  <c r="L23" i="64"/>
  <c r="J23" i="64" s="1"/>
  <c r="K23" i="64"/>
  <c r="F23" i="64"/>
  <c r="D23" i="64" s="1"/>
  <c r="E23" i="64"/>
  <c r="L22" i="64"/>
  <c r="J22" i="64" s="1"/>
  <c r="K22" i="64"/>
  <c r="F22" i="64"/>
  <c r="D22" i="64" s="1"/>
  <c r="E22" i="64"/>
  <c r="L21" i="64"/>
  <c r="J21" i="64" s="1"/>
  <c r="K21" i="64"/>
  <c r="F21" i="64"/>
  <c r="D21" i="64" s="1"/>
  <c r="E21" i="64"/>
  <c r="L20" i="64"/>
  <c r="J20" i="64" s="1"/>
  <c r="K20" i="64"/>
  <c r="F20" i="64"/>
  <c r="D20" i="64" s="1"/>
  <c r="E20" i="64"/>
  <c r="L19" i="64"/>
  <c r="F19" i="64"/>
  <c r="L18" i="64"/>
  <c r="F18" i="64"/>
  <c r="L17" i="64"/>
  <c r="F17" i="64"/>
  <c r="L16" i="64"/>
  <c r="F16" i="64"/>
  <c r="L15" i="64"/>
  <c r="F15" i="64"/>
  <c r="L14" i="64"/>
  <c r="F14" i="64"/>
  <c r="L13" i="64"/>
  <c r="F13" i="64"/>
  <c r="L12" i="64"/>
  <c r="F12" i="64"/>
  <c r="L11" i="64"/>
  <c r="F11" i="64"/>
  <c r="L10" i="64"/>
  <c r="F10" i="64"/>
  <c r="L9" i="64"/>
  <c r="F9" i="64"/>
  <c r="L8" i="64"/>
  <c r="F8" i="64"/>
  <c r="L7" i="64"/>
  <c r="F7" i="64"/>
  <c r="L6" i="64"/>
  <c r="F6" i="64"/>
  <c r="L5" i="64"/>
  <c r="G5" i="64"/>
  <c r="K5" i="64" s="1"/>
  <c r="F5" i="64"/>
  <c r="L4" i="64"/>
  <c r="J4" i="64" s="1"/>
  <c r="K4" i="64"/>
  <c r="F4" i="64"/>
  <c r="D4" i="64" s="1"/>
  <c r="E4" i="64"/>
  <c r="I25" i="62"/>
  <c r="C25" i="62"/>
  <c r="G5" i="62"/>
  <c r="G6" i="62" s="1"/>
  <c r="K4" i="62"/>
  <c r="E4" i="62"/>
  <c r="I22" i="60"/>
  <c r="C22" i="60"/>
  <c r="L21" i="60"/>
  <c r="J21" i="60" s="1"/>
  <c r="K21" i="60"/>
  <c r="F21" i="60"/>
  <c r="D21" i="60" s="1"/>
  <c r="E21" i="60"/>
  <c r="L20" i="60"/>
  <c r="J20" i="60" s="1"/>
  <c r="K20" i="60"/>
  <c r="F20" i="60"/>
  <c r="D20" i="60" s="1"/>
  <c r="E20" i="60"/>
  <c r="L19" i="60"/>
  <c r="J19" i="60" s="1"/>
  <c r="K19" i="60"/>
  <c r="F19" i="60"/>
  <c r="D19" i="60" s="1"/>
  <c r="E19" i="60"/>
  <c r="L18" i="60"/>
  <c r="J18" i="60" s="1"/>
  <c r="K18" i="60"/>
  <c r="F18" i="60"/>
  <c r="D18" i="60" s="1"/>
  <c r="E18" i="60"/>
  <c r="L17" i="60"/>
  <c r="J17" i="60" s="1"/>
  <c r="K17" i="60"/>
  <c r="F17" i="60"/>
  <c r="D17" i="60" s="1"/>
  <c r="E17" i="60"/>
  <c r="L16" i="60"/>
  <c r="J16" i="60" s="1"/>
  <c r="K16" i="60"/>
  <c r="F16" i="60"/>
  <c r="D16" i="60" s="1"/>
  <c r="E16" i="60"/>
  <c r="L15" i="60"/>
  <c r="F15" i="60"/>
  <c r="L14" i="60"/>
  <c r="F14" i="60"/>
  <c r="L13" i="60"/>
  <c r="F13" i="60"/>
  <c r="L12" i="60"/>
  <c r="F12" i="60"/>
  <c r="L11" i="60"/>
  <c r="F11" i="60"/>
  <c r="L10" i="60"/>
  <c r="F10" i="60"/>
  <c r="L9" i="60"/>
  <c r="F9" i="60"/>
  <c r="L8" i="60"/>
  <c r="F8" i="60"/>
  <c r="L7" i="60"/>
  <c r="F7" i="60"/>
  <c r="L6" i="60"/>
  <c r="F6" i="60"/>
  <c r="L5" i="60"/>
  <c r="G5" i="60"/>
  <c r="F5" i="60"/>
  <c r="L4" i="60"/>
  <c r="J4" i="60" s="1"/>
  <c r="K4" i="60"/>
  <c r="F4" i="60"/>
  <c r="D4" i="60" s="1"/>
  <c r="E4" i="60"/>
  <c r="CB38" i="47"/>
  <c r="CA38" i="47"/>
  <c r="BQ38" i="47"/>
  <c r="BP38" i="47"/>
  <c r="BM38" i="47"/>
  <c r="BL38" i="47"/>
  <c r="BI38" i="47"/>
  <c r="BH38" i="47"/>
  <c r="AX38" i="47"/>
  <c r="AW38" i="47"/>
  <c r="AT38" i="47"/>
  <c r="AV38" i="47" s="1"/>
  <c r="AS38" i="47"/>
  <c r="AP38" i="47"/>
  <c r="AO38" i="47"/>
  <c r="AE38" i="47"/>
  <c r="AD38" i="47"/>
  <c r="AA38" i="47"/>
  <c r="AC38" i="47" s="1"/>
  <c r="Z38" i="47"/>
  <c r="W38" i="47"/>
  <c r="V38" i="47"/>
  <c r="L38" i="47"/>
  <c r="K38" i="47"/>
  <c r="H38" i="47"/>
  <c r="J38" i="47" s="1"/>
  <c r="G38" i="47"/>
  <c r="D38" i="47"/>
  <c r="C38" i="47"/>
  <c r="CD37" i="47"/>
  <c r="CC37" i="47"/>
  <c r="BU37" i="47"/>
  <c r="BT37" i="47"/>
  <c r="BS37" i="47"/>
  <c r="BR37" i="47"/>
  <c r="BO37" i="47"/>
  <c r="BN37" i="47"/>
  <c r="BK37" i="47"/>
  <c r="BJ37" i="47"/>
  <c r="BB37" i="47"/>
  <c r="BA37" i="47"/>
  <c r="AZ37" i="47"/>
  <c r="AY37" i="47"/>
  <c r="AV37" i="47"/>
  <c r="AU37" i="47"/>
  <c r="AR37" i="47"/>
  <c r="AQ37" i="47"/>
  <c r="AI37" i="47"/>
  <c r="AH37" i="47"/>
  <c r="AG37" i="47"/>
  <c r="AF37" i="47"/>
  <c r="AC37" i="47"/>
  <c r="AB37" i="47"/>
  <c r="Y37" i="47"/>
  <c r="X37" i="47"/>
  <c r="P37" i="47"/>
  <c r="O37" i="47"/>
  <c r="N37" i="47"/>
  <c r="M37" i="47"/>
  <c r="J37" i="47"/>
  <c r="I37" i="47"/>
  <c r="F37" i="47"/>
  <c r="E37" i="47"/>
  <c r="CD36" i="47"/>
  <c r="CC36" i="47"/>
  <c r="BU36" i="47"/>
  <c r="BW36" i="47" s="1"/>
  <c r="BT36" i="47"/>
  <c r="BS36" i="47"/>
  <c r="BR36" i="47"/>
  <c r="BO36" i="47"/>
  <c r="BN36" i="47"/>
  <c r="BK36" i="47"/>
  <c r="BJ36" i="47"/>
  <c r="BB36" i="47"/>
  <c r="BD36" i="47" s="1"/>
  <c r="BA36" i="47"/>
  <c r="AZ36" i="47"/>
  <c r="AY36" i="47"/>
  <c r="AV36" i="47"/>
  <c r="AU36" i="47"/>
  <c r="AR36" i="47"/>
  <c r="AQ36" i="47"/>
  <c r="AI36" i="47"/>
  <c r="AK36" i="47" s="1"/>
  <c r="AH36" i="47"/>
  <c r="AG36" i="47"/>
  <c r="AF36" i="47"/>
  <c r="AC36" i="47"/>
  <c r="AB36" i="47"/>
  <c r="Y36" i="47"/>
  <c r="X36" i="47"/>
  <c r="P36" i="47"/>
  <c r="R36" i="47" s="1"/>
  <c r="O36" i="47"/>
  <c r="N36" i="47"/>
  <c r="M36" i="47"/>
  <c r="J36" i="47"/>
  <c r="I36" i="47"/>
  <c r="F36" i="47"/>
  <c r="E36" i="47"/>
  <c r="CD35" i="47"/>
  <c r="CC35" i="47"/>
  <c r="BU35" i="47"/>
  <c r="BT35" i="47"/>
  <c r="BS35" i="47"/>
  <c r="BR35" i="47"/>
  <c r="BO35" i="47"/>
  <c r="BN35" i="47"/>
  <c r="BK35" i="47"/>
  <c r="BJ35" i="47"/>
  <c r="BB35" i="47"/>
  <c r="BA35" i="47"/>
  <c r="AZ35" i="47"/>
  <c r="AY35" i="47"/>
  <c r="AV35" i="47"/>
  <c r="AU35" i="47"/>
  <c r="AR35" i="47"/>
  <c r="AQ35" i="47"/>
  <c r="AI35" i="47"/>
  <c r="AH35" i="47"/>
  <c r="AG35" i="47"/>
  <c r="AF35" i="47"/>
  <c r="AC35" i="47"/>
  <c r="AB35" i="47"/>
  <c r="Y35" i="47"/>
  <c r="X35" i="47"/>
  <c r="P35" i="47"/>
  <c r="O35" i="47"/>
  <c r="N35" i="47"/>
  <c r="M35" i="47"/>
  <c r="J35" i="47"/>
  <c r="I35" i="47"/>
  <c r="F35" i="47"/>
  <c r="E35" i="47"/>
  <c r="CD34" i="47"/>
  <c r="CC34" i="47"/>
  <c r="BU34" i="47"/>
  <c r="BT34" i="47"/>
  <c r="BS34" i="47"/>
  <c r="BR34" i="47"/>
  <c r="BO34" i="47"/>
  <c r="BN34" i="47"/>
  <c r="BK34" i="47"/>
  <c r="BJ34" i="47"/>
  <c r="BB34" i="47"/>
  <c r="BA34" i="47"/>
  <c r="AZ34" i="47"/>
  <c r="AY34" i="47"/>
  <c r="AV34" i="47"/>
  <c r="AU34" i="47"/>
  <c r="AR34" i="47"/>
  <c r="AQ34" i="47"/>
  <c r="AI34" i="47"/>
  <c r="AH34" i="47"/>
  <c r="AG34" i="47"/>
  <c r="AF34" i="47"/>
  <c r="AC34" i="47"/>
  <c r="AB34" i="47"/>
  <c r="Y34" i="47"/>
  <c r="X34" i="47"/>
  <c r="P34" i="47"/>
  <c r="O34" i="47"/>
  <c r="N34" i="47"/>
  <c r="M34" i="47"/>
  <c r="J34" i="47"/>
  <c r="I34" i="47"/>
  <c r="F34" i="47"/>
  <c r="E34" i="47"/>
  <c r="CD33" i="47"/>
  <c r="CC33" i="47"/>
  <c r="BU33" i="47"/>
  <c r="BT33" i="47"/>
  <c r="BS33" i="47"/>
  <c r="BR33" i="47"/>
  <c r="BO33" i="47"/>
  <c r="BN33" i="47"/>
  <c r="BK33" i="47"/>
  <c r="BJ33" i="47"/>
  <c r="BB33" i="47"/>
  <c r="BA33" i="47"/>
  <c r="AZ33" i="47"/>
  <c r="AY33" i="47"/>
  <c r="AV33" i="47"/>
  <c r="AU33" i="47"/>
  <c r="AR33" i="47"/>
  <c r="AQ33" i="47"/>
  <c r="AI33" i="47"/>
  <c r="AH33" i="47"/>
  <c r="AG33" i="47"/>
  <c r="AF33" i="47"/>
  <c r="AC33" i="47"/>
  <c r="AB33" i="47"/>
  <c r="Y33" i="47"/>
  <c r="X33" i="47"/>
  <c r="P33" i="47"/>
  <c r="O33" i="47"/>
  <c r="N33" i="47"/>
  <c r="M33" i="47"/>
  <c r="J33" i="47"/>
  <c r="I33" i="47"/>
  <c r="F33" i="47"/>
  <c r="E33" i="47"/>
  <c r="CD32" i="47"/>
  <c r="CC32" i="47"/>
  <c r="BU32" i="47"/>
  <c r="BW32" i="47" s="1"/>
  <c r="BT32" i="47"/>
  <c r="BS32" i="47"/>
  <c r="BR32" i="47"/>
  <c r="BO32" i="47"/>
  <c r="BN32" i="47"/>
  <c r="BK32" i="47"/>
  <c r="BJ32" i="47"/>
  <c r="BB32" i="47"/>
  <c r="BA32" i="47"/>
  <c r="AZ32" i="47"/>
  <c r="AY32" i="47"/>
  <c r="AV32" i="47"/>
  <c r="AU32" i="47"/>
  <c r="AR32" i="47"/>
  <c r="AQ32" i="47"/>
  <c r="AI32" i="47"/>
  <c r="AH32" i="47"/>
  <c r="AG32" i="47"/>
  <c r="AF32" i="47"/>
  <c r="AC32" i="47"/>
  <c r="AB32" i="47"/>
  <c r="Y32" i="47"/>
  <c r="X32" i="47"/>
  <c r="P32" i="47"/>
  <c r="O32" i="47"/>
  <c r="N32" i="47"/>
  <c r="M32" i="47"/>
  <c r="J32" i="47"/>
  <c r="I32" i="47"/>
  <c r="F32" i="47"/>
  <c r="E32" i="47"/>
  <c r="CD31" i="47"/>
  <c r="CC31" i="47"/>
  <c r="BU31" i="47"/>
  <c r="BT31" i="47"/>
  <c r="BS31" i="47"/>
  <c r="BR31" i="47"/>
  <c r="BO31" i="47"/>
  <c r="BN31" i="47"/>
  <c r="BK31" i="47"/>
  <c r="BJ31" i="47"/>
  <c r="BB31" i="47"/>
  <c r="BA31" i="47"/>
  <c r="AZ31" i="47"/>
  <c r="AY31" i="47"/>
  <c r="AV31" i="47"/>
  <c r="AU31" i="47"/>
  <c r="AR31" i="47"/>
  <c r="AQ31" i="47"/>
  <c r="AI31" i="47"/>
  <c r="AH31" i="47"/>
  <c r="AG31" i="47"/>
  <c r="AF31" i="47"/>
  <c r="AC31" i="47"/>
  <c r="AB31" i="47"/>
  <c r="Y31" i="47"/>
  <c r="X31" i="47"/>
  <c r="P31" i="47"/>
  <c r="O31" i="47"/>
  <c r="N31" i="47"/>
  <c r="M31" i="47"/>
  <c r="J31" i="47"/>
  <c r="I31" i="47"/>
  <c r="F31" i="47"/>
  <c r="E31" i="47"/>
  <c r="CD30" i="47"/>
  <c r="CC30" i="47"/>
  <c r="BU30" i="47"/>
  <c r="BT30" i="47"/>
  <c r="BS30" i="47"/>
  <c r="BR30" i="47"/>
  <c r="BO30" i="47"/>
  <c r="BN30" i="47"/>
  <c r="BK30" i="47"/>
  <c r="BJ30" i="47"/>
  <c r="BB30" i="47"/>
  <c r="BA30" i="47"/>
  <c r="AZ30" i="47"/>
  <c r="AY30" i="47"/>
  <c r="AV30" i="47"/>
  <c r="AU30" i="47"/>
  <c r="AR30" i="47"/>
  <c r="AQ30" i="47"/>
  <c r="AI30" i="47"/>
  <c r="AH30" i="47"/>
  <c r="AG30" i="47"/>
  <c r="AF30" i="47"/>
  <c r="AC30" i="47"/>
  <c r="AB30" i="47"/>
  <c r="Y30" i="47"/>
  <c r="X30" i="47"/>
  <c r="P30" i="47"/>
  <c r="O30" i="47"/>
  <c r="N30" i="47"/>
  <c r="M30" i="47"/>
  <c r="J30" i="47"/>
  <c r="I30" i="47"/>
  <c r="F30" i="47"/>
  <c r="E30" i="47"/>
  <c r="CD29" i="47"/>
  <c r="CC29" i="47"/>
  <c r="BU29" i="47"/>
  <c r="BT29" i="47"/>
  <c r="BS29" i="47"/>
  <c r="BR29" i="47"/>
  <c r="BO29" i="47"/>
  <c r="BN29" i="47"/>
  <c r="BK29" i="47"/>
  <c r="BJ29" i="47"/>
  <c r="BB29" i="47"/>
  <c r="BA29" i="47"/>
  <c r="AZ29" i="47"/>
  <c r="AY29" i="47"/>
  <c r="AV29" i="47"/>
  <c r="AU29" i="47"/>
  <c r="AR29" i="47"/>
  <c r="AQ29" i="47"/>
  <c r="AI29" i="47"/>
  <c r="AH29" i="47"/>
  <c r="AG29" i="47"/>
  <c r="AF29" i="47"/>
  <c r="AC29" i="47"/>
  <c r="AB29" i="47"/>
  <c r="Y29" i="47"/>
  <c r="X29" i="47"/>
  <c r="P29" i="47"/>
  <c r="O29" i="47"/>
  <c r="N29" i="47"/>
  <c r="M29" i="47"/>
  <c r="J29" i="47"/>
  <c r="I29" i="47"/>
  <c r="F29" i="47"/>
  <c r="E29" i="47"/>
  <c r="CD28" i="47"/>
  <c r="CC28" i="47"/>
  <c r="BU28" i="47"/>
  <c r="BT28" i="47"/>
  <c r="BS28" i="47"/>
  <c r="BR28" i="47"/>
  <c r="BO28" i="47"/>
  <c r="BN28" i="47"/>
  <c r="BK28" i="47"/>
  <c r="BJ28" i="47"/>
  <c r="BB28" i="47"/>
  <c r="BA28" i="47"/>
  <c r="AZ28" i="47"/>
  <c r="AY28" i="47"/>
  <c r="AV28" i="47"/>
  <c r="AU28" i="47"/>
  <c r="AR28" i="47"/>
  <c r="AQ28" i="47"/>
  <c r="AI28" i="47"/>
  <c r="AH28" i="47"/>
  <c r="AG28" i="47"/>
  <c r="AF28" i="47"/>
  <c r="AC28" i="47"/>
  <c r="AB28" i="47"/>
  <c r="Y28" i="47"/>
  <c r="X28" i="47"/>
  <c r="P28" i="47"/>
  <c r="O28" i="47"/>
  <c r="N28" i="47"/>
  <c r="M28" i="47"/>
  <c r="J28" i="47"/>
  <c r="I28" i="47"/>
  <c r="F28" i="47"/>
  <c r="E28" i="47"/>
  <c r="CD27" i="47"/>
  <c r="CC27" i="47"/>
  <c r="BU27" i="47"/>
  <c r="BT27" i="47"/>
  <c r="BS27" i="47"/>
  <c r="BR27" i="47"/>
  <c r="BO27" i="47"/>
  <c r="BN27" i="47"/>
  <c r="BK27" i="47"/>
  <c r="BJ27" i="47"/>
  <c r="BB27" i="47"/>
  <c r="BA27" i="47"/>
  <c r="AZ27" i="47"/>
  <c r="AY27" i="47"/>
  <c r="AV27" i="47"/>
  <c r="AU27" i="47"/>
  <c r="AR27" i="47"/>
  <c r="AQ27" i="47"/>
  <c r="AI27" i="47"/>
  <c r="AH27" i="47"/>
  <c r="AG27" i="47"/>
  <c r="AF27" i="47"/>
  <c r="AC27" i="47"/>
  <c r="AB27" i="47"/>
  <c r="Y27" i="47"/>
  <c r="X27" i="47"/>
  <c r="P27" i="47"/>
  <c r="O27" i="47"/>
  <c r="N27" i="47"/>
  <c r="M27" i="47"/>
  <c r="J27" i="47"/>
  <c r="I27" i="47"/>
  <c r="F27" i="47"/>
  <c r="E27" i="47"/>
  <c r="CD26" i="47"/>
  <c r="CC26" i="47"/>
  <c r="BU26" i="47"/>
  <c r="BT26" i="47"/>
  <c r="BS26" i="47"/>
  <c r="BR26" i="47"/>
  <c r="BO26" i="47"/>
  <c r="BN26" i="47"/>
  <c r="BK26" i="47"/>
  <c r="BJ26" i="47"/>
  <c r="BB26" i="47"/>
  <c r="BA26" i="47"/>
  <c r="AZ26" i="47"/>
  <c r="AY26" i="47"/>
  <c r="AV26" i="47"/>
  <c r="AU26" i="47"/>
  <c r="AR26" i="47"/>
  <c r="AQ26" i="47"/>
  <c r="AI26" i="47"/>
  <c r="AH26" i="47"/>
  <c r="AG26" i="47"/>
  <c r="AF26" i="47"/>
  <c r="AC26" i="47"/>
  <c r="AB26" i="47"/>
  <c r="Y26" i="47"/>
  <c r="X26" i="47"/>
  <c r="P26" i="47"/>
  <c r="O26" i="47"/>
  <c r="N26" i="47"/>
  <c r="M26" i="47"/>
  <c r="J26" i="47"/>
  <c r="I26" i="47"/>
  <c r="F26" i="47"/>
  <c r="E26" i="47"/>
  <c r="CD25" i="47"/>
  <c r="CC25" i="47"/>
  <c r="BU25" i="47"/>
  <c r="BW25" i="47" s="1"/>
  <c r="BT25" i="47"/>
  <c r="BS25" i="47"/>
  <c r="BR25" i="47"/>
  <c r="BO25" i="47"/>
  <c r="BN25" i="47"/>
  <c r="BK25" i="47"/>
  <c r="BJ25" i="47"/>
  <c r="BB25" i="47"/>
  <c r="BD25" i="47" s="1"/>
  <c r="BA25" i="47"/>
  <c r="AZ25" i="47"/>
  <c r="AY25" i="47"/>
  <c r="AV25" i="47"/>
  <c r="AU25" i="47"/>
  <c r="AR25" i="47"/>
  <c r="AQ25" i="47"/>
  <c r="AI25" i="47"/>
  <c r="AH25" i="47"/>
  <c r="AG25" i="47"/>
  <c r="AF25" i="47"/>
  <c r="AC25" i="47"/>
  <c r="AB25" i="47"/>
  <c r="Y25" i="47"/>
  <c r="X25" i="47"/>
  <c r="P25" i="47"/>
  <c r="O25" i="47"/>
  <c r="N25" i="47"/>
  <c r="M25" i="47"/>
  <c r="J25" i="47"/>
  <c r="I25" i="47"/>
  <c r="F25" i="47"/>
  <c r="E25" i="47"/>
  <c r="CD24" i="47"/>
  <c r="CC24" i="47"/>
  <c r="BU24" i="47"/>
  <c r="BT24" i="47"/>
  <c r="BS24" i="47"/>
  <c r="BR24" i="47"/>
  <c r="BO24" i="47"/>
  <c r="BN24" i="47"/>
  <c r="BK24" i="47"/>
  <c r="BJ24" i="47"/>
  <c r="BB24" i="47"/>
  <c r="BA24" i="47"/>
  <c r="AZ24" i="47"/>
  <c r="AY24" i="47"/>
  <c r="AV24" i="47"/>
  <c r="AU24" i="47"/>
  <c r="AR24" i="47"/>
  <c r="AQ24" i="47"/>
  <c r="AI24" i="47"/>
  <c r="AH24" i="47"/>
  <c r="AG24" i="47"/>
  <c r="AF24" i="47"/>
  <c r="AC24" i="47"/>
  <c r="AB24" i="47"/>
  <c r="Y24" i="47"/>
  <c r="X24" i="47"/>
  <c r="P24" i="47"/>
  <c r="O24" i="47"/>
  <c r="N24" i="47"/>
  <c r="M24" i="47"/>
  <c r="J24" i="47"/>
  <c r="I24" i="47"/>
  <c r="F24" i="47"/>
  <c r="E24" i="47"/>
  <c r="CD23" i="47"/>
  <c r="CC23" i="47"/>
  <c r="BU23" i="47"/>
  <c r="BT23" i="47"/>
  <c r="BS23" i="47"/>
  <c r="BR23" i="47"/>
  <c r="BO23" i="47"/>
  <c r="BN23" i="47"/>
  <c r="BK23" i="47"/>
  <c r="BJ23" i="47"/>
  <c r="BB23" i="47"/>
  <c r="BA23" i="47"/>
  <c r="AZ23" i="47"/>
  <c r="AY23" i="47"/>
  <c r="AV23" i="47"/>
  <c r="AU23" i="47"/>
  <c r="AR23" i="47"/>
  <c r="AQ23" i="47"/>
  <c r="AI23" i="47"/>
  <c r="AH23" i="47"/>
  <c r="AG23" i="47"/>
  <c r="AF23" i="47"/>
  <c r="AC23" i="47"/>
  <c r="AB23" i="47"/>
  <c r="Y23" i="47"/>
  <c r="X23" i="47"/>
  <c r="P23" i="47"/>
  <c r="O23" i="47"/>
  <c r="N23" i="47"/>
  <c r="M23" i="47"/>
  <c r="J23" i="47"/>
  <c r="I23" i="47"/>
  <c r="F23" i="47"/>
  <c r="E23" i="47"/>
  <c r="CD22" i="47"/>
  <c r="CC22" i="47"/>
  <c r="BU22" i="47"/>
  <c r="BT22" i="47"/>
  <c r="BS22" i="47"/>
  <c r="BR22" i="47"/>
  <c r="BO22" i="47"/>
  <c r="BN22" i="47"/>
  <c r="BK22" i="47"/>
  <c r="BJ22" i="47"/>
  <c r="BB22" i="47"/>
  <c r="BA22" i="47"/>
  <c r="AZ22" i="47"/>
  <c r="AY22" i="47"/>
  <c r="AV22" i="47"/>
  <c r="AU22" i="47"/>
  <c r="AR22" i="47"/>
  <c r="AQ22" i="47"/>
  <c r="AI22" i="47"/>
  <c r="AH22" i="47"/>
  <c r="AG22" i="47"/>
  <c r="AF22" i="47"/>
  <c r="AC22" i="47"/>
  <c r="AB22" i="47"/>
  <c r="Y22" i="47"/>
  <c r="X22" i="47"/>
  <c r="P22" i="47"/>
  <c r="O22" i="47"/>
  <c r="N22" i="47"/>
  <c r="M22" i="47"/>
  <c r="J22" i="47"/>
  <c r="I22" i="47"/>
  <c r="F22" i="47"/>
  <c r="E22" i="47"/>
  <c r="CD21" i="47"/>
  <c r="CC21" i="47"/>
  <c r="BU21" i="47"/>
  <c r="BT21" i="47"/>
  <c r="BS21" i="47"/>
  <c r="BR21" i="47"/>
  <c r="BO21" i="47"/>
  <c r="BN21" i="47"/>
  <c r="BK21" i="47"/>
  <c r="BJ21" i="47"/>
  <c r="BB21" i="47"/>
  <c r="BA21" i="47"/>
  <c r="AZ21" i="47"/>
  <c r="AY21" i="47"/>
  <c r="AV21" i="47"/>
  <c r="AU21" i="47"/>
  <c r="AR21" i="47"/>
  <c r="AQ21" i="47"/>
  <c r="AI21" i="47"/>
  <c r="AH21" i="47"/>
  <c r="AG21" i="47"/>
  <c r="AF21" i="47"/>
  <c r="AC21" i="47"/>
  <c r="AB21" i="47"/>
  <c r="Y21" i="47"/>
  <c r="X21" i="47"/>
  <c r="P21" i="47"/>
  <c r="O21" i="47"/>
  <c r="N21" i="47"/>
  <c r="M21" i="47"/>
  <c r="J21" i="47"/>
  <c r="I21" i="47"/>
  <c r="F21" i="47"/>
  <c r="E21" i="47"/>
  <c r="CD20" i="47"/>
  <c r="CC20" i="47"/>
  <c r="BU20" i="47"/>
  <c r="BT20" i="47"/>
  <c r="BS20" i="47"/>
  <c r="BR20" i="47"/>
  <c r="BO20" i="47"/>
  <c r="BN20" i="47"/>
  <c r="BK20" i="47"/>
  <c r="BJ20" i="47"/>
  <c r="BB20" i="47"/>
  <c r="BA20" i="47"/>
  <c r="AZ20" i="47"/>
  <c r="AY20" i="47"/>
  <c r="AV20" i="47"/>
  <c r="AU20" i="47"/>
  <c r="AR20" i="47"/>
  <c r="AQ20" i="47"/>
  <c r="AI20" i="47"/>
  <c r="AH20" i="47"/>
  <c r="AG20" i="47"/>
  <c r="AF20" i="47"/>
  <c r="AC20" i="47"/>
  <c r="AB20" i="47"/>
  <c r="Y20" i="47"/>
  <c r="X20" i="47"/>
  <c r="P20" i="47"/>
  <c r="O20" i="47"/>
  <c r="N20" i="47"/>
  <c r="M20" i="47"/>
  <c r="J20" i="47"/>
  <c r="I20" i="47"/>
  <c r="F20" i="47"/>
  <c r="E20" i="47"/>
  <c r="CD19" i="47"/>
  <c r="CC19" i="47"/>
  <c r="BU19" i="47"/>
  <c r="BT19" i="47"/>
  <c r="BS19" i="47"/>
  <c r="BR19" i="47"/>
  <c r="BO19" i="47"/>
  <c r="BN19" i="47"/>
  <c r="BK19" i="47"/>
  <c r="BJ19" i="47"/>
  <c r="BB19" i="47"/>
  <c r="BA19" i="47"/>
  <c r="AZ19" i="47"/>
  <c r="AY19" i="47"/>
  <c r="AV19" i="47"/>
  <c r="AU19" i="47"/>
  <c r="AR19" i="47"/>
  <c r="AQ19" i="47"/>
  <c r="AI19" i="47"/>
  <c r="AH19" i="47"/>
  <c r="AG19" i="47"/>
  <c r="AF19" i="47"/>
  <c r="AC19" i="47"/>
  <c r="AB19" i="47"/>
  <c r="Y19" i="47"/>
  <c r="X19" i="47"/>
  <c r="P19" i="47"/>
  <c r="O19" i="47"/>
  <c r="N19" i="47"/>
  <c r="M19" i="47"/>
  <c r="J19" i="47"/>
  <c r="I19" i="47"/>
  <c r="F19" i="47"/>
  <c r="E19" i="47"/>
  <c r="CD18" i="47"/>
  <c r="CC18" i="47"/>
  <c r="BU18" i="47"/>
  <c r="BW18" i="47" s="1"/>
  <c r="BT18" i="47"/>
  <c r="BS18" i="47"/>
  <c r="BR18" i="47"/>
  <c r="BO18" i="47"/>
  <c r="BN18" i="47"/>
  <c r="BK18" i="47"/>
  <c r="BJ18" i="47"/>
  <c r="BB18" i="47"/>
  <c r="BD18" i="47" s="1"/>
  <c r="BA18" i="47"/>
  <c r="AZ18" i="47"/>
  <c r="AY18" i="47"/>
  <c r="AV18" i="47"/>
  <c r="AU18" i="47"/>
  <c r="AR18" i="47"/>
  <c r="AQ18" i="47"/>
  <c r="AI18" i="47"/>
  <c r="AJ18" i="47" s="1"/>
  <c r="AH18" i="47"/>
  <c r="AG18" i="47"/>
  <c r="AF18" i="47"/>
  <c r="AC18" i="47"/>
  <c r="AB18" i="47"/>
  <c r="Y18" i="47"/>
  <c r="X18" i="47"/>
  <c r="P18" i="47"/>
  <c r="O18" i="47"/>
  <c r="N18" i="47"/>
  <c r="M18" i="47"/>
  <c r="J18" i="47"/>
  <c r="I18" i="47"/>
  <c r="F18" i="47"/>
  <c r="E18" i="47"/>
  <c r="CD17" i="47"/>
  <c r="CC17" i="47"/>
  <c r="BU17" i="47"/>
  <c r="BW17" i="47" s="1"/>
  <c r="BT17" i="47"/>
  <c r="BS17" i="47"/>
  <c r="BR17" i="47"/>
  <c r="BO17" i="47"/>
  <c r="BN17" i="47"/>
  <c r="BK17" i="47"/>
  <c r="BJ17" i="47"/>
  <c r="BB17" i="47"/>
  <c r="BC17" i="47" s="1"/>
  <c r="BA17" i="47"/>
  <c r="AZ17" i="47"/>
  <c r="AY17" i="47"/>
  <c r="AV17" i="47"/>
  <c r="AU17" i="47"/>
  <c r="AR17" i="47"/>
  <c r="AQ17" i="47"/>
  <c r="AI17" i="47"/>
  <c r="AK17" i="47" s="1"/>
  <c r="AH17" i="47"/>
  <c r="AG17" i="47"/>
  <c r="AF17" i="47"/>
  <c r="AC17" i="47"/>
  <c r="AB17" i="47"/>
  <c r="Y17" i="47"/>
  <c r="X17" i="47"/>
  <c r="P17" i="47"/>
  <c r="O17" i="47"/>
  <c r="N17" i="47"/>
  <c r="M17" i="47"/>
  <c r="J17" i="47"/>
  <c r="I17" i="47"/>
  <c r="F17" i="47"/>
  <c r="E17" i="47"/>
  <c r="CD16" i="47"/>
  <c r="CC16" i="47"/>
  <c r="BU16" i="47"/>
  <c r="BT16" i="47"/>
  <c r="BS16" i="47"/>
  <c r="BR16" i="47"/>
  <c r="BO16" i="47"/>
  <c r="BN16" i="47"/>
  <c r="BK16" i="47"/>
  <c r="BJ16" i="47"/>
  <c r="BB16" i="47"/>
  <c r="BA16" i="47"/>
  <c r="AZ16" i="47"/>
  <c r="AY16" i="47"/>
  <c r="AV16" i="47"/>
  <c r="AU16" i="47"/>
  <c r="AR16" i="47"/>
  <c r="AQ16" i="47"/>
  <c r="AI16" i="47"/>
  <c r="AH16" i="47"/>
  <c r="AG16" i="47"/>
  <c r="AF16" i="47"/>
  <c r="AC16" i="47"/>
  <c r="AB16" i="47"/>
  <c r="Y16" i="47"/>
  <c r="X16" i="47"/>
  <c r="P16" i="47"/>
  <c r="O16" i="47"/>
  <c r="N16" i="47"/>
  <c r="M16" i="47"/>
  <c r="J16" i="47"/>
  <c r="I16" i="47"/>
  <c r="F16" i="47"/>
  <c r="E16" i="47"/>
  <c r="CD15" i="47"/>
  <c r="CC15" i="47"/>
  <c r="BU15" i="47"/>
  <c r="BT15" i="47"/>
  <c r="BS15" i="47"/>
  <c r="BR15" i="47"/>
  <c r="BO15" i="47"/>
  <c r="BN15" i="47"/>
  <c r="BK15" i="47"/>
  <c r="BJ15" i="47"/>
  <c r="BB15" i="47"/>
  <c r="BA15" i="47"/>
  <c r="AZ15" i="47"/>
  <c r="AY15" i="47"/>
  <c r="AV15" i="47"/>
  <c r="AU15" i="47"/>
  <c r="AR15" i="47"/>
  <c r="AQ15" i="47"/>
  <c r="AI15" i="47"/>
  <c r="AH15" i="47"/>
  <c r="AG15" i="47"/>
  <c r="AF15" i="47"/>
  <c r="AC15" i="47"/>
  <c r="AB15" i="47"/>
  <c r="Y15" i="47"/>
  <c r="X15" i="47"/>
  <c r="P15" i="47"/>
  <c r="O15" i="47"/>
  <c r="N15" i="47"/>
  <c r="M15" i="47"/>
  <c r="J15" i="47"/>
  <c r="I15" i="47"/>
  <c r="F15" i="47"/>
  <c r="E15" i="47"/>
  <c r="CD14" i="47"/>
  <c r="CC14" i="47"/>
  <c r="BU14" i="47"/>
  <c r="BT14" i="47"/>
  <c r="BS14" i="47"/>
  <c r="BR14" i="47"/>
  <c r="BO14" i="47"/>
  <c r="BN14" i="47"/>
  <c r="BK14" i="47"/>
  <c r="BJ14" i="47"/>
  <c r="BB14" i="47"/>
  <c r="BA14" i="47"/>
  <c r="AZ14" i="47"/>
  <c r="AY14" i="47"/>
  <c r="AV14" i="47"/>
  <c r="AU14" i="47"/>
  <c r="AR14" i="47"/>
  <c r="AQ14" i="47"/>
  <c r="AI14" i="47"/>
  <c r="AH14" i="47"/>
  <c r="AG14" i="47"/>
  <c r="AF14" i="47"/>
  <c r="AC14" i="47"/>
  <c r="AB14" i="47"/>
  <c r="Y14" i="47"/>
  <c r="X14" i="47"/>
  <c r="P14" i="47"/>
  <c r="O14" i="47"/>
  <c r="N14" i="47"/>
  <c r="M14" i="47"/>
  <c r="J14" i="47"/>
  <c r="I14" i="47"/>
  <c r="F14" i="47"/>
  <c r="E14" i="47"/>
  <c r="CD13" i="47"/>
  <c r="CC13" i="47"/>
  <c r="BU13" i="47"/>
  <c r="BT13" i="47"/>
  <c r="BS13" i="47"/>
  <c r="BR13" i="47"/>
  <c r="BO13" i="47"/>
  <c r="BN13" i="47"/>
  <c r="BK13" i="47"/>
  <c r="BJ13" i="47"/>
  <c r="BB13" i="47"/>
  <c r="BA13" i="47"/>
  <c r="AZ13" i="47"/>
  <c r="AY13" i="47"/>
  <c r="AV13" i="47"/>
  <c r="AU13" i="47"/>
  <c r="AR13" i="47"/>
  <c r="AQ13" i="47"/>
  <c r="AI13" i="47"/>
  <c r="AH13" i="47"/>
  <c r="AG13" i="47"/>
  <c r="AF13" i="47"/>
  <c r="AC13" i="47"/>
  <c r="AB13" i="47"/>
  <c r="Y13" i="47"/>
  <c r="X13" i="47"/>
  <c r="P13" i="47"/>
  <c r="O13" i="47"/>
  <c r="N13" i="47"/>
  <c r="M13" i="47"/>
  <c r="J13" i="47"/>
  <c r="I13" i="47"/>
  <c r="F13" i="47"/>
  <c r="E13" i="47"/>
  <c r="CD12" i="47"/>
  <c r="CC12" i="47"/>
  <c r="BU12" i="47"/>
  <c r="BT12" i="47"/>
  <c r="BS12" i="47"/>
  <c r="BR12" i="47"/>
  <c r="BO12" i="47"/>
  <c r="BN12" i="47"/>
  <c r="BK12" i="47"/>
  <c r="BJ12" i="47"/>
  <c r="BB12" i="47"/>
  <c r="BA12" i="47"/>
  <c r="AZ12" i="47"/>
  <c r="AY12" i="47"/>
  <c r="AV12" i="47"/>
  <c r="AU12" i="47"/>
  <c r="AR12" i="47"/>
  <c r="AQ12" i="47"/>
  <c r="AI12" i="47"/>
  <c r="AH12" i="47"/>
  <c r="AG12" i="47"/>
  <c r="AF12" i="47"/>
  <c r="AC12" i="47"/>
  <c r="AB12" i="47"/>
  <c r="Y12" i="47"/>
  <c r="X12" i="47"/>
  <c r="P12" i="47"/>
  <c r="O12" i="47"/>
  <c r="N12" i="47"/>
  <c r="M12" i="47"/>
  <c r="J12" i="47"/>
  <c r="I12" i="47"/>
  <c r="F12" i="47"/>
  <c r="E12" i="47"/>
  <c r="CD11" i="47"/>
  <c r="CC11" i="47"/>
  <c r="BU11" i="47"/>
  <c r="BW11" i="47" s="1"/>
  <c r="BT11" i="47"/>
  <c r="BS11" i="47"/>
  <c r="BR11" i="47"/>
  <c r="BO11" i="47"/>
  <c r="BN11" i="47"/>
  <c r="BK11" i="47"/>
  <c r="BJ11" i="47"/>
  <c r="BB11" i="47"/>
  <c r="BD11" i="47" s="1"/>
  <c r="BA11" i="47"/>
  <c r="AZ11" i="47"/>
  <c r="AY11" i="47"/>
  <c r="AV11" i="47"/>
  <c r="AU11" i="47"/>
  <c r="AR11" i="47"/>
  <c r="AQ11" i="47"/>
  <c r="AI11" i="47"/>
  <c r="AH11" i="47"/>
  <c r="AG11" i="47"/>
  <c r="AF11" i="47"/>
  <c r="AC11" i="47"/>
  <c r="AB11" i="47"/>
  <c r="Y11" i="47"/>
  <c r="X11" i="47"/>
  <c r="P11" i="47"/>
  <c r="Q11" i="47" s="1"/>
  <c r="O11" i="47"/>
  <c r="N11" i="47"/>
  <c r="M11" i="47"/>
  <c r="J11" i="47"/>
  <c r="I11" i="47"/>
  <c r="F11" i="47"/>
  <c r="E11" i="47"/>
  <c r="CD10" i="47"/>
  <c r="CC10" i="47"/>
  <c r="BU10" i="47"/>
  <c r="BW10" i="47" s="1"/>
  <c r="BT10" i="47"/>
  <c r="BS10" i="47"/>
  <c r="BR10" i="47"/>
  <c r="BO10" i="47"/>
  <c r="BN10" i="47"/>
  <c r="BK10" i="47"/>
  <c r="BJ10" i="47"/>
  <c r="BB10" i="47"/>
  <c r="BD10" i="47" s="1"/>
  <c r="BA10" i="47"/>
  <c r="AZ10" i="47"/>
  <c r="AY10" i="47"/>
  <c r="AV10" i="47"/>
  <c r="AU10" i="47"/>
  <c r="AR10" i="47"/>
  <c r="AQ10" i="47"/>
  <c r="AI10" i="47"/>
  <c r="AH10" i="47"/>
  <c r="AG10" i="47"/>
  <c r="AF10" i="47"/>
  <c r="AC10" i="47"/>
  <c r="AB10" i="47"/>
  <c r="Y10" i="47"/>
  <c r="X10" i="47"/>
  <c r="P10" i="47"/>
  <c r="O10" i="47"/>
  <c r="N10" i="47"/>
  <c r="M10" i="47"/>
  <c r="J10" i="47"/>
  <c r="I10" i="47"/>
  <c r="F10" i="47"/>
  <c r="E10" i="47"/>
  <c r="CD9" i="47"/>
  <c r="CC9" i="47"/>
  <c r="BU9" i="47"/>
  <c r="BT9" i="47"/>
  <c r="BS9" i="47"/>
  <c r="BR9" i="47"/>
  <c r="BO9" i="47"/>
  <c r="BN9" i="47"/>
  <c r="BK9" i="47"/>
  <c r="BJ9" i="47"/>
  <c r="BB9" i="47"/>
  <c r="BA9" i="47"/>
  <c r="AZ9" i="47"/>
  <c r="AY9" i="47"/>
  <c r="AV9" i="47"/>
  <c r="AU9" i="47"/>
  <c r="AR9" i="47"/>
  <c r="AQ9" i="47"/>
  <c r="AI9" i="47"/>
  <c r="AH9" i="47"/>
  <c r="AG9" i="47"/>
  <c r="AF9" i="47"/>
  <c r="AC9" i="47"/>
  <c r="AB9" i="47"/>
  <c r="Y9" i="47"/>
  <c r="X9" i="47"/>
  <c r="P9" i="47"/>
  <c r="O9" i="47"/>
  <c r="N9" i="47"/>
  <c r="M9" i="47"/>
  <c r="J9" i="47"/>
  <c r="I9" i="47"/>
  <c r="F9" i="47"/>
  <c r="E9" i="47"/>
  <c r="CD8" i="47"/>
  <c r="CC8" i="47"/>
  <c r="BY8" i="47"/>
  <c r="BY9" i="47" s="1"/>
  <c r="BY10" i="47" s="1"/>
  <c r="BY11" i="47" s="1"/>
  <c r="BY12" i="47" s="1"/>
  <c r="BY13" i="47" s="1"/>
  <c r="BY14" i="47" s="1"/>
  <c r="BY15" i="47" s="1"/>
  <c r="BY16" i="47" s="1"/>
  <c r="BY17" i="47" s="1"/>
  <c r="BY18" i="47" s="1"/>
  <c r="BY19" i="47" s="1"/>
  <c r="BY20" i="47" s="1"/>
  <c r="BY21" i="47" s="1"/>
  <c r="BY22" i="47" s="1"/>
  <c r="BY23" i="47" s="1"/>
  <c r="BY24" i="47" s="1"/>
  <c r="BY25" i="47" s="1"/>
  <c r="BY26" i="47" s="1"/>
  <c r="BY27" i="47" s="1"/>
  <c r="BY28" i="47" s="1"/>
  <c r="BY29" i="47" s="1"/>
  <c r="BY30" i="47" s="1"/>
  <c r="BY31" i="47" s="1"/>
  <c r="BY32" i="47" s="1"/>
  <c r="BY33" i="47" s="1"/>
  <c r="BY34" i="47" s="1"/>
  <c r="BY35" i="47" s="1"/>
  <c r="BY36" i="47" s="1"/>
  <c r="BY37" i="47" s="1"/>
  <c r="BU8" i="47"/>
  <c r="BT8" i="47"/>
  <c r="BS8" i="47"/>
  <c r="BR8" i="47"/>
  <c r="BO8" i="47"/>
  <c r="BN8" i="47"/>
  <c r="BK8" i="47"/>
  <c r="BJ8" i="47"/>
  <c r="BF8" i="47"/>
  <c r="BF9" i="47" s="1"/>
  <c r="BF10" i="47" s="1"/>
  <c r="BF11" i="47" s="1"/>
  <c r="BF12" i="47" s="1"/>
  <c r="BF13" i="47" s="1"/>
  <c r="BF14" i="47" s="1"/>
  <c r="BF15" i="47" s="1"/>
  <c r="BF16" i="47" s="1"/>
  <c r="BF17" i="47" s="1"/>
  <c r="BF18" i="47" s="1"/>
  <c r="BF19" i="47" s="1"/>
  <c r="BF20" i="47" s="1"/>
  <c r="BF21" i="47" s="1"/>
  <c r="BF22" i="47" s="1"/>
  <c r="BF23" i="47" s="1"/>
  <c r="BF24" i="47" s="1"/>
  <c r="BF25" i="47" s="1"/>
  <c r="BF26" i="47" s="1"/>
  <c r="BF27" i="47" s="1"/>
  <c r="BF28" i="47" s="1"/>
  <c r="BF29" i="47" s="1"/>
  <c r="BF30" i="47" s="1"/>
  <c r="BF31" i="47" s="1"/>
  <c r="BF32" i="47" s="1"/>
  <c r="BF33" i="47" s="1"/>
  <c r="BF34" i="47" s="1"/>
  <c r="BF35" i="47" s="1"/>
  <c r="BF36" i="47" s="1"/>
  <c r="BF37" i="47" s="1"/>
  <c r="BB8" i="47"/>
  <c r="BA8" i="47"/>
  <c r="AZ8" i="47"/>
  <c r="AY8" i="47"/>
  <c r="AV8" i="47"/>
  <c r="AU8" i="47"/>
  <c r="AR8" i="47"/>
  <c r="AQ8" i="47"/>
  <c r="AM8" i="47"/>
  <c r="AM9" i="47" s="1"/>
  <c r="AM10" i="47" s="1"/>
  <c r="AM11" i="47" s="1"/>
  <c r="AM12" i="47" s="1"/>
  <c r="AM13" i="47" s="1"/>
  <c r="AM14" i="47" s="1"/>
  <c r="AM15" i="47" s="1"/>
  <c r="AM16" i="47" s="1"/>
  <c r="AM17" i="47" s="1"/>
  <c r="AM18" i="47" s="1"/>
  <c r="AM19" i="47" s="1"/>
  <c r="AM20" i="47" s="1"/>
  <c r="AM21" i="47" s="1"/>
  <c r="AM22" i="47" s="1"/>
  <c r="AM23" i="47" s="1"/>
  <c r="AM24" i="47" s="1"/>
  <c r="AM25" i="47" s="1"/>
  <c r="AM26" i="47" s="1"/>
  <c r="AM27" i="47" s="1"/>
  <c r="AM28" i="47" s="1"/>
  <c r="AM29" i="47" s="1"/>
  <c r="AM30" i="47" s="1"/>
  <c r="AM31" i="47" s="1"/>
  <c r="AM32" i="47" s="1"/>
  <c r="AM33" i="47" s="1"/>
  <c r="AM34" i="47" s="1"/>
  <c r="AM35" i="47" s="1"/>
  <c r="AM36" i="47" s="1"/>
  <c r="AM37" i="47" s="1"/>
  <c r="AI8" i="47"/>
  <c r="AH8" i="47"/>
  <c r="AG8" i="47"/>
  <c r="AF8" i="47"/>
  <c r="AC8" i="47"/>
  <c r="AB8" i="47"/>
  <c r="Y8" i="47"/>
  <c r="X8" i="47"/>
  <c r="T8" i="47"/>
  <c r="T9" i="47" s="1"/>
  <c r="T10" i="47" s="1"/>
  <c r="T11" i="47" s="1"/>
  <c r="T12" i="47" s="1"/>
  <c r="T13" i="47" s="1"/>
  <c r="T14" i="47" s="1"/>
  <c r="T15" i="47" s="1"/>
  <c r="T16" i="47" s="1"/>
  <c r="T17" i="47" s="1"/>
  <c r="T18" i="47" s="1"/>
  <c r="T19" i="47" s="1"/>
  <c r="T20" i="47" s="1"/>
  <c r="T21" i="47" s="1"/>
  <c r="T22" i="47" s="1"/>
  <c r="T23" i="47" s="1"/>
  <c r="T24" i="47" s="1"/>
  <c r="T25" i="47" s="1"/>
  <c r="T26" i="47" s="1"/>
  <c r="T27" i="47" s="1"/>
  <c r="T28" i="47" s="1"/>
  <c r="T29" i="47" s="1"/>
  <c r="T30" i="47" s="1"/>
  <c r="T31" i="47" s="1"/>
  <c r="T32" i="47" s="1"/>
  <c r="T33" i="47" s="1"/>
  <c r="T34" i="47" s="1"/>
  <c r="T35" i="47" s="1"/>
  <c r="T36" i="47" s="1"/>
  <c r="T37" i="47" s="1"/>
  <c r="P8" i="47"/>
  <c r="O8" i="47"/>
  <c r="N8" i="47"/>
  <c r="M8" i="47"/>
  <c r="J8" i="47"/>
  <c r="I8" i="47"/>
  <c r="F8" i="47"/>
  <c r="E8" i="47"/>
  <c r="A8" i="47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CD7" i="47"/>
  <c r="CC7" i="47"/>
  <c r="BU7" i="47"/>
  <c r="BT7" i="47"/>
  <c r="BS7" i="47"/>
  <c r="BR7" i="47"/>
  <c r="BO7" i="47"/>
  <c r="BN7" i="47"/>
  <c r="BK7" i="47"/>
  <c r="BJ7" i="47"/>
  <c r="BB7" i="47"/>
  <c r="BA7" i="47"/>
  <c r="AZ7" i="47"/>
  <c r="AY7" i="47"/>
  <c r="AV7" i="47"/>
  <c r="AU7" i="47"/>
  <c r="AR7" i="47"/>
  <c r="AQ7" i="47"/>
  <c r="AI7" i="47"/>
  <c r="AH7" i="47"/>
  <c r="AG7" i="47"/>
  <c r="AF7" i="47"/>
  <c r="AC7" i="47"/>
  <c r="AB7" i="47"/>
  <c r="Y7" i="47"/>
  <c r="X7" i="47"/>
  <c r="P7" i="47"/>
  <c r="Q7" i="47" s="1"/>
  <c r="O7" i="47"/>
  <c r="N7" i="47"/>
  <c r="M7" i="47"/>
  <c r="J7" i="47"/>
  <c r="I7" i="47"/>
  <c r="F7" i="47"/>
  <c r="E7" i="47"/>
  <c r="I24" i="42"/>
  <c r="C24" i="42"/>
  <c r="G5" i="42"/>
  <c r="G6" i="42" s="1"/>
  <c r="K4" i="42"/>
  <c r="E4" i="42"/>
  <c r="I24" i="40"/>
  <c r="C24" i="40"/>
  <c r="G5" i="40"/>
  <c r="K4" i="40"/>
  <c r="E4" i="40"/>
  <c r="I26" i="38"/>
  <c r="C26" i="38"/>
  <c r="L25" i="38"/>
  <c r="J25" i="38" s="1"/>
  <c r="K25" i="38"/>
  <c r="F25" i="38"/>
  <c r="D25" i="38" s="1"/>
  <c r="E25" i="38"/>
  <c r="L24" i="38"/>
  <c r="J24" i="38" s="1"/>
  <c r="K24" i="38"/>
  <c r="F24" i="38"/>
  <c r="D24" i="38" s="1"/>
  <c r="E24" i="38"/>
  <c r="L23" i="38"/>
  <c r="J23" i="38" s="1"/>
  <c r="K23" i="38"/>
  <c r="F23" i="38"/>
  <c r="D23" i="38" s="1"/>
  <c r="E23" i="38"/>
  <c r="L22" i="38"/>
  <c r="J22" i="38" s="1"/>
  <c r="K22" i="38"/>
  <c r="F22" i="38"/>
  <c r="D22" i="38" s="1"/>
  <c r="E22" i="38"/>
  <c r="L21" i="38"/>
  <c r="J21" i="38" s="1"/>
  <c r="K21" i="38"/>
  <c r="F21" i="38"/>
  <c r="D21" i="38" s="1"/>
  <c r="E21" i="38"/>
  <c r="L20" i="38"/>
  <c r="J20" i="38" s="1"/>
  <c r="K20" i="38"/>
  <c r="F20" i="38"/>
  <c r="D20" i="38" s="1"/>
  <c r="E20" i="38"/>
  <c r="L19" i="38"/>
  <c r="J19" i="38" s="1"/>
  <c r="K19" i="38"/>
  <c r="F19" i="38"/>
  <c r="D19" i="38" s="1"/>
  <c r="E19" i="38"/>
  <c r="L18" i="38"/>
  <c r="F18" i="38"/>
  <c r="L17" i="38"/>
  <c r="F17" i="38"/>
  <c r="L16" i="38"/>
  <c r="F16" i="38"/>
  <c r="L15" i="38"/>
  <c r="F15" i="38"/>
  <c r="L14" i="38"/>
  <c r="F14" i="38"/>
  <c r="L13" i="38"/>
  <c r="G13" i="38"/>
  <c r="F13" i="38"/>
  <c r="L12" i="38"/>
  <c r="J12" i="38" s="1"/>
  <c r="K12" i="38"/>
  <c r="F12" i="38"/>
  <c r="D12" i="38" s="1"/>
  <c r="E12" i="38"/>
  <c r="L11" i="38"/>
  <c r="F11" i="38"/>
  <c r="L10" i="38"/>
  <c r="F10" i="38"/>
  <c r="L9" i="38"/>
  <c r="G9" i="38"/>
  <c r="G10" i="38" s="1"/>
  <c r="F9" i="38"/>
  <c r="L8" i="38"/>
  <c r="J8" i="38" s="1"/>
  <c r="K8" i="38"/>
  <c r="F8" i="38"/>
  <c r="D8" i="38" s="1"/>
  <c r="E8" i="38"/>
  <c r="L7" i="38"/>
  <c r="J7" i="38" s="1"/>
  <c r="K7" i="38"/>
  <c r="F7" i="38"/>
  <c r="D7" i="38" s="1"/>
  <c r="E7" i="38"/>
  <c r="L6" i="38"/>
  <c r="F6" i="38"/>
  <c r="L5" i="38"/>
  <c r="G5" i="38"/>
  <c r="K5" i="38" s="1"/>
  <c r="F5" i="38"/>
  <c r="L4" i="38"/>
  <c r="J4" i="38" s="1"/>
  <c r="K4" i="38"/>
  <c r="F4" i="38"/>
  <c r="D4" i="38" s="1"/>
  <c r="E4" i="38"/>
  <c r="I23" i="36"/>
  <c r="C23" i="36"/>
  <c r="L22" i="36"/>
  <c r="J22" i="36" s="1"/>
  <c r="K22" i="36"/>
  <c r="F22" i="36"/>
  <c r="D22" i="36" s="1"/>
  <c r="E22" i="36"/>
  <c r="L21" i="36"/>
  <c r="F21" i="36"/>
  <c r="L20" i="36"/>
  <c r="F20" i="36"/>
  <c r="L19" i="36"/>
  <c r="F19" i="36"/>
  <c r="L18" i="36"/>
  <c r="F18" i="36"/>
  <c r="L17" i="36"/>
  <c r="F17" i="36"/>
  <c r="L16" i="36"/>
  <c r="F16" i="36"/>
  <c r="L15" i="36"/>
  <c r="F15" i="36"/>
  <c r="L14" i="36"/>
  <c r="F14" i="36"/>
  <c r="L13" i="36"/>
  <c r="F13" i="36"/>
  <c r="L12" i="36"/>
  <c r="F12" i="36"/>
  <c r="L11" i="36"/>
  <c r="F11" i="36"/>
  <c r="L10" i="36"/>
  <c r="F10" i="36"/>
  <c r="L9" i="36"/>
  <c r="F9" i="36"/>
  <c r="L8" i="36"/>
  <c r="F8" i="36"/>
  <c r="L7" i="36"/>
  <c r="F7" i="36"/>
  <c r="L6" i="36"/>
  <c r="F6" i="36"/>
  <c r="L5" i="36"/>
  <c r="G5" i="36"/>
  <c r="E5" i="36" s="1"/>
  <c r="F5" i="36"/>
  <c r="L4" i="36"/>
  <c r="J4" i="36" s="1"/>
  <c r="K4" i="36"/>
  <c r="F4" i="36"/>
  <c r="D4" i="36" s="1"/>
  <c r="E4" i="36"/>
  <c r="I28" i="27"/>
  <c r="C28" i="27"/>
  <c r="G23" i="27"/>
  <c r="K22" i="27"/>
  <c r="E22" i="27"/>
  <c r="G6" i="27"/>
  <c r="G7" i="27" s="1"/>
  <c r="E7" i="27" s="1"/>
  <c r="K5" i="27"/>
  <c r="E5" i="27"/>
  <c r="K4" i="27"/>
  <c r="E4" i="27"/>
  <c r="I25" i="1"/>
  <c r="D25" i="1"/>
  <c r="G24" i="1"/>
  <c r="B24" i="1"/>
  <c r="G23" i="1"/>
  <c r="B23" i="1"/>
  <c r="G22" i="1"/>
  <c r="B22" i="1"/>
  <c r="G21" i="1"/>
  <c r="B20" i="1"/>
  <c r="B19" i="1"/>
  <c r="G18" i="1"/>
  <c r="B18" i="1"/>
  <c r="B17" i="1"/>
  <c r="G15" i="1"/>
  <c r="B15" i="1"/>
  <c r="G14" i="1"/>
  <c r="B14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H4" i="1" s="1"/>
  <c r="B4" i="1"/>
  <c r="AZ38" i="166" l="1"/>
  <c r="CD38" i="166"/>
  <c r="R21" i="170"/>
  <c r="R12" i="166"/>
  <c r="BO38" i="168"/>
  <c r="AK9" i="170"/>
  <c r="BW9" i="170"/>
  <c r="R17" i="160"/>
  <c r="R36" i="160"/>
  <c r="F38" i="160"/>
  <c r="AC38" i="160"/>
  <c r="AZ38" i="160"/>
  <c r="CD38" i="160"/>
  <c r="AK11" i="166"/>
  <c r="BW19" i="166"/>
  <c r="BD8" i="47"/>
  <c r="BW15" i="47"/>
  <c r="AK18" i="47"/>
  <c r="AC38" i="166"/>
  <c r="J5" i="114"/>
  <c r="R33" i="162"/>
  <c r="BD34" i="166"/>
  <c r="AV38" i="168"/>
  <c r="AK9" i="162"/>
  <c r="BD9" i="162"/>
  <c r="BW9" i="162"/>
  <c r="BD20" i="47"/>
  <c r="R10" i="47"/>
  <c r="R8" i="168"/>
  <c r="G6" i="38"/>
  <c r="K6" i="38" s="1"/>
  <c r="R19" i="162"/>
  <c r="BD28" i="168"/>
  <c r="BW28" i="168"/>
  <c r="AK26" i="47"/>
  <c r="AK27" i="95"/>
  <c r="BW27" i="95"/>
  <c r="BD15" i="166"/>
  <c r="R18" i="166"/>
  <c r="BD8" i="170"/>
  <c r="AK23" i="170"/>
  <c r="BD23" i="170"/>
  <c r="BW36" i="170"/>
  <c r="D5" i="38"/>
  <c r="R34" i="162"/>
  <c r="BD18" i="166"/>
  <c r="AK26" i="166"/>
  <c r="BD26" i="166"/>
  <c r="BD16" i="170"/>
  <c r="BD17" i="164"/>
  <c r="BW17" i="164"/>
  <c r="BD24" i="166"/>
  <c r="BW24" i="166"/>
  <c r="BV24" i="170"/>
  <c r="BV36" i="47"/>
  <c r="R35" i="47"/>
  <c r="BW35" i="47"/>
  <c r="R7" i="47"/>
  <c r="BW10" i="95"/>
  <c r="BD9" i="47"/>
  <c r="BW20" i="47"/>
  <c r="BW24" i="47"/>
  <c r="J13" i="38"/>
  <c r="BC29" i="95"/>
  <c r="BD29" i="95"/>
  <c r="D19" i="70"/>
  <c r="R13" i="95"/>
  <c r="BW15" i="164"/>
  <c r="R19" i="166"/>
  <c r="R13" i="168"/>
  <c r="R16" i="168"/>
  <c r="BW8" i="170"/>
  <c r="BW23" i="170"/>
  <c r="R28" i="160"/>
  <c r="BW11" i="162"/>
  <c r="AK27" i="162"/>
  <c r="BD30" i="162"/>
  <c r="AK16" i="168"/>
  <c r="AF38" i="170"/>
  <c r="J5" i="84"/>
  <c r="BW11" i="95"/>
  <c r="BD15" i="95"/>
  <c r="AK10" i="160"/>
  <c r="BD10" i="160"/>
  <c r="BW10" i="160"/>
  <c r="AK25" i="160"/>
  <c r="BD25" i="160"/>
  <c r="BW25" i="160"/>
  <c r="AK36" i="160"/>
  <c r="BD36" i="160"/>
  <c r="BW18" i="164"/>
  <c r="BD14" i="166"/>
  <c r="R22" i="166"/>
  <c r="BD22" i="166"/>
  <c r="BW27" i="166"/>
  <c r="R20" i="168"/>
  <c r="AK13" i="160"/>
  <c r="BW13" i="160"/>
  <c r="AK33" i="95"/>
  <c r="BD7" i="160"/>
  <c r="AK15" i="162"/>
  <c r="R29" i="162"/>
  <c r="BR38" i="164"/>
  <c r="R23" i="166"/>
  <c r="R34" i="168"/>
  <c r="R26" i="95"/>
  <c r="AH38" i="95"/>
  <c r="AK21" i="160"/>
  <c r="AZ38" i="164"/>
  <c r="BW37" i="168"/>
  <c r="J5" i="38"/>
  <c r="J5" i="86"/>
  <c r="AK37" i="47"/>
  <c r="E19" i="70"/>
  <c r="AK23" i="95"/>
  <c r="P38" i="95"/>
  <c r="AK12" i="95"/>
  <c r="BD20" i="95"/>
  <c r="BD25" i="95"/>
  <c r="BW14" i="95"/>
  <c r="BV20" i="168"/>
  <c r="BW20" i="168"/>
  <c r="AK35" i="170"/>
  <c r="AJ35" i="170"/>
  <c r="BV37" i="160"/>
  <c r="BW37" i="160"/>
  <c r="AK29" i="95"/>
  <c r="R8" i="160"/>
  <c r="R12" i="160"/>
  <c r="AK24" i="160"/>
  <c r="BD24" i="160"/>
  <c r="BW24" i="160"/>
  <c r="BD32" i="160"/>
  <c r="R23" i="162"/>
  <c r="AK36" i="162"/>
  <c r="BD36" i="162"/>
  <c r="BW36" i="162"/>
  <c r="R14" i="164"/>
  <c r="R16" i="166"/>
  <c r="BW18" i="166"/>
  <c r="BD23" i="166"/>
  <c r="AJ33" i="166"/>
  <c r="F38" i="166"/>
  <c r="R9" i="168"/>
  <c r="AK9" i="168"/>
  <c r="BD9" i="168"/>
  <c r="BD14" i="168"/>
  <c r="BW33" i="168"/>
  <c r="BD17" i="170"/>
  <c r="AK32" i="170"/>
  <c r="R13" i="160"/>
  <c r="AK26" i="162"/>
  <c r="BD26" i="162"/>
  <c r="BW26" i="162"/>
  <c r="BW29" i="162"/>
  <c r="N38" i="162"/>
  <c r="BO38" i="162"/>
  <c r="AK21" i="164"/>
  <c r="R14" i="166"/>
  <c r="AK14" i="166"/>
  <c r="R34" i="166"/>
  <c r="AK34" i="166"/>
  <c r="BD12" i="168"/>
  <c r="R23" i="168"/>
  <c r="AK13" i="170"/>
  <c r="AK20" i="170"/>
  <c r="BD28" i="170"/>
  <c r="BW28" i="170"/>
  <c r="AK29" i="168"/>
  <c r="BW29" i="168"/>
  <c r="AG38" i="168"/>
  <c r="BW35" i="170"/>
  <c r="BR38" i="170"/>
  <c r="AK11" i="162"/>
  <c r="BW27" i="162"/>
  <c r="AK10" i="164"/>
  <c r="AK22" i="164"/>
  <c r="BW22" i="164"/>
  <c r="BD33" i="164"/>
  <c r="R10" i="166"/>
  <c r="AR38" i="166"/>
  <c r="BW8" i="168"/>
  <c r="BD13" i="168"/>
  <c r="BW34" i="168"/>
  <c r="BW21" i="170"/>
  <c r="BW31" i="170"/>
  <c r="R34" i="170"/>
  <c r="AK22" i="162"/>
  <c r="AC38" i="162"/>
  <c r="R23" i="164"/>
  <c r="AK30" i="166"/>
  <c r="R12" i="170"/>
  <c r="R17" i="170"/>
  <c r="C14" i="1"/>
  <c r="R18" i="47"/>
  <c r="AK21" i="47"/>
  <c r="AK25" i="47"/>
  <c r="AK33" i="47"/>
  <c r="BD33" i="47"/>
  <c r="R22" i="47"/>
  <c r="R30" i="47"/>
  <c r="BD30" i="47"/>
  <c r="BW30" i="47"/>
  <c r="AK34" i="47"/>
  <c r="BD37" i="47"/>
  <c r="BW8" i="47"/>
  <c r="R19" i="47"/>
  <c r="R23" i="47"/>
  <c r="AJ34" i="47"/>
  <c r="BC8" i="47"/>
  <c r="AK9" i="47"/>
  <c r="BD13" i="47"/>
  <c r="BD24" i="47"/>
  <c r="BW28" i="47"/>
  <c r="D5" i="60"/>
  <c r="R31" i="95"/>
  <c r="D5" i="84"/>
  <c r="D5" i="70"/>
  <c r="R19" i="95"/>
  <c r="BD19" i="95"/>
  <c r="BW19" i="95"/>
  <c r="BD24" i="95"/>
  <c r="J5" i="110"/>
  <c r="R24" i="95"/>
  <c r="AK25" i="95"/>
  <c r="BD28" i="95"/>
  <c r="AK31" i="95"/>
  <c r="BW31" i="95"/>
  <c r="R35" i="95"/>
  <c r="BD29" i="166"/>
  <c r="BC29" i="166"/>
  <c r="R9" i="95"/>
  <c r="AK17" i="95"/>
  <c r="R21" i="95"/>
  <c r="BD32" i="95"/>
  <c r="J5" i="88"/>
  <c r="BD8" i="95"/>
  <c r="AK18" i="95"/>
  <c r="BW18" i="95"/>
  <c r="AK34" i="95"/>
  <c r="BD37" i="95"/>
  <c r="N38" i="95"/>
  <c r="BD14" i="162"/>
  <c r="BC14" i="162"/>
  <c r="R26" i="168"/>
  <c r="R16" i="170"/>
  <c r="R25" i="170"/>
  <c r="AK28" i="164"/>
  <c r="BW33" i="164"/>
  <c r="BD20" i="170"/>
  <c r="AQ38" i="170"/>
  <c r="AK31" i="170"/>
  <c r="AJ31" i="170"/>
  <c r="BC33" i="166"/>
  <c r="BD33" i="166"/>
  <c r="R32" i="162"/>
  <c r="AK34" i="162"/>
  <c r="BW34" i="162"/>
  <c r="R7" i="170"/>
  <c r="AK26" i="160"/>
  <c r="R22" i="162"/>
  <c r="BV7" i="164"/>
  <c r="AK18" i="164"/>
  <c r="BD23" i="164"/>
  <c r="R36" i="164"/>
  <c r="CC38" i="164"/>
  <c r="R26" i="166"/>
  <c r="I38" i="166"/>
  <c r="R19" i="168"/>
  <c r="AK26" i="168"/>
  <c r="BW26" i="168"/>
  <c r="R29" i="168"/>
  <c r="R36" i="168"/>
  <c r="F38" i="168"/>
  <c r="BC8" i="170"/>
  <c r="AK12" i="170"/>
  <c r="BD25" i="170"/>
  <c r="BW25" i="170"/>
  <c r="R36" i="170"/>
  <c r="O38" i="168"/>
  <c r="O39" i="168" s="1"/>
  <c r="BD21" i="160"/>
  <c r="BW21" i="160"/>
  <c r="R32" i="160"/>
  <c r="AK17" i="162"/>
  <c r="BD17" i="162"/>
  <c r="BW17" i="162"/>
  <c r="BS38" i="162"/>
  <c r="R9" i="164"/>
  <c r="AK29" i="164"/>
  <c r="BD29" i="164"/>
  <c r="BW29" i="164"/>
  <c r="R32" i="164"/>
  <c r="BD8" i="166"/>
  <c r="AK10" i="166"/>
  <c r="BD12" i="166"/>
  <c r="BW12" i="166"/>
  <c r="BW26" i="166"/>
  <c r="BA38" i="166"/>
  <c r="BA39" i="166" s="1"/>
  <c r="R12" i="168"/>
  <c r="AK19" i="168"/>
  <c r="BW19" i="168"/>
  <c r="BW15" i="170"/>
  <c r="R19" i="170"/>
  <c r="AK21" i="170"/>
  <c r="R24" i="170"/>
  <c r="BD36" i="170"/>
  <c r="BD17" i="160"/>
  <c r="BW32" i="160"/>
  <c r="BW15" i="162"/>
  <c r="AK33" i="162"/>
  <c r="BD33" i="162"/>
  <c r="BW33" i="162"/>
  <c r="BD15" i="164"/>
  <c r="AK15" i="166"/>
  <c r="BW12" i="168"/>
  <c r="R17" i="168"/>
  <c r="R30" i="168"/>
  <c r="R9" i="170"/>
  <c r="R11" i="170"/>
  <c r="BW13" i="170"/>
  <c r="J38" i="170"/>
  <c r="BC8" i="160"/>
  <c r="R33" i="160"/>
  <c r="O38" i="162"/>
  <c r="O39" i="162" s="1"/>
  <c r="AK19" i="164"/>
  <c r="AK33" i="164"/>
  <c r="AK27" i="166"/>
  <c r="BR38" i="166"/>
  <c r="BD8" i="168"/>
  <c r="BD17" i="168"/>
  <c r="BW17" i="168"/>
  <c r="AK20" i="168"/>
  <c r="BD25" i="168"/>
  <c r="BW25" i="168"/>
  <c r="BD33" i="168"/>
  <c r="BD9" i="170"/>
  <c r="AK16" i="170"/>
  <c r="BW16" i="170"/>
  <c r="R20" i="170"/>
  <c r="BC31" i="170"/>
  <c r="E6" i="27"/>
  <c r="H12" i="1"/>
  <c r="K6" i="27"/>
  <c r="E5" i="38"/>
  <c r="C15" i="1"/>
  <c r="H11" i="1"/>
  <c r="R12" i="47"/>
  <c r="AK12" i="47"/>
  <c r="BD12" i="47"/>
  <c r="BW12" i="47"/>
  <c r="R16" i="47"/>
  <c r="AK16" i="47"/>
  <c r="BD16" i="47"/>
  <c r="BD21" i="47"/>
  <c r="R27" i="47"/>
  <c r="BW27" i="47"/>
  <c r="R31" i="47"/>
  <c r="BW31" i="47"/>
  <c r="R13" i="47"/>
  <c r="AK13" i="47"/>
  <c r="BW13" i="47"/>
  <c r="R17" i="47"/>
  <c r="AK19" i="47"/>
  <c r="BD19" i="47"/>
  <c r="BW19" i="47"/>
  <c r="R28" i="47"/>
  <c r="AK28" i="47"/>
  <c r="BD28" i="47"/>
  <c r="R32" i="47"/>
  <c r="AK32" i="47"/>
  <c r="BD32" i="47"/>
  <c r="AK8" i="47"/>
  <c r="AK10" i="47"/>
  <c r="BD17" i="47"/>
  <c r="AK22" i="47"/>
  <c r="BV32" i="47"/>
  <c r="R14" i="47"/>
  <c r="AK14" i="47"/>
  <c r="R29" i="47"/>
  <c r="AK29" i="47"/>
  <c r="BD29" i="47"/>
  <c r="BC36" i="47"/>
  <c r="O38" i="47"/>
  <c r="J5" i="60"/>
  <c r="AK30" i="47"/>
  <c r="R11" i="47"/>
  <c r="AK11" i="47"/>
  <c r="R15" i="47"/>
  <c r="AK23" i="47"/>
  <c r="BD23" i="47"/>
  <c r="BW23" i="47"/>
  <c r="R26" i="47"/>
  <c r="BD26" i="47"/>
  <c r="BW26" i="47"/>
  <c r="R34" i="47"/>
  <c r="G6" i="64"/>
  <c r="D6" i="64" s="1"/>
  <c r="G20" i="70"/>
  <c r="G21" i="70" s="1"/>
  <c r="K21" i="70" s="1"/>
  <c r="J5" i="70"/>
  <c r="J5" i="64"/>
  <c r="J19" i="70"/>
  <c r="R27" i="95"/>
  <c r="J5" i="108"/>
  <c r="AK8" i="95"/>
  <c r="AK24" i="95"/>
  <c r="BW24" i="95"/>
  <c r="R30" i="95"/>
  <c r="AJ30" i="95"/>
  <c r="AK30" i="95"/>
  <c r="R17" i="95"/>
  <c r="AK21" i="95"/>
  <c r="BW21" i="95"/>
  <c r="BR38" i="95"/>
  <c r="AK7" i="95"/>
  <c r="AJ7" i="95"/>
  <c r="E5" i="86"/>
  <c r="BD11" i="95"/>
  <c r="BW32" i="95"/>
  <c r="BW35" i="95"/>
  <c r="R14" i="95"/>
  <c r="R18" i="95"/>
  <c r="BD12" i="95"/>
  <c r="BW28" i="95"/>
  <c r="BD33" i="95"/>
  <c r="I38" i="95"/>
  <c r="R10" i="95"/>
  <c r="AK20" i="95"/>
  <c r="AK26" i="95"/>
  <c r="R34" i="95"/>
  <c r="D5" i="108"/>
  <c r="BT38" i="162"/>
  <c r="BT39" i="162" s="1"/>
  <c r="BK38" i="162"/>
  <c r="AK28" i="160"/>
  <c r="BD28" i="160"/>
  <c r="BW28" i="160"/>
  <c r="AJ16" i="160"/>
  <c r="AK12" i="160"/>
  <c r="BD12" i="160"/>
  <c r="BW12" i="160"/>
  <c r="BW8" i="162"/>
  <c r="AK19" i="162"/>
  <c r="AJ7" i="162"/>
  <c r="AK25" i="162"/>
  <c r="BD25" i="162"/>
  <c r="BW25" i="162"/>
  <c r="BV8" i="160"/>
  <c r="AK37" i="160"/>
  <c r="AJ37" i="160"/>
  <c r="AK23" i="162"/>
  <c r="BW23" i="162"/>
  <c r="AK14" i="164"/>
  <c r="BD14" i="164"/>
  <c r="BW14" i="164"/>
  <c r="F38" i="164"/>
  <c r="AC38" i="164"/>
  <c r="R21" i="160"/>
  <c r="BD26" i="160"/>
  <c r="BW26" i="160"/>
  <c r="R11" i="162"/>
  <c r="AK21" i="162"/>
  <c r="BD21" i="162"/>
  <c r="R30" i="162"/>
  <c r="BW10" i="164"/>
  <c r="AK26" i="164"/>
  <c r="AK36" i="164"/>
  <c r="Q30" i="166"/>
  <c r="R30" i="166"/>
  <c r="R29" i="160"/>
  <c r="BA38" i="160"/>
  <c r="BA39" i="160" s="1"/>
  <c r="AK13" i="162"/>
  <c r="BD13" i="162"/>
  <c r="BW13" i="162"/>
  <c r="R15" i="162"/>
  <c r="BW19" i="162"/>
  <c r="R26" i="162"/>
  <c r="BC28" i="162"/>
  <c r="AK30" i="162"/>
  <c r="BW30" i="162"/>
  <c r="BW37" i="162"/>
  <c r="BW26" i="164"/>
  <c r="AK34" i="164"/>
  <c r="J38" i="164"/>
  <c r="BT38" i="164"/>
  <c r="BT39" i="164" s="1"/>
  <c r="BD13" i="160"/>
  <c r="AK17" i="160"/>
  <c r="AK29" i="160"/>
  <c r="BD29" i="160"/>
  <c r="BW29" i="160"/>
  <c r="R8" i="162"/>
  <c r="BV37" i="164"/>
  <c r="BW37" i="164"/>
  <c r="AQ38" i="164"/>
  <c r="AR38" i="164"/>
  <c r="AJ9" i="160"/>
  <c r="BW17" i="160"/>
  <c r="BW36" i="160"/>
  <c r="R14" i="162"/>
  <c r="R18" i="162"/>
  <c r="BD22" i="162"/>
  <c r="BW22" i="162"/>
  <c r="R27" i="162"/>
  <c r="BW11" i="164"/>
  <c r="BD13" i="164"/>
  <c r="BW13" i="164"/>
  <c r="AK27" i="164"/>
  <c r="R33" i="164"/>
  <c r="BC7" i="160"/>
  <c r="BD8" i="160"/>
  <c r="BD9" i="160"/>
  <c r="R14" i="160"/>
  <c r="R25" i="160"/>
  <c r="AK32" i="160"/>
  <c r="BD8" i="162"/>
  <c r="AK18" i="162"/>
  <c r="BD18" i="162"/>
  <c r="BW18" i="162"/>
  <c r="AK29" i="162"/>
  <c r="BD29" i="162"/>
  <c r="R36" i="162"/>
  <c r="R10" i="164"/>
  <c r="Q10" i="164"/>
  <c r="X38" i="164"/>
  <c r="Y38" i="164"/>
  <c r="AV38" i="164"/>
  <c r="BC22" i="166"/>
  <c r="BV27" i="166"/>
  <c r="BC19" i="168"/>
  <c r="R11" i="166"/>
  <c r="BW15" i="166"/>
  <c r="AK22" i="166"/>
  <c r="BW22" i="166"/>
  <c r="BJ38" i="166"/>
  <c r="BD10" i="168"/>
  <c r="BD26" i="168"/>
  <c r="R33" i="168"/>
  <c r="BT38" i="168"/>
  <c r="BT39" i="168" s="1"/>
  <c r="BW17" i="170"/>
  <c r="AK19" i="170"/>
  <c r="BD19" i="170"/>
  <c r="BW19" i="170"/>
  <c r="BD30" i="170"/>
  <c r="BW30" i="170"/>
  <c r="BW7" i="164"/>
  <c r="R18" i="164"/>
  <c r="R22" i="164"/>
  <c r="BD22" i="164"/>
  <c r="BD28" i="164"/>
  <c r="BW28" i="164"/>
  <c r="AK18" i="166"/>
  <c r="R20" i="166"/>
  <c r="R27" i="166"/>
  <c r="R29" i="166"/>
  <c r="X38" i="166"/>
  <c r="AK8" i="168"/>
  <c r="AK17" i="168"/>
  <c r="BW24" i="168"/>
  <c r="AK33" i="168"/>
  <c r="N38" i="168"/>
  <c r="BJ38" i="168"/>
  <c r="BD12" i="170"/>
  <c r="BW12" i="170"/>
  <c r="AK28" i="170"/>
  <c r="BD32" i="170"/>
  <c r="BW32" i="170"/>
  <c r="AJ37" i="170"/>
  <c r="AJ20" i="168"/>
  <c r="BV8" i="168"/>
  <c r="AJ8" i="170"/>
  <c r="AJ34" i="170"/>
  <c r="R27" i="164"/>
  <c r="R34" i="164"/>
  <c r="BW14" i="166"/>
  <c r="AK23" i="166"/>
  <c r="BD27" i="166"/>
  <c r="AJ29" i="166"/>
  <c r="R33" i="166"/>
  <c r="AU38" i="166"/>
  <c r="AK7" i="168"/>
  <c r="BC12" i="168"/>
  <c r="BD20" i="168"/>
  <c r="R25" i="168"/>
  <c r="R27" i="168"/>
  <c r="AK27" i="168"/>
  <c r="BD29" i="168"/>
  <c r="Y38" i="168"/>
  <c r="BN38" i="168"/>
  <c r="R15" i="170"/>
  <c r="BW20" i="170"/>
  <c r="AK24" i="170"/>
  <c r="BD37" i="170"/>
  <c r="I38" i="170"/>
  <c r="AG38" i="170"/>
  <c r="AK7" i="170"/>
  <c r="BD7" i="170"/>
  <c r="M38" i="170"/>
  <c r="BU38" i="170"/>
  <c r="BU39" i="170" s="1"/>
  <c r="R37" i="162"/>
  <c r="BJ38" i="162"/>
  <c r="AK15" i="164"/>
  <c r="R19" i="164"/>
  <c r="R21" i="164"/>
  <c r="AK23" i="164"/>
  <c r="BD30" i="164"/>
  <c r="BW30" i="164"/>
  <c r="BD32" i="164"/>
  <c r="BJ38" i="164"/>
  <c r="BD10" i="166"/>
  <c r="BW10" i="166"/>
  <c r="R15" i="166"/>
  <c r="AK19" i="166"/>
  <c r="R35" i="166"/>
  <c r="BV37" i="166"/>
  <c r="Q8" i="168"/>
  <c r="AK12" i="168"/>
  <c r="BD16" i="168"/>
  <c r="BW16" i="168"/>
  <c r="BD19" i="168"/>
  <c r="R28" i="168"/>
  <c r="AK30" i="168"/>
  <c r="BD32" i="168"/>
  <c r="BW32" i="168"/>
  <c r="AK34" i="168"/>
  <c r="AZ38" i="168"/>
  <c r="AK17" i="170"/>
  <c r="R23" i="170"/>
  <c r="R30" i="170"/>
  <c r="BN38" i="170"/>
  <c r="H10" i="1"/>
  <c r="H21" i="1"/>
  <c r="H7" i="1"/>
  <c r="C20" i="1"/>
  <c r="H22" i="1"/>
  <c r="H20" i="1"/>
  <c r="H8" i="1"/>
  <c r="H23" i="1"/>
  <c r="BD7" i="47"/>
  <c r="BC7" i="47"/>
  <c r="G6" i="36"/>
  <c r="J6" i="36" s="1"/>
  <c r="K5" i="36"/>
  <c r="C16" i="1"/>
  <c r="J5" i="36"/>
  <c r="H5" i="1"/>
  <c r="G25" i="1"/>
  <c r="H9" i="1"/>
  <c r="H16" i="1"/>
  <c r="H24" i="1"/>
  <c r="BW16" i="47"/>
  <c r="H6" i="1"/>
  <c r="D5" i="36"/>
  <c r="Q35" i="47"/>
  <c r="BV11" i="47"/>
  <c r="AK15" i="47"/>
  <c r="BD15" i="47"/>
  <c r="AJ17" i="47"/>
  <c r="BD22" i="47"/>
  <c r="BW22" i="47"/>
  <c r="BW37" i="47"/>
  <c r="N38" i="47"/>
  <c r="AR38" i="47"/>
  <c r="BO38" i="47"/>
  <c r="AH38" i="47"/>
  <c r="BC37" i="47"/>
  <c r="R9" i="47"/>
  <c r="R21" i="47"/>
  <c r="R25" i="47"/>
  <c r="BD34" i="47"/>
  <c r="BW34" i="47"/>
  <c r="Y38" i="47"/>
  <c r="BS38" i="47"/>
  <c r="BW21" i="47"/>
  <c r="BC25" i="47"/>
  <c r="AK27" i="47"/>
  <c r="BD27" i="47"/>
  <c r="AK31" i="47"/>
  <c r="BD31" i="47"/>
  <c r="R33" i="47"/>
  <c r="F38" i="47"/>
  <c r="AZ38" i="47"/>
  <c r="CD38" i="47"/>
  <c r="BV28" i="47"/>
  <c r="BW9" i="47"/>
  <c r="BD14" i="47"/>
  <c r="BW14" i="47"/>
  <c r="BW29" i="47"/>
  <c r="AK35" i="47"/>
  <c r="BD35" i="47"/>
  <c r="BT38" i="47"/>
  <c r="R20" i="47"/>
  <c r="AK20" i="47"/>
  <c r="R24" i="47"/>
  <c r="AK24" i="47"/>
  <c r="BW33" i="47"/>
  <c r="R37" i="47"/>
  <c r="AG38" i="47"/>
  <c r="BK38" i="47"/>
  <c r="BA38" i="47"/>
  <c r="D5" i="64"/>
  <c r="J5" i="66"/>
  <c r="G6" i="66"/>
  <c r="D6" i="66" s="1"/>
  <c r="E5" i="66"/>
  <c r="D5" i="66"/>
  <c r="J11" i="90"/>
  <c r="BV7" i="95"/>
  <c r="AK9" i="95"/>
  <c r="BC11" i="95"/>
  <c r="BW12" i="95"/>
  <c r="AJ16" i="95"/>
  <c r="BC22" i="95"/>
  <c r="BD26" i="95"/>
  <c r="BC36" i="95"/>
  <c r="BS38" i="95"/>
  <c r="D11" i="84"/>
  <c r="D5" i="88"/>
  <c r="K6" i="88"/>
  <c r="BV18" i="95"/>
  <c r="D11" i="86"/>
  <c r="E5" i="88"/>
  <c r="J6" i="88"/>
  <c r="BV35" i="95"/>
  <c r="BD16" i="95"/>
  <c r="BW22" i="95"/>
  <c r="BW36" i="95"/>
  <c r="CC38" i="95"/>
  <c r="J11" i="84"/>
  <c r="K5" i="86"/>
  <c r="O38" i="95"/>
  <c r="AJ13" i="95"/>
  <c r="BC15" i="95"/>
  <c r="Q35" i="95"/>
  <c r="AJ34" i="95"/>
  <c r="AK10" i="95"/>
  <c r="AK13" i="95"/>
  <c r="BW15" i="95"/>
  <c r="BW33" i="95"/>
  <c r="Q37" i="95"/>
  <c r="E38" i="95"/>
  <c r="M38" i="95"/>
  <c r="BA38" i="95"/>
  <c r="D5" i="86"/>
  <c r="K5" i="88"/>
  <c r="D11" i="90"/>
  <c r="BC32" i="95"/>
  <c r="R28" i="95"/>
  <c r="F38" i="95"/>
  <c r="G6" i="108"/>
  <c r="D6" i="108" s="1"/>
  <c r="G6" i="114"/>
  <c r="K6" i="114" s="1"/>
  <c r="D5" i="114"/>
  <c r="BV33" i="160"/>
  <c r="AK22" i="160"/>
  <c r="BD22" i="160"/>
  <c r="BW22" i="160"/>
  <c r="R26" i="160"/>
  <c r="O38" i="160"/>
  <c r="O39" i="160" s="1"/>
  <c r="CC38" i="160"/>
  <c r="AK8" i="162"/>
  <c r="BD34" i="162"/>
  <c r="Y38" i="162"/>
  <c r="CC38" i="162"/>
  <c r="BV33" i="164"/>
  <c r="R15" i="164"/>
  <c r="BD19" i="164"/>
  <c r="R30" i="164"/>
  <c r="BV19" i="164"/>
  <c r="BC11" i="166"/>
  <c r="BV23" i="166"/>
  <c r="BW23" i="166"/>
  <c r="AK14" i="160"/>
  <c r="BD14" i="160"/>
  <c r="BW14" i="160"/>
  <c r="Q16" i="160"/>
  <c r="R34" i="160"/>
  <c r="BC37" i="160"/>
  <c r="BT38" i="160"/>
  <c r="BT39" i="160" s="1"/>
  <c r="R10" i="162"/>
  <c r="BV14" i="162"/>
  <c r="E38" i="162"/>
  <c r="AU38" i="162"/>
  <c r="CD38" i="162"/>
  <c r="Q7" i="164"/>
  <c r="R17" i="164"/>
  <c r="BC18" i="164"/>
  <c r="BW19" i="164"/>
  <c r="BD21" i="164"/>
  <c r="BW21" i="164"/>
  <c r="Q26" i="164"/>
  <c r="AK30" i="164"/>
  <c r="BK38" i="164"/>
  <c r="CD38" i="164"/>
  <c r="BV7" i="166"/>
  <c r="BW8" i="166"/>
  <c r="BD11" i="166"/>
  <c r="BV11" i="166"/>
  <c r="BW11" i="166"/>
  <c r="BC15" i="166"/>
  <c r="AK34" i="160"/>
  <c r="BD34" i="160"/>
  <c r="BW34" i="160"/>
  <c r="J38" i="160"/>
  <c r="AG38" i="160"/>
  <c r="BK38" i="160"/>
  <c r="BC33" i="162"/>
  <c r="BV8" i="162"/>
  <c r="AK10" i="162"/>
  <c r="BD10" i="162"/>
  <c r="BW10" i="162"/>
  <c r="BD19" i="162"/>
  <c r="R21" i="162"/>
  <c r="BD27" i="162"/>
  <c r="F38" i="162"/>
  <c r="AV38" i="162"/>
  <c r="BN38" i="162"/>
  <c r="CA39" i="162"/>
  <c r="R7" i="164"/>
  <c r="R11" i="164"/>
  <c r="BV15" i="164"/>
  <c r="AK17" i="164"/>
  <c r="R29" i="164"/>
  <c r="I38" i="164"/>
  <c r="AB38" i="164"/>
  <c r="AU38" i="164"/>
  <c r="BW7" i="166"/>
  <c r="BC26" i="166"/>
  <c r="BD34" i="164"/>
  <c r="BN38" i="164"/>
  <c r="BO38" i="164"/>
  <c r="BC10" i="166"/>
  <c r="AJ33" i="160"/>
  <c r="AK8" i="160"/>
  <c r="BV9" i="160"/>
  <c r="BC16" i="160"/>
  <c r="R31" i="160"/>
  <c r="R35" i="160"/>
  <c r="N38" i="160"/>
  <c r="AR38" i="160"/>
  <c r="BO38" i="160"/>
  <c r="Q8" i="162"/>
  <c r="AK32" i="162"/>
  <c r="BD32" i="162"/>
  <c r="BW32" i="162"/>
  <c r="BD37" i="162"/>
  <c r="AF38" i="162"/>
  <c r="AY38" i="162"/>
  <c r="BD7" i="164"/>
  <c r="AK9" i="164"/>
  <c r="BC10" i="164"/>
  <c r="AK11" i="164"/>
  <c r="BV23" i="164"/>
  <c r="AK25" i="164"/>
  <c r="AJ25" i="164"/>
  <c r="BV27" i="164"/>
  <c r="BV34" i="164"/>
  <c r="BC14" i="166"/>
  <c r="BC18" i="166"/>
  <c r="AJ7" i="160"/>
  <c r="AJ8" i="160"/>
  <c r="Q9" i="160"/>
  <c r="BV16" i="160"/>
  <c r="R18" i="160"/>
  <c r="R20" i="160"/>
  <c r="AK31" i="160"/>
  <c r="BD31" i="160"/>
  <c r="BW31" i="160"/>
  <c r="AK35" i="160"/>
  <c r="BD35" i="160"/>
  <c r="BW35" i="160"/>
  <c r="AH38" i="160"/>
  <c r="AH39" i="160" s="1"/>
  <c r="Q7" i="162"/>
  <c r="AJ14" i="162"/>
  <c r="AG38" i="162"/>
  <c r="AZ38" i="162"/>
  <c r="BC7" i="164"/>
  <c r="BD9" i="164"/>
  <c r="BW9" i="164"/>
  <c r="BD11" i="164"/>
  <c r="R13" i="164"/>
  <c r="BW23" i="164"/>
  <c r="BC26" i="164"/>
  <c r="BW27" i="164"/>
  <c r="BW34" i="164"/>
  <c r="BD36" i="164"/>
  <c r="BW36" i="164"/>
  <c r="M38" i="164"/>
  <c r="N38" i="164"/>
  <c r="R10" i="160"/>
  <c r="AK18" i="160"/>
  <c r="BD18" i="160"/>
  <c r="BW18" i="160"/>
  <c r="AK20" i="160"/>
  <c r="BD20" i="160"/>
  <c r="BW20" i="160"/>
  <c r="R22" i="160"/>
  <c r="R24" i="160"/>
  <c r="AK33" i="160"/>
  <c r="BD33" i="160"/>
  <c r="BW33" i="160"/>
  <c r="Y38" i="160"/>
  <c r="AV38" i="160"/>
  <c r="BS38" i="160"/>
  <c r="R7" i="162"/>
  <c r="AJ8" i="162"/>
  <c r="R9" i="162"/>
  <c r="BD11" i="162"/>
  <c r="R13" i="162"/>
  <c r="BD15" i="162"/>
  <c r="R17" i="162"/>
  <c r="BD23" i="162"/>
  <c r="R25" i="162"/>
  <c r="Q28" i="162"/>
  <c r="AR38" i="162"/>
  <c r="BC33" i="164"/>
  <c r="AK13" i="164"/>
  <c r="BV25" i="164"/>
  <c r="R28" i="164"/>
  <c r="BA38" i="164"/>
  <c r="BA39" i="164" s="1"/>
  <c r="BS38" i="164"/>
  <c r="BC36" i="168"/>
  <c r="BC15" i="170"/>
  <c r="BD35" i="170"/>
  <c r="BC35" i="170"/>
  <c r="BD20" i="166"/>
  <c r="BW20" i="166"/>
  <c r="BC23" i="166"/>
  <c r="J38" i="166"/>
  <c r="AB38" i="166"/>
  <c r="BK38" i="166"/>
  <c r="CC38" i="166"/>
  <c r="AJ7" i="168"/>
  <c r="BC9" i="168"/>
  <c r="AK23" i="168"/>
  <c r="AF38" i="168"/>
  <c r="AY38" i="168"/>
  <c r="BS38" i="168"/>
  <c r="R8" i="170"/>
  <c r="AH38" i="170"/>
  <c r="AH39" i="170" s="1"/>
  <c r="X38" i="170"/>
  <c r="CC38" i="170"/>
  <c r="BC25" i="168"/>
  <c r="BD24" i="170"/>
  <c r="BC24" i="170"/>
  <c r="Q31" i="170"/>
  <c r="R37" i="170"/>
  <c r="Q37" i="170"/>
  <c r="BJ38" i="170"/>
  <c r="BD30" i="166"/>
  <c r="BV34" i="166"/>
  <c r="M38" i="166"/>
  <c r="AV38" i="166"/>
  <c r="BN38" i="166"/>
  <c r="BD7" i="168"/>
  <c r="AJ8" i="168"/>
  <c r="BV9" i="168"/>
  <c r="BC16" i="168"/>
  <c r="P38" i="170"/>
  <c r="P39" i="170" s="1"/>
  <c r="E38" i="170"/>
  <c r="O38" i="164"/>
  <c r="O39" i="164" s="1"/>
  <c r="AF38" i="164"/>
  <c r="Q27" i="166"/>
  <c r="R8" i="166"/>
  <c r="BC19" i="166"/>
  <c r="BV29" i="166"/>
  <c r="BW30" i="166"/>
  <c r="BV33" i="166"/>
  <c r="BW34" i="166"/>
  <c r="O38" i="166"/>
  <c r="O39" i="166" s="1"/>
  <c r="N38" i="166"/>
  <c r="AF38" i="166"/>
  <c r="BO38" i="166"/>
  <c r="BW9" i="168"/>
  <c r="AJ13" i="168"/>
  <c r="CC38" i="168"/>
  <c r="CD38" i="168"/>
  <c r="AJ7" i="170"/>
  <c r="AK8" i="170"/>
  <c r="AK11" i="170"/>
  <c r="BD11" i="170"/>
  <c r="BC11" i="170"/>
  <c r="Q13" i="170"/>
  <c r="Q35" i="170"/>
  <c r="AC38" i="170"/>
  <c r="BD27" i="164"/>
  <c r="BV30" i="164"/>
  <c r="AK32" i="164"/>
  <c r="R37" i="164"/>
  <c r="E38" i="164"/>
  <c r="AH38" i="164"/>
  <c r="AH39" i="164" s="1"/>
  <c r="AG38" i="164"/>
  <c r="AY38" i="164"/>
  <c r="R7" i="166"/>
  <c r="BV26" i="166"/>
  <c r="BD19" i="166"/>
  <c r="BV19" i="166"/>
  <c r="R24" i="166"/>
  <c r="R37" i="166"/>
  <c r="E38" i="166"/>
  <c r="AH38" i="166"/>
  <c r="AH39" i="166" s="1"/>
  <c r="AG38" i="166"/>
  <c r="AY38" i="166"/>
  <c r="AK13" i="168"/>
  <c r="BC13" i="168"/>
  <c r="BW31" i="168"/>
  <c r="BD34" i="168"/>
  <c r="AK36" i="168"/>
  <c r="BD36" i="168"/>
  <c r="BW36" i="168"/>
  <c r="BK38" i="168"/>
  <c r="Q9" i="170"/>
  <c r="R13" i="170"/>
  <c r="R27" i="170"/>
  <c r="AB38" i="170"/>
  <c r="AV38" i="170"/>
  <c r="AU38" i="170"/>
  <c r="BC8" i="168"/>
  <c r="Q36" i="168"/>
  <c r="AJ36" i="170"/>
  <c r="AK36" i="170"/>
  <c r="BW35" i="166"/>
  <c r="Y38" i="166"/>
  <c r="AQ38" i="166"/>
  <c r="BT38" i="166"/>
  <c r="BT39" i="166" s="1"/>
  <c r="BS38" i="166"/>
  <c r="Q29" i="168"/>
  <c r="AJ9" i="168"/>
  <c r="BW13" i="168"/>
  <c r="R32" i="168"/>
  <c r="AK15" i="170"/>
  <c r="BD15" i="170"/>
  <c r="AK25" i="170"/>
  <c r="AZ38" i="170"/>
  <c r="AY38" i="170"/>
  <c r="AJ9" i="170"/>
  <c r="BW11" i="170"/>
  <c r="BD21" i="170"/>
  <c r="AK27" i="170"/>
  <c r="BD27" i="170"/>
  <c r="BW27" i="170"/>
  <c r="R28" i="170"/>
  <c r="R32" i="170"/>
  <c r="N38" i="170"/>
  <c r="BO38" i="170"/>
  <c r="O38" i="170"/>
  <c r="O39" i="170" s="1"/>
  <c r="R37" i="168"/>
  <c r="E38" i="168"/>
  <c r="AC38" i="168"/>
  <c r="AU38" i="168"/>
  <c r="BD13" i="170"/>
  <c r="AK30" i="170"/>
  <c r="AK34" i="170"/>
  <c r="BD34" i="170"/>
  <c r="BW34" i="170"/>
  <c r="AI38" i="170"/>
  <c r="AI39" i="170" s="1"/>
  <c r="BA38" i="170"/>
  <c r="BA39" i="170" s="1"/>
  <c r="BS38" i="170"/>
  <c r="BB38" i="170"/>
  <c r="BT38" i="170"/>
  <c r="BT39" i="170" s="1"/>
  <c r="G11" i="38"/>
  <c r="K10" i="38"/>
  <c r="E10" i="38"/>
  <c r="D10" i="38"/>
  <c r="J10" i="38"/>
  <c r="K23" i="27"/>
  <c r="E23" i="27"/>
  <c r="D9" i="38"/>
  <c r="G14" i="38"/>
  <c r="K13" i="38"/>
  <c r="E13" i="38"/>
  <c r="G6" i="40"/>
  <c r="K5" i="40"/>
  <c r="E5" i="40"/>
  <c r="C18" i="1"/>
  <c r="B25" i="1"/>
  <c r="K9" i="38"/>
  <c r="E9" i="38"/>
  <c r="C4" i="1"/>
  <c r="C5" i="1"/>
  <c r="C6" i="1"/>
  <c r="C7" i="1"/>
  <c r="C8" i="1"/>
  <c r="C9" i="1"/>
  <c r="C10" i="1"/>
  <c r="C11" i="1"/>
  <c r="C12" i="1"/>
  <c r="H13" i="1"/>
  <c r="H14" i="1"/>
  <c r="H15" i="1"/>
  <c r="C17" i="1"/>
  <c r="H19" i="1"/>
  <c r="C21" i="1"/>
  <c r="C22" i="1"/>
  <c r="C23" i="1"/>
  <c r="C24" i="1"/>
  <c r="K7" i="27"/>
  <c r="G8" i="27"/>
  <c r="J9" i="38"/>
  <c r="D13" i="38"/>
  <c r="G7" i="42"/>
  <c r="K6" i="42"/>
  <c r="E6" i="42"/>
  <c r="C13" i="1"/>
  <c r="C19" i="1"/>
  <c r="G24" i="27"/>
  <c r="H17" i="1"/>
  <c r="H18" i="1"/>
  <c r="G7" i="62"/>
  <c r="K6" i="62"/>
  <c r="E6" i="62"/>
  <c r="AJ9" i="47"/>
  <c r="Q10" i="47"/>
  <c r="BC12" i="47"/>
  <c r="AJ13" i="47"/>
  <c r="Q14" i="47"/>
  <c r="BV15" i="47"/>
  <c r="BC16" i="47"/>
  <c r="Q18" i="47"/>
  <c r="BV19" i="47"/>
  <c r="BC20" i="47"/>
  <c r="AJ21" i="47"/>
  <c r="Q22" i="47"/>
  <c r="BV23" i="47"/>
  <c r="BC24" i="47"/>
  <c r="AJ25" i="47"/>
  <c r="Q26" i="47"/>
  <c r="BV27" i="47"/>
  <c r="BC28" i="47"/>
  <c r="AJ29" i="47"/>
  <c r="Q30" i="47"/>
  <c r="BV31" i="47"/>
  <c r="BC32" i="47"/>
  <c r="AJ33" i="47"/>
  <c r="Q34" i="47"/>
  <c r="BV35" i="47"/>
  <c r="AJ37" i="47"/>
  <c r="P38" i="47"/>
  <c r="AI38" i="47"/>
  <c r="BB38" i="47"/>
  <c r="BU38" i="47"/>
  <c r="J6" i="64"/>
  <c r="E6" i="64"/>
  <c r="AJ7" i="47"/>
  <c r="BV7" i="47"/>
  <c r="AJ8" i="47"/>
  <c r="Q9" i="47"/>
  <c r="BV10" i="47"/>
  <c r="BC11" i="47"/>
  <c r="AJ12" i="47"/>
  <c r="Q13" i="47"/>
  <c r="BV14" i="47"/>
  <c r="BC15" i="47"/>
  <c r="AJ16" i="47"/>
  <c r="Q17" i="47"/>
  <c r="BV18" i="47"/>
  <c r="BC19" i="47"/>
  <c r="AJ20" i="47"/>
  <c r="Q21" i="47"/>
  <c r="BV22" i="47"/>
  <c r="BC23" i="47"/>
  <c r="AJ24" i="47"/>
  <c r="Q25" i="47"/>
  <c r="BV26" i="47"/>
  <c r="BC27" i="47"/>
  <c r="AJ28" i="47"/>
  <c r="Q29" i="47"/>
  <c r="BV30" i="47"/>
  <c r="BC31" i="47"/>
  <c r="AJ32" i="47"/>
  <c r="Q33" i="47"/>
  <c r="BV34" i="47"/>
  <c r="BC35" i="47"/>
  <c r="AJ36" i="47"/>
  <c r="Q37" i="47"/>
  <c r="E38" i="47"/>
  <c r="I38" i="47"/>
  <c r="M38" i="47"/>
  <c r="X38" i="47"/>
  <c r="AB38" i="47"/>
  <c r="AF38" i="47"/>
  <c r="AQ38" i="47"/>
  <c r="AU38" i="47"/>
  <c r="AY38" i="47"/>
  <c r="BJ38" i="47"/>
  <c r="BN38" i="47"/>
  <c r="BR38" i="47"/>
  <c r="CC38" i="47"/>
  <c r="K7" i="86"/>
  <c r="E7" i="86"/>
  <c r="G8" i="86"/>
  <c r="E5" i="42"/>
  <c r="K5" i="42"/>
  <c r="AK7" i="47"/>
  <c r="BW7" i="47"/>
  <c r="Q8" i="47"/>
  <c r="BV9" i="47"/>
  <c r="BC10" i="47"/>
  <c r="AJ11" i="47"/>
  <c r="Q12" i="47"/>
  <c r="BV13" i="47"/>
  <c r="BC14" i="47"/>
  <c r="AJ15" i="47"/>
  <c r="Q16" i="47"/>
  <c r="BV17" i="47"/>
  <c r="BC18" i="47"/>
  <c r="AJ19" i="47"/>
  <c r="Q20" i="47"/>
  <c r="BV21" i="47"/>
  <c r="BC22" i="47"/>
  <c r="AJ23" i="47"/>
  <c r="Q24" i="47"/>
  <c r="BV25" i="47"/>
  <c r="BC26" i="47"/>
  <c r="AJ27" i="47"/>
  <c r="Q28" i="47"/>
  <c r="BV29" i="47"/>
  <c r="BC30" i="47"/>
  <c r="AJ31" i="47"/>
  <c r="Q32" i="47"/>
  <c r="BV33" i="47"/>
  <c r="BC34" i="47"/>
  <c r="AJ35" i="47"/>
  <c r="Q36" i="47"/>
  <c r="BV37" i="47"/>
  <c r="G6" i="60"/>
  <c r="K5" i="60"/>
  <c r="E5" i="60"/>
  <c r="R8" i="47"/>
  <c r="BV8" i="47"/>
  <c r="BC9" i="47"/>
  <c r="AJ10" i="47"/>
  <c r="BV12" i="47"/>
  <c r="BC13" i="47"/>
  <c r="AJ14" i="47"/>
  <c r="Q15" i="47"/>
  <c r="BV16" i="47"/>
  <c r="Q19" i="47"/>
  <c r="BV20" i="47"/>
  <c r="BC21" i="47"/>
  <c r="AJ22" i="47"/>
  <c r="Q23" i="47"/>
  <c r="BV24" i="47"/>
  <c r="AJ26" i="47"/>
  <c r="Q27" i="47"/>
  <c r="BC29" i="47"/>
  <c r="AJ30" i="47"/>
  <c r="Q31" i="47"/>
  <c r="BC33" i="47"/>
  <c r="K5" i="62"/>
  <c r="E5" i="62"/>
  <c r="G6" i="70"/>
  <c r="G6" i="84"/>
  <c r="K5" i="84"/>
  <c r="E5" i="84"/>
  <c r="K6" i="86"/>
  <c r="J7" i="86"/>
  <c r="D6" i="88"/>
  <c r="J7" i="88"/>
  <c r="BV10" i="95"/>
  <c r="AK11" i="95"/>
  <c r="AJ11" i="95"/>
  <c r="BC12" i="95"/>
  <c r="BW13" i="95"/>
  <c r="BV13" i="95"/>
  <c r="BD14" i="95"/>
  <c r="BC14" i="95"/>
  <c r="BD17" i="95"/>
  <c r="BV19" i="95"/>
  <c r="R20" i="95"/>
  <c r="Q20" i="95"/>
  <c r="BV21" i="95"/>
  <c r="AK22" i="95"/>
  <c r="AJ22" i="95"/>
  <c r="BV24" i="95"/>
  <c r="R25" i="95"/>
  <c r="Q25" i="95"/>
  <c r="AJ26" i="95"/>
  <c r="Q27" i="95"/>
  <c r="BC28" i="95"/>
  <c r="BV31" i="95"/>
  <c r="AK32" i="95"/>
  <c r="AJ32" i="95"/>
  <c r="BC33" i="95"/>
  <c r="BW34" i="95"/>
  <c r="BV34" i="95"/>
  <c r="BD35" i="95"/>
  <c r="BC35" i="95"/>
  <c r="BT38" i="95"/>
  <c r="E5" i="64"/>
  <c r="J6" i="86"/>
  <c r="K11" i="88"/>
  <c r="E11" i="88"/>
  <c r="J11" i="88"/>
  <c r="D11" i="88"/>
  <c r="R8" i="95"/>
  <c r="Q8" i="95"/>
  <c r="Q10" i="95"/>
  <c r="Q13" i="95"/>
  <c r="BV14" i="95"/>
  <c r="AK15" i="95"/>
  <c r="AJ15" i="95"/>
  <c r="BW17" i="95"/>
  <c r="BV17" i="95"/>
  <c r="BD18" i="95"/>
  <c r="BC18" i="95"/>
  <c r="AJ20" i="95"/>
  <c r="Q21" i="95"/>
  <c r="Q24" i="95"/>
  <c r="AJ25" i="95"/>
  <c r="BV28" i="95"/>
  <c r="R29" i="95"/>
  <c r="Q29" i="95"/>
  <c r="Q31" i="95"/>
  <c r="Q34" i="95"/>
  <c r="AK36" i="95"/>
  <c r="AJ36" i="95"/>
  <c r="E6" i="86"/>
  <c r="D7" i="86"/>
  <c r="K11" i="86"/>
  <c r="E11" i="86"/>
  <c r="G9" i="88"/>
  <c r="K8" i="88"/>
  <c r="E8" i="88"/>
  <c r="J8" i="88"/>
  <c r="D8" i="88"/>
  <c r="BV11" i="95"/>
  <c r="R12" i="95"/>
  <c r="Q12" i="95"/>
  <c r="Q14" i="95"/>
  <c r="Q17" i="95"/>
  <c r="AK19" i="95"/>
  <c r="AJ19" i="95"/>
  <c r="BC20" i="95"/>
  <c r="R23" i="95"/>
  <c r="Q23" i="95"/>
  <c r="BC25" i="95"/>
  <c r="BW26" i="95"/>
  <c r="BV26" i="95"/>
  <c r="BD27" i="95"/>
  <c r="BC27" i="95"/>
  <c r="AJ29" i="95"/>
  <c r="BV32" i="95"/>
  <c r="R33" i="95"/>
  <c r="Q33" i="95"/>
  <c r="AZ38" i="95"/>
  <c r="AY38" i="95"/>
  <c r="E5" i="70"/>
  <c r="K11" i="84"/>
  <c r="E11" i="84"/>
  <c r="D6" i="86"/>
  <c r="J11" i="86"/>
  <c r="K7" i="88"/>
  <c r="E7" i="88"/>
  <c r="E6" i="88"/>
  <c r="D7" i="88"/>
  <c r="G6" i="90"/>
  <c r="K5" i="90"/>
  <c r="E5" i="90"/>
  <c r="J5" i="90"/>
  <c r="D5" i="90"/>
  <c r="BW9" i="95"/>
  <c r="BV9" i="95"/>
  <c r="BD10" i="95"/>
  <c r="BC10" i="95"/>
  <c r="R11" i="95"/>
  <c r="AJ12" i="95"/>
  <c r="BD13" i="95"/>
  <c r="AK14" i="95"/>
  <c r="R16" i="95"/>
  <c r="Q16" i="95"/>
  <c r="AJ17" i="95"/>
  <c r="Q18" i="95"/>
  <c r="BC19" i="95"/>
  <c r="BW20" i="95"/>
  <c r="BD21" i="95"/>
  <c r="BC21" i="95"/>
  <c r="BW23" i="95"/>
  <c r="BV23" i="95"/>
  <c r="BC24" i="95"/>
  <c r="BW25" i="95"/>
  <c r="Q26" i="95"/>
  <c r="BV27" i="95"/>
  <c r="AK28" i="95"/>
  <c r="AJ28" i="95"/>
  <c r="BW30" i="95"/>
  <c r="BV30" i="95"/>
  <c r="BD31" i="95"/>
  <c r="BC31" i="95"/>
  <c r="R32" i="95"/>
  <c r="AJ33" i="95"/>
  <c r="BD34" i="95"/>
  <c r="AK35" i="95"/>
  <c r="AG38" i="95"/>
  <c r="AF38" i="95"/>
  <c r="K5" i="112"/>
  <c r="E5" i="112"/>
  <c r="J5" i="112"/>
  <c r="D5" i="112"/>
  <c r="G6" i="112"/>
  <c r="AC38" i="95"/>
  <c r="AV38" i="95"/>
  <c r="BO38" i="95"/>
  <c r="CD38" i="95"/>
  <c r="Q7" i="95"/>
  <c r="BC7" i="95"/>
  <c r="BV8" i="95"/>
  <c r="BC9" i="95"/>
  <c r="AJ10" i="95"/>
  <c r="Q11" i="95"/>
  <c r="BV12" i="95"/>
  <c r="BC13" i="95"/>
  <c r="AJ14" i="95"/>
  <c r="Q15" i="95"/>
  <c r="BV16" i="95"/>
  <c r="BC17" i="95"/>
  <c r="AJ18" i="95"/>
  <c r="Q19" i="95"/>
  <c r="BV20" i="95"/>
  <c r="AJ21" i="95"/>
  <c r="Q22" i="95"/>
  <c r="BC23" i="95"/>
  <c r="AJ24" i="95"/>
  <c r="BV25" i="95"/>
  <c r="BC26" i="95"/>
  <c r="AJ27" i="95"/>
  <c r="Q28" i="95"/>
  <c r="BV29" i="95"/>
  <c r="BC30" i="95"/>
  <c r="AJ31" i="95"/>
  <c r="Q32" i="95"/>
  <c r="BV33" i="95"/>
  <c r="BC34" i="95"/>
  <c r="AJ35" i="95"/>
  <c r="Q36" i="95"/>
  <c r="AJ37" i="95"/>
  <c r="BV37" i="95"/>
  <c r="Y38" i="95"/>
  <c r="AB38" i="95"/>
  <c r="AR38" i="95"/>
  <c r="AU38" i="95"/>
  <c r="BU38" i="95"/>
  <c r="BK38" i="95"/>
  <c r="BN38" i="95"/>
  <c r="D5" i="110"/>
  <c r="E11" i="90"/>
  <c r="R7" i="95"/>
  <c r="X38" i="95"/>
  <c r="AI38" i="95"/>
  <c r="AQ38" i="95"/>
  <c r="BB38" i="95"/>
  <c r="BJ38" i="95"/>
  <c r="K5" i="110"/>
  <c r="E5" i="110"/>
  <c r="G6" i="110"/>
  <c r="E5" i="114"/>
  <c r="E5" i="108"/>
  <c r="BV7" i="160"/>
  <c r="BW7" i="160"/>
  <c r="BV18" i="160"/>
  <c r="AK11" i="160"/>
  <c r="AJ11" i="160"/>
  <c r="AJ35" i="160"/>
  <c r="AJ12" i="160"/>
  <c r="AK15" i="160"/>
  <c r="AJ15" i="160"/>
  <c r="AK19" i="160"/>
  <c r="AJ19" i="160"/>
  <c r="AJ20" i="160"/>
  <c r="AK23" i="160"/>
  <c r="AJ23" i="160"/>
  <c r="AJ24" i="160"/>
  <c r="AK27" i="160"/>
  <c r="AJ27" i="160"/>
  <c r="AK30" i="160"/>
  <c r="AJ30" i="160"/>
  <c r="AJ31" i="160"/>
  <c r="Q33" i="160"/>
  <c r="Q29" i="160"/>
  <c r="Q26" i="160"/>
  <c r="Q22" i="160"/>
  <c r="Q18" i="160"/>
  <c r="Q14" i="160"/>
  <c r="Q10" i="160"/>
  <c r="R7" i="160"/>
  <c r="Q7" i="160"/>
  <c r="Q35" i="160"/>
  <c r="Q36" i="160"/>
  <c r="Q32" i="160"/>
  <c r="Q28" i="160"/>
  <c r="Q25" i="160"/>
  <c r="Q21" i="160"/>
  <c r="Q17" i="160"/>
  <c r="Q13" i="160"/>
  <c r="BD11" i="160"/>
  <c r="BC11" i="160"/>
  <c r="BC35" i="160"/>
  <c r="BC12" i="160"/>
  <c r="BD15" i="160"/>
  <c r="BC15" i="160"/>
  <c r="BD19" i="160"/>
  <c r="BC19" i="160"/>
  <c r="BC20" i="160"/>
  <c r="BD23" i="160"/>
  <c r="BC23" i="160"/>
  <c r="BC24" i="160"/>
  <c r="BD27" i="160"/>
  <c r="BC27" i="160"/>
  <c r="BD30" i="160"/>
  <c r="BC30" i="160"/>
  <c r="BC31" i="160"/>
  <c r="Q8" i="160"/>
  <c r="BW11" i="160"/>
  <c r="BV11" i="160"/>
  <c r="BV35" i="160"/>
  <c r="Q12" i="160"/>
  <c r="BV12" i="160"/>
  <c r="BW15" i="160"/>
  <c r="BV15" i="160"/>
  <c r="BW19" i="160"/>
  <c r="BV19" i="160"/>
  <c r="Q20" i="160"/>
  <c r="BV20" i="160"/>
  <c r="BW23" i="160"/>
  <c r="BV23" i="160"/>
  <c r="Q24" i="160"/>
  <c r="BV24" i="160"/>
  <c r="BW27" i="160"/>
  <c r="BV27" i="160"/>
  <c r="BW30" i="160"/>
  <c r="BV30" i="160"/>
  <c r="Q31" i="160"/>
  <c r="BV31" i="160"/>
  <c r="BC33" i="160"/>
  <c r="R11" i="160"/>
  <c r="Q11" i="160"/>
  <c r="R15" i="160"/>
  <c r="Q15" i="160"/>
  <c r="R19" i="160"/>
  <c r="Q19" i="160"/>
  <c r="R23" i="160"/>
  <c r="Q23" i="160"/>
  <c r="R27" i="160"/>
  <c r="Q27" i="160"/>
  <c r="R30" i="160"/>
  <c r="Q30" i="160"/>
  <c r="AJ13" i="160"/>
  <c r="BC13" i="160"/>
  <c r="BV13" i="160"/>
  <c r="AJ17" i="160"/>
  <c r="BC17" i="160"/>
  <c r="BV17" i="160"/>
  <c r="AJ21" i="160"/>
  <c r="BC21" i="160"/>
  <c r="BV21" i="160"/>
  <c r="AJ25" i="160"/>
  <c r="BC25" i="160"/>
  <c r="BV25" i="160"/>
  <c r="AJ28" i="160"/>
  <c r="BC28" i="160"/>
  <c r="BV28" i="160"/>
  <c r="AJ32" i="160"/>
  <c r="BC32" i="160"/>
  <c r="BV32" i="160"/>
  <c r="AJ36" i="160"/>
  <c r="BC36" i="160"/>
  <c r="BV36" i="160"/>
  <c r="CA39" i="160"/>
  <c r="Q11" i="162"/>
  <c r="R12" i="162"/>
  <c r="Q12" i="162"/>
  <c r="BD12" i="162"/>
  <c r="BC12" i="162"/>
  <c r="Q13" i="162"/>
  <c r="BC13" i="162"/>
  <c r="Q15" i="162"/>
  <c r="R16" i="162"/>
  <c r="Q16" i="162"/>
  <c r="BD16" i="162"/>
  <c r="BC16" i="162"/>
  <c r="Q17" i="162"/>
  <c r="BC17" i="162"/>
  <c r="Q19" i="162"/>
  <c r="R20" i="162"/>
  <c r="Q20" i="162"/>
  <c r="BD20" i="162"/>
  <c r="BC20" i="162"/>
  <c r="Q21" i="162"/>
  <c r="BC21" i="162"/>
  <c r="Q23" i="162"/>
  <c r="R24" i="162"/>
  <c r="Q24" i="162"/>
  <c r="BD24" i="162"/>
  <c r="BC24" i="162"/>
  <c r="Q25" i="162"/>
  <c r="BC25" i="162"/>
  <c r="Q27" i="162"/>
  <c r="Q30" i="162"/>
  <c r="R31" i="162"/>
  <c r="Q31" i="162"/>
  <c r="BD31" i="162"/>
  <c r="BC31" i="162"/>
  <c r="Q32" i="162"/>
  <c r="BC32" i="162"/>
  <c r="Q34" i="162"/>
  <c r="R35" i="162"/>
  <c r="Q35" i="162"/>
  <c r="BD35" i="162"/>
  <c r="BC35" i="162"/>
  <c r="Q36" i="162"/>
  <c r="BC36" i="162"/>
  <c r="BC14" i="164"/>
  <c r="AJ15" i="164"/>
  <c r="AJ19" i="164"/>
  <c r="BC22" i="164"/>
  <c r="AJ23" i="164"/>
  <c r="AJ27" i="164"/>
  <c r="BC29" i="164"/>
  <c r="AJ30" i="164"/>
  <c r="AJ34" i="164"/>
  <c r="R9" i="166"/>
  <c r="Q9" i="166"/>
  <c r="R13" i="166"/>
  <c r="Q13" i="166"/>
  <c r="R17" i="166"/>
  <c r="Q17" i="166"/>
  <c r="R21" i="166"/>
  <c r="Q21" i="166"/>
  <c r="R25" i="166"/>
  <c r="Q25" i="166"/>
  <c r="AK28" i="166"/>
  <c r="AJ28" i="166"/>
  <c r="AK32" i="166"/>
  <c r="AJ32" i="166"/>
  <c r="Q34" i="166"/>
  <c r="AK36" i="166"/>
  <c r="AJ36" i="166"/>
  <c r="BD37" i="166"/>
  <c r="BC37" i="166"/>
  <c r="BW11" i="168"/>
  <c r="BV11" i="168"/>
  <c r="Q12" i="168"/>
  <c r="BW15" i="168"/>
  <c r="BV15" i="168"/>
  <c r="Q16" i="168"/>
  <c r="BW18" i="168"/>
  <c r="BV18" i="168"/>
  <c r="Q19" i="168"/>
  <c r="AK22" i="168"/>
  <c r="AJ22" i="168"/>
  <c r="BV24" i="168"/>
  <c r="AJ26" i="168"/>
  <c r="AK28" i="168"/>
  <c r="AJ28" i="168"/>
  <c r="BD31" i="168"/>
  <c r="BC31" i="168"/>
  <c r="AK32" i="168"/>
  <c r="AJ32" i="168"/>
  <c r="BD35" i="168"/>
  <c r="BC35" i="168"/>
  <c r="R14" i="170"/>
  <c r="Q14" i="170"/>
  <c r="Q25" i="170"/>
  <c r="Q28" i="170"/>
  <c r="BD29" i="170"/>
  <c r="BC29" i="170"/>
  <c r="Q30" i="170"/>
  <c r="Q32" i="170"/>
  <c r="P38" i="160"/>
  <c r="AI38" i="160"/>
  <c r="BB38" i="160"/>
  <c r="BU38" i="160"/>
  <c r="CB39" i="160"/>
  <c r="Q10" i="162"/>
  <c r="AJ10" i="162"/>
  <c r="BC10" i="162"/>
  <c r="BV10" i="162"/>
  <c r="BC11" i="162"/>
  <c r="BC15" i="162"/>
  <c r="AJ18" i="162"/>
  <c r="BV18" i="162"/>
  <c r="BC19" i="162"/>
  <c r="AJ22" i="162"/>
  <c r="BV22" i="162"/>
  <c r="BC23" i="162"/>
  <c r="AJ26" i="162"/>
  <c r="BV26" i="162"/>
  <c r="BC27" i="162"/>
  <c r="AJ29" i="162"/>
  <c r="BV29" i="162"/>
  <c r="BC30" i="162"/>
  <c r="AJ33" i="162"/>
  <c r="BV33" i="162"/>
  <c r="BC34" i="162"/>
  <c r="Q37" i="162"/>
  <c r="BC37" i="162"/>
  <c r="M38" i="162"/>
  <c r="AB38" i="162"/>
  <c r="AQ38" i="162"/>
  <c r="BA38" i="162"/>
  <c r="BA39" i="162" s="1"/>
  <c r="R8" i="164"/>
  <c r="Q8" i="164"/>
  <c r="BD8" i="164"/>
  <c r="BC8" i="164"/>
  <c r="Q9" i="164"/>
  <c r="BC9" i="164"/>
  <c r="R12" i="164"/>
  <c r="Q12" i="164"/>
  <c r="BD12" i="164"/>
  <c r="BC12" i="164"/>
  <c r="Q13" i="164"/>
  <c r="BC13" i="164"/>
  <c r="Q15" i="164"/>
  <c r="R16" i="164"/>
  <c r="Q16" i="164"/>
  <c r="BD16" i="164"/>
  <c r="BC16" i="164"/>
  <c r="Q17" i="164"/>
  <c r="BC17" i="164"/>
  <c r="Q19" i="164"/>
  <c r="R20" i="164"/>
  <c r="Q20" i="164"/>
  <c r="BD20" i="164"/>
  <c r="BC20" i="164"/>
  <c r="Q21" i="164"/>
  <c r="BC21" i="164"/>
  <c r="Q23" i="164"/>
  <c r="R24" i="164"/>
  <c r="Q24" i="164"/>
  <c r="BD24" i="164"/>
  <c r="BC24" i="164"/>
  <c r="Q25" i="164"/>
  <c r="BC25" i="164"/>
  <c r="Q27" i="164"/>
  <c r="Q28" i="164"/>
  <c r="BC28" i="164"/>
  <c r="Q30" i="164"/>
  <c r="R31" i="164"/>
  <c r="Q31" i="164"/>
  <c r="BD31" i="164"/>
  <c r="BC31" i="164"/>
  <c r="Q32" i="164"/>
  <c r="BC32" i="164"/>
  <c r="Q34" i="164"/>
  <c r="R35" i="164"/>
  <c r="Q35" i="164"/>
  <c r="BD35" i="164"/>
  <c r="BC35" i="164"/>
  <c r="Q36" i="164"/>
  <c r="BC36" i="164"/>
  <c r="BD37" i="164"/>
  <c r="BC37" i="164"/>
  <c r="AK9" i="166"/>
  <c r="AJ9" i="166"/>
  <c r="Q11" i="166"/>
  <c r="AK13" i="166"/>
  <c r="AJ13" i="166"/>
  <c r="Q15" i="166"/>
  <c r="AK17" i="166"/>
  <c r="AJ17" i="166"/>
  <c r="Q19" i="166"/>
  <c r="AK21" i="166"/>
  <c r="AJ21" i="166"/>
  <c r="Q23" i="166"/>
  <c r="AK25" i="166"/>
  <c r="AJ25" i="166"/>
  <c r="BD28" i="166"/>
  <c r="BC28" i="166"/>
  <c r="BD32" i="166"/>
  <c r="BC32" i="166"/>
  <c r="AK35" i="166"/>
  <c r="BD36" i="166"/>
  <c r="BC36" i="166"/>
  <c r="R10" i="168"/>
  <c r="BW10" i="168"/>
  <c r="R11" i="168"/>
  <c r="Q11" i="168"/>
  <c r="R14" i="168"/>
  <c r="BW14" i="168"/>
  <c r="R15" i="168"/>
  <c r="Q15" i="168"/>
  <c r="R18" i="168"/>
  <c r="AK21" i="168"/>
  <c r="BD22" i="168"/>
  <c r="BC22" i="168"/>
  <c r="Q26" i="168"/>
  <c r="BC28" i="168"/>
  <c r="AJ29" i="168"/>
  <c r="BV31" i="168"/>
  <c r="BC32" i="168"/>
  <c r="AR38" i="168"/>
  <c r="BA38" i="168"/>
  <c r="BA39" i="168" s="1"/>
  <c r="BD10" i="170"/>
  <c r="BC10" i="170"/>
  <c r="BC20" i="170"/>
  <c r="BC16" i="170"/>
  <c r="BC12" i="170"/>
  <c r="BC34" i="170"/>
  <c r="R18" i="170"/>
  <c r="Q18" i="170"/>
  <c r="BC19" i="170"/>
  <c r="R22" i="170"/>
  <c r="Q22" i="170"/>
  <c r="BC23" i="170"/>
  <c r="BD26" i="170"/>
  <c r="BC26" i="170"/>
  <c r="Q27" i="170"/>
  <c r="AK7" i="160"/>
  <c r="BW8" i="160"/>
  <c r="Q34" i="160"/>
  <c r="AJ34" i="160"/>
  <c r="BC34" i="160"/>
  <c r="BV34" i="160"/>
  <c r="Q37" i="160"/>
  <c r="E38" i="160"/>
  <c r="I38" i="160"/>
  <c r="M38" i="160"/>
  <c r="X38" i="160"/>
  <c r="AB38" i="160"/>
  <c r="AF38" i="160"/>
  <c r="AQ38" i="160"/>
  <c r="AU38" i="160"/>
  <c r="AY38" i="160"/>
  <c r="BJ38" i="160"/>
  <c r="BN38" i="160"/>
  <c r="BR38" i="160"/>
  <c r="BC7" i="162"/>
  <c r="BW7" i="162"/>
  <c r="Q9" i="162"/>
  <c r="AJ9" i="162"/>
  <c r="BC9" i="162"/>
  <c r="BV9" i="162"/>
  <c r="AK12" i="162"/>
  <c r="AJ12" i="162"/>
  <c r="BW12" i="162"/>
  <c r="BV12" i="162"/>
  <c r="AJ13" i="162"/>
  <c r="BV13" i="162"/>
  <c r="AK16" i="162"/>
  <c r="AJ16" i="162"/>
  <c r="BW16" i="162"/>
  <c r="BV16" i="162"/>
  <c r="AJ17" i="162"/>
  <c r="BV17" i="162"/>
  <c r="Q18" i="162"/>
  <c r="AK20" i="162"/>
  <c r="AJ20" i="162"/>
  <c r="BW20" i="162"/>
  <c r="BV20" i="162"/>
  <c r="AJ21" i="162"/>
  <c r="BV21" i="162"/>
  <c r="Q22" i="162"/>
  <c r="AK24" i="162"/>
  <c r="AJ24" i="162"/>
  <c r="BW24" i="162"/>
  <c r="BV24" i="162"/>
  <c r="AJ25" i="162"/>
  <c r="BV25" i="162"/>
  <c r="Q26" i="162"/>
  <c r="AJ28" i="162"/>
  <c r="BV28" i="162"/>
  <c r="Q29" i="162"/>
  <c r="AK31" i="162"/>
  <c r="AJ31" i="162"/>
  <c r="BW31" i="162"/>
  <c r="BV31" i="162"/>
  <c r="AJ32" i="162"/>
  <c r="BV32" i="162"/>
  <c r="Q33" i="162"/>
  <c r="AK35" i="162"/>
  <c r="AJ35" i="162"/>
  <c r="BW35" i="162"/>
  <c r="BV35" i="162"/>
  <c r="AJ36" i="162"/>
  <c r="BV36" i="162"/>
  <c r="BV37" i="162"/>
  <c r="I38" i="162"/>
  <c r="X38" i="162"/>
  <c r="AH38" i="162"/>
  <c r="AH39" i="162" s="1"/>
  <c r="BR38" i="162"/>
  <c r="AK7" i="164"/>
  <c r="AJ7" i="164"/>
  <c r="AJ10" i="164"/>
  <c r="AJ14" i="164"/>
  <c r="BV14" i="164"/>
  <c r="BC15" i="164"/>
  <c r="AJ18" i="164"/>
  <c r="BC19" i="164"/>
  <c r="AJ22" i="164"/>
  <c r="BV22" i="164"/>
  <c r="BC23" i="164"/>
  <c r="BC27" i="164"/>
  <c r="AJ29" i="164"/>
  <c r="BV29" i="164"/>
  <c r="BC30" i="164"/>
  <c r="AJ33" i="164"/>
  <c r="BC34" i="164"/>
  <c r="AJ27" i="166"/>
  <c r="AK8" i="166"/>
  <c r="BD9" i="166"/>
  <c r="BC9" i="166"/>
  <c r="AJ10" i="166"/>
  <c r="BV10" i="166"/>
  <c r="AK12" i="166"/>
  <c r="BD13" i="166"/>
  <c r="BC13" i="166"/>
  <c r="AJ14" i="166"/>
  <c r="BV14" i="166"/>
  <c r="AK16" i="166"/>
  <c r="BD17" i="166"/>
  <c r="BC17" i="166"/>
  <c r="AJ18" i="166"/>
  <c r="BV18" i="166"/>
  <c r="AK20" i="166"/>
  <c r="BD21" i="166"/>
  <c r="BC21" i="166"/>
  <c r="AJ22" i="166"/>
  <c r="BV22" i="166"/>
  <c r="AK24" i="166"/>
  <c r="BD25" i="166"/>
  <c r="BC25" i="166"/>
  <c r="AJ26" i="166"/>
  <c r="BW28" i="166"/>
  <c r="BV28" i="166"/>
  <c r="BW32" i="166"/>
  <c r="BV32" i="166"/>
  <c r="AJ34" i="166"/>
  <c r="BD35" i="166"/>
  <c r="BW36" i="166"/>
  <c r="BV36" i="166"/>
  <c r="BC33" i="168"/>
  <c r="Q9" i="168"/>
  <c r="AK11" i="168"/>
  <c r="AJ11" i="168"/>
  <c r="Q13" i="168"/>
  <c r="AK15" i="168"/>
  <c r="AJ15" i="168"/>
  <c r="BD21" i="168"/>
  <c r="BW22" i="168"/>
  <c r="BV22" i="168"/>
  <c r="BV23" i="168"/>
  <c r="BW23" i="168"/>
  <c r="BV27" i="168"/>
  <c r="BW27" i="168"/>
  <c r="R35" i="168"/>
  <c r="Q35" i="168"/>
  <c r="BD37" i="168"/>
  <c r="BC37" i="168"/>
  <c r="BW7" i="170"/>
  <c r="BV7" i="170"/>
  <c r="BV34" i="170"/>
  <c r="BV8" i="170"/>
  <c r="BV20" i="170"/>
  <c r="BV16" i="170"/>
  <c r="BV12" i="170"/>
  <c r="R10" i="170"/>
  <c r="Q10" i="170"/>
  <c r="Q11" i="170"/>
  <c r="BD14" i="170"/>
  <c r="BC14" i="170"/>
  <c r="Q15" i="170"/>
  <c r="Q21" i="170"/>
  <c r="R29" i="170"/>
  <c r="Q29" i="170"/>
  <c r="R33" i="170"/>
  <c r="Q33" i="170"/>
  <c r="AJ10" i="160"/>
  <c r="BC10" i="160"/>
  <c r="BV10" i="160"/>
  <c r="AJ14" i="160"/>
  <c r="BC14" i="160"/>
  <c r="BV14" i="160"/>
  <c r="AJ18" i="160"/>
  <c r="BC18" i="160"/>
  <c r="AJ22" i="160"/>
  <c r="BC22" i="160"/>
  <c r="BV22" i="160"/>
  <c r="AJ26" i="160"/>
  <c r="BC26" i="160"/>
  <c r="BV26" i="160"/>
  <c r="AJ29" i="160"/>
  <c r="BC29" i="160"/>
  <c r="BV29" i="160"/>
  <c r="BD7" i="162"/>
  <c r="BC8" i="162"/>
  <c r="AJ11" i="162"/>
  <c r="BV11" i="162"/>
  <c r="AJ15" i="162"/>
  <c r="BV15" i="162"/>
  <c r="BC18" i="162"/>
  <c r="AJ19" i="162"/>
  <c r="BV19" i="162"/>
  <c r="BC22" i="162"/>
  <c r="AJ23" i="162"/>
  <c r="BV23" i="162"/>
  <c r="BC26" i="162"/>
  <c r="AJ27" i="162"/>
  <c r="BV27" i="162"/>
  <c r="BC29" i="162"/>
  <c r="AJ30" i="162"/>
  <c r="BV30" i="162"/>
  <c r="AJ34" i="162"/>
  <c r="BV34" i="162"/>
  <c r="AK37" i="162"/>
  <c r="AJ37" i="162"/>
  <c r="J38" i="162"/>
  <c r="AK8" i="164"/>
  <c r="AJ8" i="164"/>
  <c r="BW8" i="164"/>
  <c r="BV8" i="164"/>
  <c r="AJ9" i="164"/>
  <c r="BV9" i="164"/>
  <c r="AK12" i="164"/>
  <c r="AJ12" i="164"/>
  <c r="BW12" i="164"/>
  <c r="BV12" i="164"/>
  <c r="AJ13" i="164"/>
  <c r="BV13" i="164"/>
  <c r="Q14" i="164"/>
  <c r="AK16" i="164"/>
  <c r="AJ16" i="164"/>
  <c r="BW16" i="164"/>
  <c r="BV16" i="164"/>
  <c r="AJ17" i="164"/>
  <c r="BV17" i="164"/>
  <c r="Q18" i="164"/>
  <c r="AK20" i="164"/>
  <c r="AJ20" i="164"/>
  <c r="BW20" i="164"/>
  <c r="BV20" i="164"/>
  <c r="AJ21" i="164"/>
  <c r="BV21" i="164"/>
  <c r="Q22" i="164"/>
  <c r="AK24" i="164"/>
  <c r="AJ24" i="164"/>
  <c r="BW24" i="164"/>
  <c r="BV24" i="164"/>
  <c r="AJ28" i="164"/>
  <c r="BV28" i="164"/>
  <c r="Q29" i="164"/>
  <c r="AK31" i="164"/>
  <c r="AJ31" i="164"/>
  <c r="BW31" i="164"/>
  <c r="BV31" i="164"/>
  <c r="AJ32" i="164"/>
  <c r="BV32" i="164"/>
  <c r="Q33" i="164"/>
  <c r="AK35" i="164"/>
  <c r="AJ35" i="164"/>
  <c r="BW35" i="164"/>
  <c r="BV35" i="164"/>
  <c r="AJ36" i="164"/>
  <c r="BV36" i="164"/>
  <c r="BC27" i="166"/>
  <c r="BD7" i="166"/>
  <c r="BC7" i="166"/>
  <c r="BW9" i="166"/>
  <c r="BV9" i="166"/>
  <c r="Q10" i="166"/>
  <c r="AJ11" i="166"/>
  <c r="BW13" i="166"/>
  <c r="BV13" i="166"/>
  <c r="Q14" i="166"/>
  <c r="AJ15" i="166"/>
  <c r="BW17" i="166"/>
  <c r="BV17" i="166"/>
  <c r="Q18" i="166"/>
  <c r="AJ19" i="166"/>
  <c r="BW21" i="166"/>
  <c r="BV21" i="166"/>
  <c r="Q22" i="166"/>
  <c r="AJ23" i="166"/>
  <c r="BW25" i="166"/>
  <c r="BV25" i="166"/>
  <c r="Q26" i="166"/>
  <c r="R28" i="166"/>
  <c r="Q28" i="166"/>
  <c r="R32" i="166"/>
  <c r="Q32" i="166"/>
  <c r="BC34" i="166"/>
  <c r="R36" i="166"/>
  <c r="Q36" i="166"/>
  <c r="Q31" i="168"/>
  <c r="Q24" i="168"/>
  <c r="Q20" i="168"/>
  <c r="Q17" i="168"/>
  <c r="Q33" i="168"/>
  <c r="R7" i="168"/>
  <c r="Q7" i="168"/>
  <c r="BV28" i="168"/>
  <c r="AK10" i="168"/>
  <c r="BD11" i="168"/>
  <c r="BC11" i="168"/>
  <c r="AJ12" i="168"/>
  <c r="BV12" i="168"/>
  <c r="AK14" i="168"/>
  <c r="BD15" i="168"/>
  <c r="BC15" i="168"/>
  <c r="AJ16" i="168"/>
  <c r="BV16" i="168"/>
  <c r="AK18" i="168"/>
  <c r="BD18" i="168"/>
  <c r="BC18" i="168"/>
  <c r="AJ19" i="168"/>
  <c r="BV19" i="168"/>
  <c r="R21" i="168"/>
  <c r="BW21" i="168"/>
  <c r="R22" i="168"/>
  <c r="Q22" i="168"/>
  <c r="BD24" i="168"/>
  <c r="BC24" i="168"/>
  <c r="AK25" i="168"/>
  <c r="AJ25" i="168"/>
  <c r="BV30" i="168"/>
  <c r="BW30" i="168"/>
  <c r="BD18" i="170"/>
  <c r="BC18" i="170"/>
  <c r="Q19" i="170"/>
  <c r="BD22" i="170"/>
  <c r="BC22" i="170"/>
  <c r="Q23" i="170"/>
  <c r="R26" i="170"/>
  <c r="Q26" i="170"/>
  <c r="BC27" i="170"/>
  <c r="BC30" i="170"/>
  <c r="BC23" i="168"/>
  <c r="AK24" i="168"/>
  <c r="BC30" i="168"/>
  <c r="AK31" i="168"/>
  <c r="AJ33" i="168"/>
  <c r="BV33" i="168"/>
  <c r="Q37" i="168"/>
  <c r="M38" i="168"/>
  <c r="AB38" i="168"/>
  <c r="AQ38" i="168"/>
  <c r="Q8" i="170"/>
  <c r="BC9" i="170"/>
  <c r="AJ12" i="170"/>
  <c r="BC13" i="170"/>
  <c r="AJ16" i="170"/>
  <c r="AJ20" i="170"/>
  <c r="BC21" i="170"/>
  <c r="AJ24" i="170"/>
  <c r="BC25" i="170"/>
  <c r="BC28" i="170"/>
  <c r="BC32" i="170"/>
  <c r="AK33" i="170"/>
  <c r="AJ33" i="170"/>
  <c r="P38" i="162"/>
  <c r="AI38" i="162"/>
  <c r="BB38" i="162"/>
  <c r="BU38" i="162"/>
  <c r="AJ37" i="164"/>
  <c r="P38" i="164"/>
  <c r="AI38" i="164"/>
  <c r="BB38" i="164"/>
  <c r="BU38" i="164"/>
  <c r="CB39" i="164"/>
  <c r="AJ7" i="166"/>
  <c r="Q8" i="166"/>
  <c r="AJ8" i="166"/>
  <c r="BC8" i="166"/>
  <c r="BV8" i="166"/>
  <c r="Q12" i="166"/>
  <c r="AJ12" i="166"/>
  <c r="BC12" i="166"/>
  <c r="BV12" i="166"/>
  <c r="Q16" i="166"/>
  <c r="AJ16" i="166"/>
  <c r="BC16" i="166"/>
  <c r="BV16" i="166"/>
  <c r="Q20" i="166"/>
  <c r="AJ20" i="166"/>
  <c r="BC20" i="166"/>
  <c r="BV20" i="166"/>
  <c r="Q24" i="166"/>
  <c r="AJ24" i="166"/>
  <c r="BC24" i="166"/>
  <c r="BV24" i="166"/>
  <c r="Q31" i="166"/>
  <c r="AJ31" i="166"/>
  <c r="BC31" i="166"/>
  <c r="BV31" i="166"/>
  <c r="Q35" i="166"/>
  <c r="AJ35" i="166"/>
  <c r="BC35" i="166"/>
  <c r="BV35" i="166"/>
  <c r="AJ37" i="166"/>
  <c r="P38" i="166"/>
  <c r="AI38" i="166"/>
  <c r="BB38" i="166"/>
  <c r="BU38" i="166"/>
  <c r="CB39" i="166"/>
  <c r="BV7" i="168"/>
  <c r="Q10" i="168"/>
  <c r="AJ10" i="168"/>
  <c r="BC10" i="168"/>
  <c r="BV10" i="168"/>
  <c r="Q14" i="168"/>
  <c r="AJ14" i="168"/>
  <c r="BC14" i="168"/>
  <c r="BV14" i="168"/>
  <c r="Q18" i="168"/>
  <c r="AJ18" i="168"/>
  <c r="Q21" i="168"/>
  <c r="AJ21" i="168"/>
  <c r="BC21" i="168"/>
  <c r="BV21" i="168"/>
  <c r="AJ23" i="168"/>
  <c r="BD23" i="168"/>
  <c r="R24" i="168"/>
  <c r="AJ24" i="168"/>
  <c r="Q25" i="168"/>
  <c r="BV26" i="168"/>
  <c r="AJ27" i="168"/>
  <c r="BD27" i="168"/>
  <c r="Q28" i="168"/>
  <c r="BV29" i="168"/>
  <c r="AJ30" i="168"/>
  <c r="BD30" i="168"/>
  <c r="R31" i="168"/>
  <c r="AJ31" i="168"/>
  <c r="Q32" i="168"/>
  <c r="BV32" i="168"/>
  <c r="AK35" i="168"/>
  <c r="AJ35" i="168"/>
  <c r="BW35" i="168"/>
  <c r="BV35" i="168"/>
  <c r="AJ36" i="168"/>
  <c r="BV36" i="168"/>
  <c r="BV37" i="168"/>
  <c r="I38" i="168"/>
  <c r="X38" i="168"/>
  <c r="AH38" i="168"/>
  <c r="AH39" i="168" s="1"/>
  <c r="BR38" i="168"/>
  <c r="Q7" i="170"/>
  <c r="BC7" i="170"/>
  <c r="AK10" i="170"/>
  <c r="AJ10" i="170"/>
  <c r="BW10" i="170"/>
  <c r="BV10" i="170"/>
  <c r="AJ11" i="170"/>
  <c r="BV11" i="170"/>
  <c r="Q12" i="170"/>
  <c r="AK14" i="170"/>
  <c r="AJ14" i="170"/>
  <c r="BW14" i="170"/>
  <c r="BV14" i="170"/>
  <c r="AJ15" i="170"/>
  <c r="BV15" i="170"/>
  <c r="Q16" i="170"/>
  <c r="AK18" i="170"/>
  <c r="AJ18" i="170"/>
  <c r="BW18" i="170"/>
  <c r="BV18" i="170"/>
  <c r="AJ19" i="170"/>
  <c r="BV19" i="170"/>
  <c r="Q20" i="170"/>
  <c r="AK22" i="170"/>
  <c r="AJ22" i="170"/>
  <c r="BW22" i="170"/>
  <c r="BV22" i="170"/>
  <c r="AJ23" i="170"/>
  <c r="BV23" i="170"/>
  <c r="Q24" i="170"/>
  <c r="AK26" i="170"/>
  <c r="AJ26" i="170"/>
  <c r="BW26" i="170"/>
  <c r="BV26" i="170"/>
  <c r="AJ27" i="170"/>
  <c r="BV27" i="170"/>
  <c r="AK29" i="170"/>
  <c r="AJ29" i="170"/>
  <c r="BW29" i="170"/>
  <c r="BV29" i="170"/>
  <c r="AJ30" i="170"/>
  <c r="BV30" i="170"/>
  <c r="BD33" i="170"/>
  <c r="BC33" i="170"/>
  <c r="BW37" i="170"/>
  <c r="BV37" i="170"/>
  <c r="Q7" i="166"/>
  <c r="AK7" i="166"/>
  <c r="BV15" i="166"/>
  <c r="BC7" i="168"/>
  <c r="BW7" i="168"/>
  <c r="AJ17" i="168"/>
  <c r="BC17" i="168"/>
  <c r="BV17" i="168"/>
  <c r="Q23" i="168"/>
  <c r="BV25" i="168"/>
  <c r="BC26" i="168"/>
  <c r="BC29" i="168"/>
  <c r="Q30" i="168"/>
  <c r="AJ34" i="168"/>
  <c r="AK37" i="168"/>
  <c r="AJ37" i="168"/>
  <c r="J38" i="168"/>
  <c r="BV9" i="170"/>
  <c r="AJ13" i="170"/>
  <c r="BV13" i="170"/>
  <c r="AJ17" i="170"/>
  <c r="AJ21" i="170"/>
  <c r="BV21" i="170"/>
  <c r="AJ25" i="170"/>
  <c r="BV25" i="170"/>
  <c r="AJ28" i="170"/>
  <c r="BV28" i="170"/>
  <c r="AJ32" i="170"/>
  <c r="BV32" i="170"/>
  <c r="BW33" i="170"/>
  <c r="BV33" i="170"/>
  <c r="Q34" i="170"/>
  <c r="P38" i="168"/>
  <c r="AI38" i="168"/>
  <c r="BB38" i="168"/>
  <c r="BU38" i="168"/>
  <c r="CB39" i="168"/>
  <c r="F38" i="170"/>
  <c r="Y38" i="170"/>
  <c r="AR38" i="170"/>
  <c r="BK38" i="170"/>
  <c r="CD38" i="170"/>
  <c r="BC38" i="170" l="1"/>
  <c r="D6" i="38"/>
  <c r="E21" i="70"/>
  <c r="K20" i="70"/>
  <c r="D21" i="70"/>
  <c r="E6" i="36"/>
  <c r="K6" i="36"/>
  <c r="K6" i="64"/>
  <c r="G7" i="64"/>
  <c r="D7" i="64" s="1"/>
  <c r="BD38" i="170"/>
  <c r="G7" i="114"/>
  <c r="E7" i="114" s="1"/>
  <c r="E20" i="70"/>
  <c r="J21" i="70"/>
  <c r="BB39" i="170"/>
  <c r="Q38" i="95"/>
  <c r="E6" i="66"/>
  <c r="D6" i="114"/>
  <c r="J6" i="114"/>
  <c r="E6" i="38"/>
  <c r="E6" i="114"/>
  <c r="R38" i="95"/>
  <c r="J6" i="38"/>
  <c r="J6" i="108"/>
  <c r="J20" i="70"/>
  <c r="D20" i="70"/>
  <c r="G7" i="36"/>
  <c r="G8" i="36" s="1"/>
  <c r="D6" i="36"/>
  <c r="Q38" i="170"/>
  <c r="R38" i="170"/>
  <c r="BV38" i="170"/>
  <c r="AJ38" i="170"/>
  <c r="BW38" i="170"/>
  <c r="AK38" i="170"/>
  <c r="J6" i="66"/>
  <c r="G7" i="108"/>
  <c r="K6" i="108"/>
  <c r="E6" i="108"/>
  <c r="K6" i="66"/>
  <c r="G7" i="66"/>
  <c r="BC38" i="168"/>
  <c r="BB39" i="168"/>
  <c r="BD38" i="168"/>
  <c r="BV38" i="166"/>
  <c r="BU39" i="166"/>
  <c r="BW38" i="166"/>
  <c r="G7" i="110"/>
  <c r="K6" i="110"/>
  <c r="E6" i="110"/>
  <c r="J6" i="110"/>
  <c r="D6" i="110"/>
  <c r="BV38" i="168"/>
  <c r="BW38" i="168"/>
  <c r="BU39" i="168"/>
  <c r="Q38" i="166"/>
  <c r="P39" i="166"/>
  <c r="R38" i="166"/>
  <c r="BV38" i="164"/>
  <c r="BU39" i="164"/>
  <c r="BW38" i="164"/>
  <c r="Q38" i="162"/>
  <c r="P39" i="162"/>
  <c r="R38" i="162"/>
  <c r="BD38" i="160"/>
  <c r="BC38" i="160"/>
  <c r="BB39" i="160"/>
  <c r="BD38" i="95"/>
  <c r="BC38" i="95"/>
  <c r="BW38" i="95"/>
  <c r="BV38" i="95"/>
  <c r="G7" i="112"/>
  <c r="K6" i="112"/>
  <c r="E6" i="112"/>
  <c r="D6" i="112"/>
  <c r="J6" i="112"/>
  <c r="G7" i="84"/>
  <c r="K6" i="84"/>
  <c r="D6" i="84"/>
  <c r="J6" i="84"/>
  <c r="E6" i="84"/>
  <c r="G7" i="70"/>
  <c r="K6" i="70"/>
  <c r="E6" i="70"/>
  <c r="J6" i="70"/>
  <c r="D6" i="70"/>
  <c r="G9" i="86"/>
  <c r="K8" i="86"/>
  <c r="E8" i="86"/>
  <c r="D8" i="86"/>
  <c r="J8" i="86"/>
  <c r="AK38" i="47"/>
  <c r="AJ38" i="47"/>
  <c r="BC38" i="164"/>
  <c r="BB39" i="164"/>
  <c r="BD38" i="164"/>
  <c r="G7" i="60"/>
  <c r="E6" i="60"/>
  <c r="K6" i="60"/>
  <c r="D6" i="60"/>
  <c r="J6" i="60"/>
  <c r="K7" i="64"/>
  <c r="J7" i="64"/>
  <c r="R38" i="47"/>
  <c r="Q38" i="47"/>
  <c r="G25" i="27"/>
  <c r="K24" i="27"/>
  <c r="E24" i="27"/>
  <c r="G15" i="38"/>
  <c r="K14" i="38"/>
  <c r="D14" i="38"/>
  <c r="J14" i="38"/>
  <c r="E14" i="38"/>
  <c r="BV38" i="162"/>
  <c r="BW38" i="162"/>
  <c r="BU39" i="162"/>
  <c r="G7" i="90"/>
  <c r="K6" i="90"/>
  <c r="E6" i="90"/>
  <c r="J6" i="90"/>
  <c r="D6" i="90"/>
  <c r="AJ38" i="168"/>
  <c r="AK38" i="168"/>
  <c r="AI39" i="168"/>
  <c r="BC38" i="166"/>
  <c r="BB39" i="166"/>
  <c r="BD38" i="166"/>
  <c r="AJ38" i="164"/>
  <c r="AI39" i="164"/>
  <c r="AK38" i="164"/>
  <c r="BC38" i="162"/>
  <c r="BB39" i="162"/>
  <c r="BD38" i="162"/>
  <c r="R38" i="160"/>
  <c r="Q38" i="160"/>
  <c r="P39" i="160"/>
  <c r="AK38" i="95"/>
  <c r="AJ38" i="95"/>
  <c r="BW38" i="47"/>
  <c r="BV38" i="47"/>
  <c r="G8" i="62"/>
  <c r="K7" i="62"/>
  <c r="E7" i="62"/>
  <c r="G8" i="42"/>
  <c r="K7" i="42"/>
  <c r="E7" i="42"/>
  <c r="J11" i="38"/>
  <c r="E11" i="38"/>
  <c r="K11" i="38"/>
  <c r="D11" i="38"/>
  <c r="AI39" i="160"/>
  <c r="AK38" i="160"/>
  <c r="AJ38" i="160"/>
  <c r="Q38" i="168"/>
  <c r="P39" i="168"/>
  <c r="R38" i="168"/>
  <c r="AJ38" i="166"/>
  <c r="AI39" i="166"/>
  <c r="AK38" i="166"/>
  <c r="Q38" i="164"/>
  <c r="P39" i="164"/>
  <c r="R38" i="164"/>
  <c r="AJ38" i="162"/>
  <c r="AK38" i="162"/>
  <c r="AI39" i="162"/>
  <c r="BU39" i="160"/>
  <c r="BW38" i="160"/>
  <c r="BV38" i="160"/>
  <c r="K7" i="114"/>
  <c r="K9" i="88"/>
  <c r="E9" i="88"/>
  <c r="J9" i="88"/>
  <c r="D9" i="88"/>
  <c r="BD38" i="47"/>
  <c r="BC38" i="47"/>
  <c r="K8" i="27"/>
  <c r="E8" i="27"/>
  <c r="G9" i="27"/>
  <c r="G7" i="40"/>
  <c r="E6" i="40"/>
  <c r="K6" i="40"/>
  <c r="J7" i="114" l="1"/>
  <c r="G8" i="64"/>
  <c r="E8" i="64" s="1"/>
  <c r="D7" i="114"/>
  <c r="G8" i="114"/>
  <c r="K8" i="114" s="1"/>
  <c r="E7" i="64"/>
  <c r="J7" i="36"/>
  <c r="D7" i="36"/>
  <c r="E7" i="36"/>
  <c r="K7" i="36"/>
  <c r="J7" i="66"/>
  <c r="D7" i="66"/>
  <c r="G8" i="66"/>
  <c r="K7" i="66"/>
  <c r="E7" i="66"/>
  <c r="G8" i="108"/>
  <c r="D7" i="108"/>
  <c r="K7" i="108"/>
  <c r="E7" i="108"/>
  <c r="J7" i="108"/>
  <c r="G8" i="70"/>
  <c r="K7" i="70"/>
  <c r="E7" i="70"/>
  <c r="D7" i="70"/>
  <c r="J7" i="70"/>
  <c r="K8" i="62"/>
  <c r="G9" i="62"/>
  <c r="E8" i="62"/>
  <c r="G8" i="90"/>
  <c r="K7" i="90"/>
  <c r="E7" i="90"/>
  <c r="J7" i="90"/>
  <c r="D7" i="90"/>
  <c r="E25" i="27"/>
  <c r="K25" i="27"/>
  <c r="G26" i="27"/>
  <c r="G8" i="40"/>
  <c r="E7" i="40"/>
  <c r="K7" i="40"/>
  <c r="G10" i="27"/>
  <c r="E9" i="27"/>
  <c r="K9" i="27"/>
  <c r="E7" i="60"/>
  <c r="K7" i="60"/>
  <c r="G8" i="60"/>
  <c r="J7" i="60"/>
  <c r="D7" i="60"/>
  <c r="E9" i="86"/>
  <c r="K9" i="86"/>
  <c r="D9" i="86"/>
  <c r="J9" i="86"/>
  <c r="K7" i="84"/>
  <c r="G8" i="84"/>
  <c r="E7" i="84"/>
  <c r="J7" i="84"/>
  <c r="D7" i="84"/>
  <c r="G8" i="112"/>
  <c r="E7" i="112"/>
  <c r="K7" i="112"/>
  <c r="D7" i="112"/>
  <c r="J7" i="112"/>
  <c r="G8" i="110"/>
  <c r="J7" i="110"/>
  <c r="D7" i="110"/>
  <c r="K7" i="110"/>
  <c r="E7" i="110"/>
  <c r="K8" i="42"/>
  <c r="E8" i="42"/>
  <c r="G9" i="42"/>
  <c r="K15" i="38"/>
  <c r="G16" i="38"/>
  <c r="E15" i="38"/>
  <c r="J15" i="38"/>
  <c r="D15" i="38"/>
  <c r="G9" i="36"/>
  <c r="E8" i="36"/>
  <c r="K8" i="36"/>
  <c r="D8" i="36"/>
  <c r="J8" i="36"/>
  <c r="D8" i="64" l="1"/>
  <c r="K8" i="64"/>
  <c r="G9" i="64"/>
  <c r="K9" i="64" s="1"/>
  <c r="J8" i="64"/>
  <c r="G9" i="114"/>
  <c r="K9" i="114" s="1"/>
  <c r="D8" i="114"/>
  <c r="J8" i="114"/>
  <c r="E8" i="114"/>
  <c r="E8" i="108"/>
  <c r="D8" i="108"/>
  <c r="G9" i="108"/>
  <c r="J8" i="108"/>
  <c r="K8" i="108"/>
  <c r="K8" i="66"/>
  <c r="E8" i="66"/>
  <c r="G9" i="66"/>
  <c r="J8" i="66"/>
  <c r="D8" i="66"/>
  <c r="G10" i="42"/>
  <c r="K9" i="42"/>
  <c r="E9" i="42"/>
  <c r="K8" i="110"/>
  <c r="E8" i="110"/>
  <c r="G9" i="110"/>
  <c r="D8" i="110"/>
  <c r="J8" i="110"/>
  <c r="K8" i="40"/>
  <c r="E8" i="40"/>
  <c r="G9" i="40"/>
  <c r="K8" i="90"/>
  <c r="E8" i="90"/>
  <c r="G9" i="90"/>
  <c r="D8" i="90"/>
  <c r="J8" i="90"/>
  <c r="K9" i="62"/>
  <c r="E9" i="62"/>
  <c r="G10" i="62"/>
  <c r="K16" i="38"/>
  <c r="E16" i="38"/>
  <c r="G17" i="38"/>
  <c r="D16" i="38"/>
  <c r="J16" i="38"/>
  <c r="K8" i="112"/>
  <c r="E8" i="112"/>
  <c r="G9" i="112"/>
  <c r="D8" i="112"/>
  <c r="J8" i="112"/>
  <c r="E10" i="27"/>
  <c r="G11" i="27"/>
  <c r="K10" i="27"/>
  <c r="E26" i="27"/>
  <c r="K26" i="27"/>
  <c r="G27" i="27"/>
  <c r="G9" i="70"/>
  <c r="K8" i="70"/>
  <c r="E8" i="70"/>
  <c r="D8" i="70"/>
  <c r="J8" i="70"/>
  <c r="K9" i="36"/>
  <c r="G10" i="36"/>
  <c r="E9" i="36"/>
  <c r="D9" i="36"/>
  <c r="J9" i="36"/>
  <c r="K8" i="84"/>
  <c r="E8" i="84"/>
  <c r="G9" i="84"/>
  <c r="D8" i="84"/>
  <c r="J8" i="84"/>
  <c r="K8" i="60"/>
  <c r="E8" i="60"/>
  <c r="G9" i="60"/>
  <c r="J8" i="60"/>
  <c r="D8" i="60"/>
  <c r="G10" i="64" l="1"/>
  <c r="G11" i="64" s="1"/>
  <c r="J9" i="64"/>
  <c r="D9" i="64"/>
  <c r="E9" i="64"/>
  <c r="D9" i="114"/>
  <c r="J9" i="114"/>
  <c r="E9" i="114"/>
  <c r="E9" i="66"/>
  <c r="J9" i="66"/>
  <c r="D9" i="66"/>
  <c r="G10" i="66"/>
  <c r="K9" i="66"/>
  <c r="K9" i="108"/>
  <c r="E9" i="108"/>
  <c r="D9" i="108"/>
  <c r="J9" i="108"/>
  <c r="G10" i="60"/>
  <c r="K9" i="60"/>
  <c r="E9" i="60"/>
  <c r="D9" i="60"/>
  <c r="J9" i="60"/>
  <c r="K9" i="70"/>
  <c r="E9" i="70"/>
  <c r="J9" i="70"/>
  <c r="D9" i="70"/>
  <c r="G10" i="70"/>
  <c r="K27" i="27"/>
  <c r="E27" i="27"/>
  <c r="L24" i="27"/>
  <c r="J24" i="27" s="1"/>
  <c r="F24" i="27"/>
  <c r="D24" i="27" s="1"/>
  <c r="L21" i="27"/>
  <c r="F21" i="27"/>
  <c r="L17" i="27"/>
  <c r="F17" i="27"/>
  <c r="L13" i="27"/>
  <c r="F13" i="27"/>
  <c r="L9" i="27"/>
  <c r="J9" i="27" s="1"/>
  <c r="F9" i="27"/>
  <c r="D9" i="27" s="1"/>
  <c r="L5" i="27"/>
  <c r="J5" i="27" s="1"/>
  <c r="L27" i="27"/>
  <c r="J27" i="27" s="1"/>
  <c r="F26" i="27"/>
  <c r="D26" i="27" s="1"/>
  <c r="F23" i="27"/>
  <c r="D23" i="27" s="1"/>
  <c r="F22" i="27"/>
  <c r="D22" i="27" s="1"/>
  <c r="L20" i="27"/>
  <c r="F19" i="27"/>
  <c r="F16" i="27"/>
  <c r="L10" i="27"/>
  <c r="J10" i="27" s="1"/>
  <c r="L7" i="27"/>
  <c r="J7" i="27" s="1"/>
  <c r="L18" i="27"/>
  <c r="F11" i="27"/>
  <c r="D11" i="27" s="1"/>
  <c r="F27" i="27"/>
  <c r="D27" i="27" s="1"/>
  <c r="L26" i="27"/>
  <c r="J26" i="27" s="1"/>
  <c r="F25" i="27"/>
  <c r="D25" i="27" s="1"/>
  <c r="L23" i="27"/>
  <c r="J23" i="27" s="1"/>
  <c r="L19" i="27"/>
  <c r="F18" i="27"/>
  <c r="L16" i="27"/>
  <c r="F15" i="27"/>
  <c r="F12" i="27"/>
  <c r="L6" i="27"/>
  <c r="J6" i="27" s="1"/>
  <c r="F6" i="27"/>
  <c r="D6" i="27" s="1"/>
  <c r="L4" i="27"/>
  <c r="J4" i="27" s="1"/>
  <c r="L12" i="27"/>
  <c r="F8" i="27"/>
  <c r="D8" i="27" s="1"/>
  <c r="F5" i="27"/>
  <c r="D5" i="27" s="1"/>
  <c r="F4" i="27"/>
  <c r="D4" i="27" s="1"/>
  <c r="L25" i="27"/>
  <c r="J25" i="27" s="1"/>
  <c r="L22" i="27"/>
  <c r="J22" i="27" s="1"/>
  <c r="L15" i="27"/>
  <c r="F14" i="27"/>
  <c r="L14" i="27"/>
  <c r="L11" i="27"/>
  <c r="J11" i="27" s="1"/>
  <c r="L8" i="27"/>
  <c r="J8" i="27" s="1"/>
  <c r="F20" i="27"/>
  <c r="F10" i="27"/>
  <c r="D10" i="27" s="1"/>
  <c r="F7" i="27"/>
  <c r="D7" i="27" s="1"/>
  <c r="G18" i="38"/>
  <c r="K17" i="38"/>
  <c r="E17" i="38"/>
  <c r="J17" i="38"/>
  <c r="D17" i="38"/>
  <c r="J10" i="64"/>
  <c r="K9" i="90"/>
  <c r="E9" i="90"/>
  <c r="J9" i="90"/>
  <c r="D9" i="90"/>
  <c r="G10" i="40"/>
  <c r="K9" i="40"/>
  <c r="E9" i="40"/>
  <c r="K9" i="84"/>
  <c r="E9" i="84"/>
  <c r="J9" i="84"/>
  <c r="D9" i="84"/>
  <c r="G12" i="27"/>
  <c r="K11" i="27"/>
  <c r="E11" i="27"/>
  <c r="K10" i="36"/>
  <c r="E10" i="36"/>
  <c r="G11" i="36"/>
  <c r="D10" i="36"/>
  <c r="J10" i="36"/>
  <c r="K9" i="110"/>
  <c r="E9" i="110"/>
  <c r="J9" i="110"/>
  <c r="D9" i="110"/>
  <c r="K9" i="112"/>
  <c r="E9" i="112"/>
  <c r="J9" i="112"/>
  <c r="D9" i="112"/>
  <c r="G11" i="62"/>
  <c r="K10" i="62"/>
  <c r="E10" i="62"/>
  <c r="G11" i="42"/>
  <c r="K10" i="42"/>
  <c r="E10" i="42"/>
  <c r="E10" i="64" l="1"/>
  <c r="D10" i="64"/>
  <c r="K10" i="64"/>
  <c r="K10" i="66"/>
  <c r="G11" i="66"/>
  <c r="E10" i="66"/>
  <c r="J10" i="66"/>
  <c r="D10" i="66"/>
  <c r="G12" i="62"/>
  <c r="E11" i="62"/>
  <c r="K11" i="62"/>
  <c r="K12" i="27"/>
  <c r="E12" i="27"/>
  <c r="G13" i="27"/>
  <c r="J13" i="27" s="1"/>
  <c r="K11" i="64"/>
  <c r="E11" i="64"/>
  <c r="G12" i="64"/>
  <c r="D11" i="64"/>
  <c r="J11" i="64"/>
  <c r="G12" i="36"/>
  <c r="K11" i="36"/>
  <c r="E11" i="36"/>
  <c r="D11" i="36"/>
  <c r="J11" i="36"/>
  <c r="J12" i="27"/>
  <c r="D12" i="27"/>
  <c r="G12" i="42"/>
  <c r="K11" i="42"/>
  <c r="E11" i="42"/>
  <c r="G11" i="40"/>
  <c r="K10" i="40"/>
  <c r="E10" i="40"/>
  <c r="G11" i="70"/>
  <c r="K10" i="70"/>
  <c r="E10" i="70"/>
  <c r="J10" i="70"/>
  <c r="D10" i="70"/>
  <c r="E18" i="38"/>
  <c r="K18" i="38"/>
  <c r="D18" i="38"/>
  <c r="J18" i="38"/>
  <c r="G11" i="60"/>
  <c r="K10" i="60"/>
  <c r="D10" i="60"/>
  <c r="J10" i="60"/>
  <c r="E10" i="60"/>
  <c r="D13" i="27" l="1"/>
  <c r="J11" i="66"/>
  <c r="D11" i="66"/>
  <c r="G12" i="66"/>
  <c r="K11" i="66"/>
  <c r="E11" i="66"/>
  <c r="G12" i="70"/>
  <c r="K11" i="70"/>
  <c r="E11" i="70"/>
  <c r="D11" i="70"/>
  <c r="J11" i="70"/>
  <c r="K11" i="40"/>
  <c r="G12" i="40"/>
  <c r="E11" i="40"/>
  <c r="G13" i="36"/>
  <c r="J12" i="36"/>
  <c r="E12" i="36"/>
  <c r="K12" i="36"/>
  <c r="D12" i="36"/>
  <c r="G13" i="64"/>
  <c r="E12" i="64"/>
  <c r="K12" i="64"/>
  <c r="D12" i="64"/>
  <c r="J12" i="64"/>
  <c r="K12" i="42"/>
  <c r="E12" i="42"/>
  <c r="G13" i="42"/>
  <c r="K11" i="60"/>
  <c r="G12" i="60"/>
  <c r="E11" i="60"/>
  <c r="D11" i="60"/>
  <c r="J11" i="60"/>
  <c r="G14" i="27"/>
  <c r="E13" i="27"/>
  <c r="K13" i="27"/>
  <c r="G13" i="62"/>
  <c r="E12" i="62"/>
  <c r="K12" i="62"/>
  <c r="E12" i="66" l="1"/>
  <c r="G13" i="66"/>
  <c r="K12" i="66"/>
  <c r="D12" i="66"/>
  <c r="J12" i="66"/>
  <c r="K13" i="62"/>
  <c r="E13" i="62"/>
  <c r="G14" i="62"/>
  <c r="K13" i="64"/>
  <c r="E13" i="64"/>
  <c r="G14" i="64"/>
  <c r="D13" i="64"/>
  <c r="J13" i="64"/>
  <c r="G13" i="70"/>
  <c r="K12" i="70"/>
  <c r="E12" i="70"/>
  <c r="D12" i="70"/>
  <c r="J12" i="70"/>
  <c r="G15" i="27"/>
  <c r="K14" i="27"/>
  <c r="E14" i="27"/>
  <c r="J14" i="27"/>
  <c r="D14" i="27"/>
  <c r="K12" i="60"/>
  <c r="E12" i="60"/>
  <c r="G13" i="60"/>
  <c r="D12" i="60"/>
  <c r="J12" i="60"/>
  <c r="G14" i="42"/>
  <c r="K13" i="42"/>
  <c r="E13" i="42"/>
  <c r="G14" i="36"/>
  <c r="E13" i="36"/>
  <c r="K13" i="36"/>
  <c r="J13" i="36"/>
  <c r="D13" i="36"/>
  <c r="K12" i="40"/>
  <c r="E12" i="40"/>
  <c r="G13" i="40"/>
  <c r="K13" i="66" l="1"/>
  <c r="J13" i="66"/>
  <c r="D13" i="66"/>
  <c r="G14" i="66"/>
  <c r="E13" i="66"/>
  <c r="G14" i="60"/>
  <c r="K13" i="60"/>
  <c r="E13" i="60"/>
  <c r="J13" i="60"/>
  <c r="D13" i="60"/>
  <c r="G15" i="62"/>
  <c r="K14" i="62"/>
  <c r="E14" i="62"/>
  <c r="G16" i="27"/>
  <c r="E15" i="27"/>
  <c r="K15" i="27"/>
  <c r="J15" i="27"/>
  <c r="D15" i="27"/>
  <c r="J14" i="64"/>
  <c r="D14" i="64"/>
  <c r="G15" i="64"/>
  <c r="K14" i="64"/>
  <c r="E14" i="64"/>
  <c r="G15" i="42"/>
  <c r="K14" i="42"/>
  <c r="E14" i="42"/>
  <c r="K14" i="36"/>
  <c r="E14" i="36"/>
  <c r="G15" i="36"/>
  <c r="J14" i="36"/>
  <c r="D14" i="36"/>
  <c r="K13" i="70"/>
  <c r="E13" i="70"/>
  <c r="J13" i="70"/>
  <c r="D13" i="70"/>
  <c r="G14" i="70"/>
  <c r="G14" i="40"/>
  <c r="K13" i="40"/>
  <c r="E13" i="40"/>
  <c r="G15" i="66" l="1"/>
  <c r="J14" i="66"/>
  <c r="D14" i="66"/>
  <c r="E14" i="66"/>
  <c r="K14" i="66"/>
  <c r="K15" i="64"/>
  <c r="E15" i="64"/>
  <c r="G16" i="64"/>
  <c r="J15" i="64"/>
  <c r="D15" i="64"/>
  <c r="G16" i="36"/>
  <c r="K15" i="36"/>
  <c r="E15" i="36"/>
  <c r="D15" i="36"/>
  <c r="J15" i="36"/>
  <c r="G16" i="42"/>
  <c r="K15" i="42"/>
  <c r="E15" i="42"/>
  <c r="G15" i="40"/>
  <c r="E14" i="40"/>
  <c r="K14" i="40"/>
  <c r="K14" i="70"/>
  <c r="E14" i="70"/>
  <c r="J14" i="70"/>
  <c r="D14" i="70"/>
  <c r="G16" i="62"/>
  <c r="K15" i="62"/>
  <c r="E15" i="62"/>
  <c r="K16" i="27"/>
  <c r="E16" i="27"/>
  <c r="G17" i="27"/>
  <c r="D16" i="27"/>
  <c r="J16" i="27"/>
  <c r="G15" i="60"/>
  <c r="E14" i="60"/>
  <c r="K14" i="60"/>
  <c r="D14" i="60"/>
  <c r="J14" i="60"/>
  <c r="D15" i="66" l="1"/>
  <c r="K15" i="66"/>
  <c r="E15" i="66"/>
  <c r="J15" i="66"/>
  <c r="G16" i="66"/>
  <c r="G18" i="27"/>
  <c r="K17" i="27"/>
  <c r="E17" i="27"/>
  <c r="D17" i="27"/>
  <c r="J17" i="27"/>
  <c r="G16" i="40"/>
  <c r="E15" i="40"/>
  <c r="K15" i="40"/>
  <c r="G17" i="64"/>
  <c r="K16" i="64"/>
  <c r="E16" i="64"/>
  <c r="D16" i="64"/>
  <c r="J16" i="64"/>
  <c r="K16" i="62"/>
  <c r="G17" i="62"/>
  <c r="E16" i="62"/>
  <c r="G17" i="36"/>
  <c r="E16" i="36"/>
  <c r="K16" i="36"/>
  <c r="D16" i="36"/>
  <c r="J16" i="36"/>
  <c r="E15" i="60"/>
  <c r="K15" i="60"/>
  <c r="D15" i="60"/>
  <c r="J15" i="60"/>
  <c r="K16" i="42"/>
  <c r="E16" i="42"/>
  <c r="G17" i="42"/>
  <c r="E16" i="66" l="1"/>
  <c r="G17" i="66"/>
  <c r="D16" i="66"/>
  <c r="J16" i="66"/>
  <c r="K16" i="66"/>
  <c r="G19" i="27"/>
  <c r="K18" i="27"/>
  <c r="E18" i="27"/>
  <c r="J18" i="27"/>
  <c r="D18" i="27"/>
  <c r="G18" i="42"/>
  <c r="K17" i="42"/>
  <c r="E17" i="42"/>
  <c r="K17" i="62"/>
  <c r="E17" i="62"/>
  <c r="G18" i="62"/>
  <c r="K17" i="64"/>
  <c r="E17" i="64"/>
  <c r="G18" i="64"/>
  <c r="J17" i="64"/>
  <c r="D17" i="64"/>
  <c r="K17" i="36"/>
  <c r="G18" i="36"/>
  <c r="E17" i="36"/>
  <c r="D17" i="36"/>
  <c r="J17" i="36"/>
  <c r="K16" i="40"/>
  <c r="E16" i="40"/>
  <c r="G17" i="40"/>
  <c r="E17" i="66" l="1"/>
  <c r="D17" i="66"/>
  <c r="G18" i="66"/>
  <c r="K17" i="66"/>
  <c r="J17" i="66"/>
  <c r="J18" i="64"/>
  <c r="D18" i="64"/>
  <c r="G19" i="64"/>
  <c r="K18" i="64"/>
  <c r="E18" i="64"/>
  <c r="G20" i="27"/>
  <c r="E19" i="27"/>
  <c r="K19" i="27"/>
  <c r="J19" i="27"/>
  <c r="D19" i="27"/>
  <c r="K18" i="36"/>
  <c r="E18" i="36"/>
  <c r="G19" i="36"/>
  <c r="J18" i="36"/>
  <c r="D18" i="36"/>
  <c r="G18" i="40"/>
  <c r="K17" i="40"/>
  <c r="E17" i="40"/>
  <c r="G19" i="62"/>
  <c r="K18" i="62"/>
  <c r="E18" i="62"/>
  <c r="G19" i="42"/>
  <c r="K18" i="42"/>
  <c r="E18" i="42"/>
  <c r="E18" i="66" l="1"/>
  <c r="K18" i="66"/>
  <c r="G19" i="66"/>
  <c r="J18" i="66"/>
  <c r="D18" i="66"/>
  <c r="G20" i="42"/>
  <c r="K19" i="42"/>
  <c r="E19" i="42"/>
  <c r="G20" i="36"/>
  <c r="K19" i="36"/>
  <c r="E19" i="36"/>
  <c r="D19" i="36"/>
  <c r="J19" i="36"/>
  <c r="K20" i="27"/>
  <c r="E20" i="27"/>
  <c r="G21" i="27"/>
  <c r="D20" i="27"/>
  <c r="J20" i="27"/>
  <c r="G19" i="40"/>
  <c r="K18" i="40"/>
  <c r="E18" i="40"/>
  <c r="K19" i="64"/>
  <c r="E19" i="64"/>
  <c r="J19" i="64"/>
  <c r="D19" i="64"/>
  <c r="G20" i="62"/>
  <c r="E19" i="62"/>
  <c r="K19" i="62"/>
  <c r="D19" i="66" l="1"/>
  <c r="K19" i="66"/>
  <c r="E19" i="66"/>
  <c r="J19" i="66"/>
  <c r="K19" i="40"/>
  <c r="G20" i="40"/>
  <c r="E19" i="40"/>
  <c r="G21" i="62"/>
  <c r="E20" i="62"/>
  <c r="K20" i="62"/>
  <c r="G21" i="36"/>
  <c r="J20" i="36"/>
  <c r="E20" i="36"/>
  <c r="K20" i="36"/>
  <c r="D20" i="36"/>
  <c r="E21" i="27"/>
  <c r="K21" i="27"/>
  <c r="D21" i="27"/>
  <c r="J21" i="27"/>
  <c r="K20" i="42"/>
  <c r="E20" i="42"/>
  <c r="G21" i="42"/>
  <c r="E21" i="36" l="1"/>
  <c r="K21" i="36"/>
  <c r="J21" i="36"/>
  <c r="D21" i="36"/>
  <c r="G22" i="42"/>
  <c r="K21" i="42"/>
  <c r="E21" i="42"/>
  <c r="K21" i="62"/>
  <c r="E21" i="62"/>
  <c r="G22" i="62"/>
  <c r="K20" i="40"/>
  <c r="E20" i="40"/>
  <c r="G21" i="40"/>
  <c r="G23" i="42" l="1"/>
  <c r="K22" i="42"/>
  <c r="E22" i="42"/>
  <c r="G23" i="62"/>
  <c r="K22" i="62"/>
  <c r="E22" i="62"/>
  <c r="G22" i="40"/>
  <c r="K21" i="40"/>
  <c r="E21" i="40"/>
  <c r="G23" i="40" l="1"/>
  <c r="E22" i="40"/>
  <c r="K22" i="40"/>
  <c r="G24" i="62"/>
  <c r="K23" i="62"/>
  <c r="E23" i="62"/>
  <c r="L21" i="42"/>
  <c r="J21" i="42" s="1"/>
  <c r="F21" i="42"/>
  <c r="D21" i="42" s="1"/>
  <c r="L17" i="42"/>
  <c r="J17" i="42" s="1"/>
  <c r="F17" i="42"/>
  <c r="D17" i="42" s="1"/>
  <c r="L13" i="42"/>
  <c r="J13" i="42" s="1"/>
  <c r="F13" i="42"/>
  <c r="D13" i="42" s="1"/>
  <c r="L9" i="42"/>
  <c r="J9" i="42" s="1"/>
  <c r="F9" i="42"/>
  <c r="D9" i="42" s="1"/>
  <c r="L5" i="42"/>
  <c r="J5" i="42" s="1"/>
  <c r="F5" i="42"/>
  <c r="D5" i="42" s="1"/>
  <c r="L22" i="42"/>
  <c r="J22" i="42" s="1"/>
  <c r="F22" i="42"/>
  <c r="D22" i="42" s="1"/>
  <c r="L18" i="42"/>
  <c r="J18" i="42" s="1"/>
  <c r="F18" i="42"/>
  <c r="D18" i="42" s="1"/>
  <c r="L14" i="42"/>
  <c r="J14" i="42" s="1"/>
  <c r="F14" i="42"/>
  <c r="D14" i="42" s="1"/>
  <c r="L10" i="42"/>
  <c r="J10" i="42" s="1"/>
  <c r="F10" i="42"/>
  <c r="D10" i="42" s="1"/>
  <c r="L6" i="42"/>
  <c r="J6" i="42" s="1"/>
  <c r="F6" i="42"/>
  <c r="D6" i="42" s="1"/>
  <c r="L23" i="42"/>
  <c r="J23" i="42" s="1"/>
  <c r="F23" i="42"/>
  <c r="D23" i="42" s="1"/>
  <c r="L19" i="42"/>
  <c r="J19" i="42" s="1"/>
  <c r="F19" i="42"/>
  <c r="D19" i="42" s="1"/>
  <c r="L15" i="42"/>
  <c r="J15" i="42" s="1"/>
  <c r="F15" i="42"/>
  <c r="D15" i="42" s="1"/>
  <c r="L11" i="42"/>
  <c r="J11" i="42" s="1"/>
  <c r="F11" i="42"/>
  <c r="D11" i="42" s="1"/>
  <c r="L7" i="42"/>
  <c r="J7" i="42" s="1"/>
  <c r="F7" i="42"/>
  <c r="D7" i="42" s="1"/>
  <c r="F4" i="42"/>
  <c r="D4" i="42" s="1"/>
  <c r="K23" i="42"/>
  <c r="E23" i="42"/>
  <c r="L20" i="42"/>
  <c r="J20" i="42" s="1"/>
  <c r="F20" i="42"/>
  <c r="D20" i="42" s="1"/>
  <c r="L16" i="42"/>
  <c r="J16" i="42" s="1"/>
  <c r="F16" i="42"/>
  <c r="D16" i="42" s="1"/>
  <c r="L12" i="42"/>
  <c r="J12" i="42" s="1"/>
  <c r="F12" i="42"/>
  <c r="D12" i="42" s="1"/>
  <c r="L8" i="42"/>
  <c r="J8" i="42" s="1"/>
  <c r="F8" i="42"/>
  <c r="D8" i="42" s="1"/>
  <c r="L4" i="42"/>
  <c r="J4" i="42" s="1"/>
  <c r="L22" i="62" l="1"/>
  <c r="J22" i="62" s="1"/>
  <c r="F22" i="62"/>
  <c r="D22" i="62" s="1"/>
  <c r="L18" i="62"/>
  <c r="J18" i="62" s="1"/>
  <c r="F18" i="62"/>
  <c r="D18" i="62" s="1"/>
  <c r="L14" i="62"/>
  <c r="J14" i="62" s="1"/>
  <c r="F14" i="62"/>
  <c r="D14" i="62" s="1"/>
  <c r="L10" i="62"/>
  <c r="J10" i="62" s="1"/>
  <c r="F10" i="62"/>
  <c r="D10" i="62" s="1"/>
  <c r="L6" i="62"/>
  <c r="J6" i="62" s="1"/>
  <c r="F6" i="62"/>
  <c r="D6" i="62" s="1"/>
  <c r="L23" i="62"/>
  <c r="J23" i="62" s="1"/>
  <c r="F23" i="62"/>
  <c r="D23" i="62" s="1"/>
  <c r="L19" i="62"/>
  <c r="J19" i="62" s="1"/>
  <c r="F19" i="62"/>
  <c r="D19" i="62" s="1"/>
  <c r="L15" i="62"/>
  <c r="J15" i="62" s="1"/>
  <c r="F15" i="62"/>
  <c r="D15" i="62" s="1"/>
  <c r="L11" i="62"/>
  <c r="J11" i="62" s="1"/>
  <c r="F11" i="62"/>
  <c r="D11" i="62" s="1"/>
  <c r="L7" i="62"/>
  <c r="J7" i="62" s="1"/>
  <c r="F7" i="62"/>
  <c r="D7" i="62" s="1"/>
  <c r="F4" i="62"/>
  <c r="D4" i="62" s="1"/>
  <c r="L24" i="62"/>
  <c r="J24" i="62" s="1"/>
  <c r="F20" i="62"/>
  <c r="D20" i="62" s="1"/>
  <c r="L16" i="62"/>
  <c r="J16" i="62" s="1"/>
  <c r="F12" i="62"/>
  <c r="D12" i="62" s="1"/>
  <c r="L8" i="62"/>
  <c r="J8" i="62" s="1"/>
  <c r="K24" i="62"/>
  <c r="F21" i="62"/>
  <c r="D21" i="62" s="1"/>
  <c r="L17" i="62"/>
  <c r="J17" i="62" s="1"/>
  <c r="F13" i="62"/>
  <c r="D13" i="62" s="1"/>
  <c r="L9" i="62"/>
  <c r="J9" i="62" s="1"/>
  <c r="F5" i="62"/>
  <c r="D5" i="62" s="1"/>
  <c r="F24" i="62"/>
  <c r="D24" i="62" s="1"/>
  <c r="L20" i="62"/>
  <c r="J20" i="62" s="1"/>
  <c r="F16" i="62"/>
  <c r="D16" i="62" s="1"/>
  <c r="L12" i="62"/>
  <c r="J12" i="62" s="1"/>
  <c r="F8" i="62"/>
  <c r="D8" i="62" s="1"/>
  <c r="L4" i="62"/>
  <c r="J4" i="62" s="1"/>
  <c r="E24" i="62"/>
  <c r="L21" i="62"/>
  <c r="J21" i="62" s="1"/>
  <c r="F17" i="62"/>
  <c r="D17" i="62" s="1"/>
  <c r="L13" i="62"/>
  <c r="J13" i="62" s="1"/>
  <c r="F9" i="62"/>
  <c r="D9" i="62" s="1"/>
  <c r="L5" i="62"/>
  <c r="J5" i="62" s="1"/>
  <c r="L21" i="40"/>
  <c r="J21" i="40" s="1"/>
  <c r="F21" i="40"/>
  <c r="D21" i="40" s="1"/>
  <c r="L17" i="40"/>
  <c r="J17" i="40" s="1"/>
  <c r="F17" i="40"/>
  <c r="D17" i="40" s="1"/>
  <c r="L13" i="40"/>
  <c r="J13" i="40" s="1"/>
  <c r="F13" i="40"/>
  <c r="D13" i="40" s="1"/>
  <c r="L9" i="40"/>
  <c r="J9" i="40" s="1"/>
  <c r="F9" i="40"/>
  <c r="D9" i="40" s="1"/>
  <c r="L5" i="40"/>
  <c r="J5" i="40" s="1"/>
  <c r="F5" i="40"/>
  <c r="D5" i="40" s="1"/>
  <c r="L22" i="40"/>
  <c r="J22" i="40" s="1"/>
  <c r="F22" i="40"/>
  <c r="D22" i="40" s="1"/>
  <c r="L18" i="40"/>
  <c r="J18" i="40" s="1"/>
  <c r="F18" i="40"/>
  <c r="D18" i="40" s="1"/>
  <c r="L14" i="40"/>
  <c r="J14" i="40" s="1"/>
  <c r="F14" i="40"/>
  <c r="D14" i="40" s="1"/>
  <c r="L10" i="40"/>
  <c r="J10" i="40" s="1"/>
  <c r="F10" i="40"/>
  <c r="D10" i="40" s="1"/>
  <c r="L6" i="40"/>
  <c r="J6" i="40" s="1"/>
  <c r="F6" i="40"/>
  <c r="D6" i="40" s="1"/>
  <c r="F23" i="40"/>
  <c r="D23" i="40" s="1"/>
  <c r="L19" i="40"/>
  <c r="J19" i="40" s="1"/>
  <c r="F15" i="40"/>
  <c r="D15" i="40" s="1"/>
  <c r="L11" i="40"/>
  <c r="J11" i="40" s="1"/>
  <c r="F7" i="40"/>
  <c r="D7" i="40" s="1"/>
  <c r="E23" i="40"/>
  <c r="L20" i="40"/>
  <c r="J20" i="40" s="1"/>
  <c r="F16" i="40"/>
  <c r="D16" i="40" s="1"/>
  <c r="L12" i="40"/>
  <c r="J12" i="40" s="1"/>
  <c r="F8" i="40"/>
  <c r="D8" i="40" s="1"/>
  <c r="L4" i="40"/>
  <c r="J4" i="40" s="1"/>
  <c r="L23" i="40"/>
  <c r="J23" i="40" s="1"/>
  <c r="F19" i="40"/>
  <c r="D19" i="40" s="1"/>
  <c r="L15" i="40"/>
  <c r="J15" i="40" s="1"/>
  <c r="F11" i="40"/>
  <c r="D11" i="40" s="1"/>
  <c r="L7" i="40"/>
  <c r="J7" i="40" s="1"/>
  <c r="K23" i="40"/>
  <c r="F20" i="40"/>
  <c r="D20" i="40" s="1"/>
  <c r="L16" i="40"/>
  <c r="J16" i="40" s="1"/>
  <c r="F12" i="40"/>
  <c r="D12" i="40" s="1"/>
  <c r="L8" i="40"/>
  <c r="J8" i="40" s="1"/>
  <c r="F4" i="40"/>
  <c r="D4" i="40" s="1"/>
</calcChain>
</file>

<file path=xl/sharedStrings.xml><?xml version="1.0" encoding="utf-8"?>
<sst xmlns="http://schemas.openxmlformats.org/spreadsheetml/2006/main" count="2041" uniqueCount="59">
  <si>
    <t>Dias</t>
  </si>
  <si>
    <t>Realizado</t>
  </si>
  <si>
    <t>Saldo</t>
  </si>
  <si>
    <t>Meta Diária</t>
  </si>
  <si>
    <t>COBRE</t>
  </si>
  <si>
    <t>ALUMINIO</t>
  </si>
  <si>
    <t>META MENSAL 750 TON</t>
  </si>
  <si>
    <t>META MENSAL 300 TON</t>
  </si>
  <si>
    <t>Total</t>
  </si>
  <si>
    <t>DIAS</t>
  </si>
  <si>
    <t>REALIZADO</t>
  </si>
  <si>
    <t>SALDO</t>
  </si>
  <si>
    <t>MÉDIA</t>
  </si>
  <si>
    <t>META/DIA</t>
  </si>
  <si>
    <t>1º TURNO</t>
  </si>
  <si>
    <t>2º TURNO</t>
  </si>
  <si>
    <t>3º TURNO</t>
  </si>
  <si>
    <t>TOTAL</t>
  </si>
  <si>
    <t>Produção (kg)</t>
  </si>
  <si>
    <t>Plano</t>
  </si>
  <si>
    <t>Real</t>
  </si>
  <si>
    <t>%Atg.</t>
  </si>
  <si>
    <t>qua</t>
  </si>
  <si>
    <t>qui</t>
  </si>
  <si>
    <t>sex</t>
  </si>
  <si>
    <t>sáb</t>
  </si>
  <si>
    <t>dom</t>
  </si>
  <si>
    <t>seg</t>
  </si>
  <si>
    <t>ter</t>
  </si>
  <si>
    <t>TREFILA FINA</t>
  </si>
  <si>
    <t>Melhor</t>
  </si>
  <si>
    <t>corda complementa</t>
  </si>
  <si>
    <t>corda 6,0/16</t>
  </si>
  <si>
    <t>CORDA COMPLEMENTAR</t>
  </si>
  <si>
    <t>CORDAS PARA ISOLAR</t>
  </si>
  <si>
    <t>classe 2</t>
  </si>
  <si>
    <t>CLASSE 2</t>
  </si>
  <si>
    <t>TREFILA DESBASTE</t>
  </si>
  <si>
    <t>corda 1,5/4,0</t>
  </si>
  <si>
    <t>Dezembro</t>
  </si>
  <si>
    <t>S TURNO</t>
  </si>
  <si>
    <t>Maio</t>
  </si>
  <si>
    <t>Setembro</t>
  </si>
  <si>
    <t>Outubro</t>
  </si>
  <si>
    <t>Janeiro</t>
  </si>
  <si>
    <t>Fevereiro</t>
  </si>
  <si>
    <t xml:space="preserve"> </t>
  </si>
  <si>
    <t>Novembro</t>
  </si>
  <si>
    <t>CORDAS BUNCHER'S Ø630</t>
  </si>
  <si>
    <t>Média</t>
  </si>
  <si>
    <t>Meta/Dia</t>
  </si>
  <si>
    <t>Programado</t>
  </si>
  <si>
    <t>Saldo/Prog</t>
  </si>
  <si>
    <t>Saldo/MetaDia</t>
  </si>
  <si>
    <t>Cobre</t>
  </si>
  <si>
    <t>Aluminio</t>
  </si>
  <si>
    <t>Prod</t>
  </si>
  <si>
    <t>Cobre Hoje</t>
  </si>
  <si>
    <t>Aluminio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</si>
</sst>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  <numFmt numFmtId="168" formatCode="_(* #,##0.000_);_(* \(#,##0.000\);_(* &quot;-&quot;??_);_(@_)"/>
    <numFmt numFmtId="169" formatCode="0.000"/>
    <numFmt numFmtId="170" formatCode="0_);\(0\)"/>
    <numFmt numFmtId="171" formatCode="mmmm"/>
    <numFmt numFmtId="172" formatCode="dd"/>
    <numFmt numFmtId="173" formatCode="ddd"/>
    <numFmt numFmtId="174" formatCode="#,##0_ ;[Red]\-#,##0\ "/>
    <numFmt numFmtId="175" formatCode="dd/mmm/ddd"/>
    <numFmt numFmtId="177" formatCode="_-* #,##0_-;\-* #,##0_-;_-* &quot;-&quot;??_-;_-@_-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A6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00">
    <xf numFmtId="0" fontId="0" fillId="0" borderId="0"/>
    <xf numFmtId="0" fontId="34" fillId="0" borderId="0"/>
    <xf numFmtId="0" fontId="34" fillId="0" borderId="0"/>
    <xf numFmtId="0" fontId="41" fillId="0" borderId="0"/>
    <xf numFmtId="164" fontId="30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44" fontId="54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8" fillId="0" borderId="0"/>
    <xf numFmtId="0" fontId="27" fillId="0" borderId="0"/>
    <xf numFmtId="164" fontId="27" fillId="0" borderId="0" applyFont="0" applyFill="0" applyBorder="0" applyAlignment="0" applyProtection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164" fontId="22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6" fillId="0" borderId="0"/>
  </cellStyleXfs>
  <cellXfs count="186">
    <xf numFmtId="0" fontId="0" fillId="0" borderId="0" xfId="0"/>
    <xf numFmtId="0" fontId="0" fillId="0" borderId="1" xfId="0" applyBorder="1"/>
    <xf numFmtId="16" fontId="0" fillId="0" borderId="1" xfId="0" applyNumberFormat="1" applyBorder="1"/>
    <xf numFmtId="165" fontId="0" fillId="0" borderId="1" xfId="4" applyNumberFormat="1" applyFont="1" applyBorder="1"/>
    <xf numFmtId="165" fontId="0" fillId="0" borderId="0" xfId="4" applyNumberFormat="1" applyFont="1"/>
    <xf numFmtId="165" fontId="32" fillId="0" borderId="1" xfId="4" applyNumberFormat="1" applyFont="1" applyBorder="1"/>
    <xf numFmtId="0" fontId="0" fillId="2" borderId="0" xfId="0" applyFill="1"/>
    <xf numFmtId="0" fontId="0" fillId="2" borderId="1" xfId="0" applyFill="1" applyBorder="1"/>
    <xf numFmtId="165" fontId="0" fillId="2" borderId="1" xfId="4" applyNumberFormat="1" applyFont="1" applyFill="1" applyBorder="1"/>
    <xf numFmtId="165" fontId="0" fillId="2" borderId="0" xfId="4" applyNumberFormat="1" applyFont="1" applyFill="1"/>
    <xf numFmtId="165" fontId="31" fillId="2" borderId="1" xfId="4" applyNumberFormat="1" applyFont="1" applyFill="1" applyBorder="1"/>
    <xf numFmtId="0" fontId="31" fillId="2" borderId="1" xfId="0" applyFont="1" applyFill="1" applyBorder="1" applyAlignment="1">
      <alignment horizontal="center"/>
    </xf>
    <xf numFmtId="165" fontId="31" fillId="2" borderId="1" xfId="4" applyNumberFormat="1" applyFont="1" applyFill="1" applyBorder="1" applyAlignment="1">
      <alignment horizontal="center"/>
    </xf>
    <xf numFmtId="165" fontId="31" fillId="2" borderId="1" xfId="6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165" fontId="39" fillId="2" borderId="1" xfId="4" applyNumberFormat="1" applyFont="1" applyFill="1" applyBorder="1" applyAlignment="1">
      <alignment horizontal="center"/>
    </xf>
    <xf numFmtId="165" fontId="39" fillId="2" borderId="1" xfId="4" applyNumberFormat="1" applyFont="1" applyFill="1" applyBorder="1"/>
    <xf numFmtId="0" fontId="4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42" fillId="2" borderId="1" xfId="3" applyNumberFormat="1" applyFont="1" applyFill="1" applyBorder="1" applyAlignment="1">
      <alignment horizontal="center"/>
    </xf>
    <xf numFmtId="0" fontId="31" fillId="2" borderId="0" xfId="0" applyFont="1" applyFill="1" applyAlignment="1">
      <alignment horizontal="center"/>
    </xf>
    <xf numFmtId="165" fontId="31" fillId="2" borderId="1" xfId="7" applyNumberFormat="1" applyFont="1" applyFill="1" applyBorder="1" applyAlignment="1">
      <alignment horizontal="center"/>
    </xf>
    <xf numFmtId="165" fontId="31" fillId="2" borderId="1" xfId="36" applyNumberFormat="1" applyFont="1" applyFill="1" applyBorder="1" applyAlignment="1">
      <alignment horizontal="center"/>
    </xf>
    <xf numFmtId="165" fontId="0" fillId="2" borderId="1" xfId="4" applyNumberFormat="1" applyFont="1" applyFill="1" applyBorder="1" applyAlignment="1">
      <alignment horizontal="center"/>
    </xf>
    <xf numFmtId="165" fontId="31" fillId="2" borderId="1" xfId="4" applyNumberFormat="1" applyFont="1" applyFill="1" applyBorder="1" applyAlignment="1">
      <alignment horizontal="right"/>
    </xf>
    <xf numFmtId="37" fontId="31" fillId="2" borderId="1" xfId="4" applyNumberFormat="1" applyFont="1" applyFill="1" applyBorder="1" applyAlignment="1">
      <alignment horizontal="right"/>
    </xf>
    <xf numFmtId="165" fontId="31" fillId="2" borderId="1" xfId="7" applyNumberFormat="1" applyFont="1" applyFill="1" applyBorder="1" applyAlignment="1">
      <alignment horizontal="right"/>
    </xf>
    <xf numFmtId="165" fontId="31" fillId="2" borderId="1" xfId="13" applyNumberFormat="1" applyFont="1" applyFill="1" applyBorder="1" applyAlignment="1">
      <alignment horizontal="right"/>
    </xf>
    <xf numFmtId="165" fontId="31" fillId="0" borderId="1" xfId="31" applyNumberFormat="1" applyFont="1" applyBorder="1" applyAlignment="1">
      <alignment horizontal="right"/>
    </xf>
    <xf numFmtId="165" fontId="31" fillId="0" borderId="1" xfId="7" applyNumberFormat="1" applyFont="1" applyBorder="1" applyAlignment="1">
      <alignment horizontal="right"/>
    </xf>
    <xf numFmtId="3" fontId="31" fillId="0" borderId="1" xfId="7" applyNumberFormat="1" applyFont="1" applyBorder="1" applyAlignment="1">
      <alignment horizontal="right"/>
    </xf>
    <xf numFmtId="165" fontId="31" fillId="2" borderId="0" xfId="4" applyNumberFormat="1" applyFont="1" applyFill="1"/>
    <xf numFmtId="168" fontId="0" fillId="2" borderId="0" xfId="4" applyNumberFormat="1" applyFont="1" applyFill="1"/>
    <xf numFmtId="169" fontId="0" fillId="2" borderId="0" xfId="4" applyNumberFormat="1" applyFont="1" applyFill="1"/>
    <xf numFmtId="170" fontId="0" fillId="2" borderId="0" xfId="4" applyNumberFormat="1" applyFont="1" applyFill="1"/>
    <xf numFmtId="3" fontId="0" fillId="5" borderId="1" xfId="0" applyNumberFormat="1" applyFill="1" applyBorder="1" applyAlignment="1">
      <alignment horizontal="right" vertical="center"/>
    </xf>
    <xf numFmtId="3" fontId="44" fillId="8" borderId="1" xfId="0" applyNumberFormat="1" applyFont="1" applyFill="1" applyBorder="1" applyAlignment="1">
      <alignment horizontal="right" vertical="center"/>
    </xf>
    <xf numFmtId="3" fontId="0" fillId="8" borderId="1" xfId="0" applyNumberFormat="1" applyFill="1" applyBorder="1" applyAlignment="1">
      <alignment horizontal="right" vertical="center"/>
    </xf>
    <xf numFmtId="3" fontId="0" fillId="8" borderId="1" xfId="0" applyNumberFormat="1" applyFill="1" applyBorder="1" applyAlignment="1">
      <alignment horizontal="right"/>
    </xf>
    <xf numFmtId="0" fontId="50" fillId="5" borderId="14" xfId="0" applyFont="1" applyFill="1" applyBorder="1" applyAlignment="1">
      <alignment horizontal="left" vertical="center"/>
    </xf>
    <xf numFmtId="0" fontId="50" fillId="9" borderId="0" xfId="0" applyFont="1" applyFill="1" applyAlignment="1">
      <alignment horizontal="center"/>
    </xf>
    <xf numFmtId="3" fontId="0" fillId="5" borderId="1" xfId="0" applyNumberFormat="1" applyFill="1" applyBorder="1" applyAlignment="1">
      <alignment horizontal="right"/>
    </xf>
    <xf numFmtId="3" fontId="44" fillId="10" borderId="1" xfId="0" applyNumberFormat="1" applyFont="1" applyFill="1" applyBorder="1" applyAlignment="1">
      <alignment horizontal="right" vertical="center"/>
    </xf>
    <xf numFmtId="3" fontId="0" fillId="10" borderId="1" xfId="0" applyNumberFormat="1" applyFill="1" applyBorder="1" applyAlignment="1">
      <alignment horizontal="right" vertical="center"/>
    </xf>
    <xf numFmtId="3" fontId="0" fillId="10" borderId="1" xfId="0" applyNumberFormat="1" applyFill="1" applyBorder="1" applyAlignment="1">
      <alignment horizontal="right"/>
    </xf>
    <xf numFmtId="9" fontId="49" fillId="7" borderId="1" xfId="53" applyFont="1" applyFill="1" applyBorder="1" applyAlignment="1">
      <alignment horizontal="center" vertical="center"/>
    </xf>
    <xf numFmtId="0" fontId="50" fillId="5" borderId="15" xfId="0" applyFont="1" applyFill="1" applyBorder="1" applyAlignment="1">
      <alignment horizontal="left"/>
    </xf>
    <xf numFmtId="172" fontId="44" fillId="5" borderId="1" xfId="0" applyNumberFormat="1" applyFont="1" applyFill="1" applyBorder="1" applyAlignment="1">
      <alignment horizontal="center"/>
    </xf>
    <xf numFmtId="173" fontId="48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50" fillId="5" borderId="1" xfId="0" applyFont="1" applyFill="1" applyBorder="1" applyAlignment="1">
      <alignment horizontal="left"/>
    </xf>
    <xf numFmtId="0" fontId="50" fillId="5" borderId="1" xfId="0" applyFont="1" applyFill="1" applyBorder="1" applyAlignment="1">
      <alignment horizontal="center"/>
    </xf>
    <xf numFmtId="9" fontId="51" fillId="7" borderId="1" xfId="53" applyFont="1" applyFill="1" applyBorder="1" applyAlignment="1">
      <alignment horizontal="center" vertical="center"/>
    </xf>
    <xf numFmtId="173" fontId="48" fillId="5" borderId="12" xfId="0" applyNumberFormat="1" applyFont="1" applyFill="1" applyBorder="1" applyAlignment="1">
      <alignment horizontal="center"/>
    </xf>
    <xf numFmtId="0" fontId="50" fillId="5" borderId="1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3" fontId="50" fillId="5" borderId="1" xfId="0" applyNumberFormat="1" applyFont="1" applyFill="1" applyBorder="1" applyAlignment="1">
      <alignment horizontal="right" vertical="center"/>
    </xf>
    <xf numFmtId="172" fontId="44" fillId="5" borderId="13" xfId="0" applyNumberFormat="1" applyFont="1" applyFill="1" applyBorder="1" applyAlignment="1">
      <alignment horizontal="center"/>
    </xf>
    <xf numFmtId="9" fontId="49" fillId="7" borderId="1" xfId="53" applyFont="1" applyFill="1" applyBorder="1" applyAlignment="1">
      <alignment horizontal="center"/>
    </xf>
    <xf numFmtId="9" fontId="51" fillId="7" borderId="1" xfId="53" applyFont="1" applyFill="1" applyBorder="1" applyAlignment="1">
      <alignment horizontal="center"/>
    </xf>
    <xf numFmtId="3" fontId="50" fillId="5" borderId="1" xfId="0" applyNumberFormat="1" applyFont="1" applyFill="1" applyBorder="1" applyAlignment="1">
      <alignment horizontal="right"/>
    </xf>
    <xf numFmtId="0" fontId="50" fillId="5" borderId="7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5" fillId="2" borderId="3" xfId="0" applyFont="1" applyFill="1" applyBorder="1"/>
    <xf numFmtId="0" fontId="45" fillId="2" borderId="4" xfId="0" applyFont="1" applyFill="1" applyBorder="1"/>
    <xf numFmtId="0" fontId="44" fillId="2" borderId="5" xfId="0" applyFont="1" applyFill="1" applyBorder="1" applyAlignment="1">
      <alignment horizontal="center"/>
    </xf>
    <xf numFmtId="0" fontId="47" fillId="2" borderId="0" xfId="0" applyFont="1" applyFill="1" applyAlignment="1">
      <alignment horizontal="center"/>
    </xf>
    <xf numFmtId="0" fontId="47" fillId="2" borderId="6" xfId="0" applyFont="1" applyFill="1" applyBorder="1" applyAlignment="1">
      <alignment horizontal="center"/>
    </xf>
    <xf numFmtId="0" fontId="0" fillId="2" borderId="6" xfId="0" applyFill="1" applyBorder="1"/>
    <xf numFmtId="0" fontId="44" fillId="2" borderId="0" xfId="0" applyFont="1" applyFill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center" vertical="center"/>
    </xf>
    <xf numFmtId="3" fontId="50" fillId="2" borderId="1" xfId="0" applyNumberFormat="1" applyFont="1" applyFill="1" applyBorder="1" applyAlignment="1">
      <alignment horizontal="right" vertical="center"/>
    </xf>
    <xf numFmtId="3" fontId="50" fillId="2" borderId="1" xfId="0" applyNumberFormat="1" applyFont="1" applyFill="1" applyBorder="1" applyAlignment="1">
      <alignment horizontal="right"/>
    </xf>
    <xf numFmtId="3" fontId="0" fillId="2" borderId="1" xfId="0" applyNumberFormat="1" applyFill="1" applyBorder="1" applyAlignment="1">
      <alignment horizontal="left" vertical="center"/>
    </xf>
    <xf numFmtId="9" fontId="49" fillId="7" borderId="1" xfId="53" applyFont="1" applyFill="1" applyBorder="1" applyAlignment="1">
      <alignment horizontal="left"/>
    </xf>
    <xf numFmtId="0" fontId="31" fillId="2" borderId="0" xfId="0" applyFont="1" applyFill="1"/>
    <xf numFmtId="0" fontId="33" fillId="2" borderId="1" xfId="0" applyFont="1" applyFill="1" applyBorder="1"/>
    <xf numFmtId="174" fontId="39" fillId="2" borderId="1" xfId="4" applyNumberFormat="1" applyFont="1" applyFill="1" applyBorder="1" applyAlignment="1">
      <alignment horizontal="center"/>
    </xf>
    <xf numFmtId="174" fontId="31" fillId="2" borderId="1" xfId="4" applyNumberFormat="1" applyFont="1" applyFill="1" applyBorder="1" applyAlignment="1">
      <alignment horizontal="right"/>
    </xf>
    <xf numFmtId="174" fontId="0" fillId="2" borderId="1" xfId="4" applyNumberFormat="1" applyFont="1" applyFill="1" applyBorder="1" applyAlignment="1">
      <alignment horizontal="center"/>
    </xf>
    <xf numFmtId="174" fontId="0" fillId="2" borderId="0" xfId="4" applyNumberFormat="1" applyFont="1" applyFill="1"/>
    <xf numFmtId="44" fontId="0" fillId="2" borderId="0" xfId="55" applyFont="1" applyFill="1"/>
    <xf numFmtId="175" fontId="42" fillId="2" borderId="1" xfId="3" applyNumberFormat="1" applyFont="1" applyFill="1" applyBorder="1" applyAlignment="1">
      <alignment horizontal="center"/>
    </xf>
    <xf numFmtId="3" fontId="31" fillId="2" borderId="1" xfId="0" applyNumberFormat="1" applyFont="1" applyFill="1" applyBorder="1" applyAlignment="1">
      <alignment horizontal="right" vertical="center"/>
    </xf>
    <xf numFmtId="3" fontId="31" fillId="5" borderId="1" xfId="0" applyNumberFormat="1" applyFont="1" applyFill="1" applyBorder="1" applyAlignment="1">
      <alignment horizontal="right" vertical="center"/>
    </xf>
    <xf numFmtId="3" fontId="31" fillId="2" borderId="1" xfId="0" applyNumberFormat="1" applyFont="1" applyFill="1" applyBorder="1" applyAlignment="1">
      <alignment horizontal="right"/>
    </xf>
    <xf numFmtId="3" fontId="31" fillId="5" borderId="1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 vertical="center"/>
    </xf>
    <xf numFmtId="3" fontId="50" fillId="2" borderId="12" xfId="0" applyNumberFormat="1" applyFont="1" applyFill="1" applyBorder="1" applyAlignment="1">
      <alignment horizontal="right" vertical="center"/>
    </xf>
    <xf numFmtId="9" fontId="51" fillId="7" borderId="19" xfId="53" applyFont="1" applyFill="1" applyBorder="1" applyAlignment="1">
      <alignment horizontal="center" vertical="center"/>
    </xf>
    <xf numFmtId="3" fontId="0" fillId="2" borderId="0" xfId="0" applyNumberForma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165" fontId="39" fillId="11" borderId="1" xfId="4" applyNumberFormat="1" applyFont="1" applyFill="1" applyBorder="1" applyAlignment="1">
      <alignment horizontal="center"/>
    </xf>
    <xf numFmtId="165" fontId="55" fillId="2" borderId="0" xfId="4" applyNumberFormat="1" applyFont="1" applyFill="1"/>
    <xf numFmtId="165" fontId="0" fillId="2" borderId="0" xfId="0" applyNumberFormat="1" applyFill="1"/>
    <xf numFmtId="0" fontId="28" fillId="0" borderId="0" xfId="160"/>
    <xf numFmtId="177" fontId="21" fillId="0" borderId="0" xfId="162" applyNumberFormat="1" applyFont="1"/>
    <xf numFmtId="174" fontId="31" fillId="2" borderId="1" xfId="4" applyNumberFormat="1" applyFont="1" applyFill="1" applyBorder="1" applyAlignment="1">
      <alignment horizontal="center"/>
    </xf>
    <xf numFmtId="177" fontId="44" fillId="0" borderId="1" xfId="169" applyNumberFormat="1" applyFont="1" applyBorder="1"/>
    <xf numFmtId="177" fontId="44" fillId="0" borderId="1" xfId="4" applyNumberFormat="1" applyFont="1" applyBorder="1"/>
    <xf numFmtId="177" fontId="44" fillId="0" borderId="1" xfId="171" applyNumberFormat="1" applyFont="1" applyBorder="1"/>
    <xf numFmtId="177" fontId="44" fillId="0" borderId="1" xfId="173" applyNumberFormat="1" applyFont="1" applyBorder="1"/>
    <xf numFmtId="177" fontId="6" fillId="0" borderId="0" xfId="189" applyNumberFormat="1" applyFont="1"/>
    <xf numFmtId="16" fontId="30" fillId="2" borderId="0" xfId="0" applyNumberFormat="1" applyFont="1" applyFill="1"/>
    <xf numFmtId="16" fontId="31" fillId="2" borderId="1" xfId="0" applyNumberFormat="1" applyFont="1" applyFill="1" applyBorder="1"/>
    <xf numFmtId="0" fontId="31" fillId="2" borderId="1" xfId="0" applyFont="1" applyFill="1" applyBorder="1"/>
    <xf numFmtId="14" fontId="0" fillId="2" borderId="0" xfId="0" applyNumberFormat="1" applyFill="1"/>
    <xf numFmtId="165" fontId="31" fillId="0" borderId="1" xfId="4" applyNumberFormat="1" applyFont="1" applyFill="1" applyBorder="1" applyAlignment="1">
      <alignment horizontal="center"/>
    </xf>
    <xf numFmtId="165" fontId="31" fillId="2" borderId="0" xfId="4" applyNumberFormat="1" applyFont="1" applyFill="1" applyAlignment="1">
      <alignment horizontal="right"/>
    </xf>
    <xf numFmtId="165" fontId="31" fillId="0" borderId="1" xfId="4" applyNumberFormat="1" applyFont="1" applyFill="1" applyBorder="1" applyAlignment="1">
      <alignment horizontal="right"/>
    </xf>
    <xf numFmtId="165" fontId="31" fillId="8" borderId="1" xfId="4" applyNumberFormat="1" applyFont="1" applyFill="1" applyBorder="1" applyAlignment="1">
      <alignment horizontal="right"/>
    </xf>
    <xf numFmtId="165" fontId="31" fillId="8" borderId="1" xfId="4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44" fillId="5" borderId="9" xfId="0" applyFont="1" applyFill="1" applyBorder="1" applyAlignment="1">
      <alignment horizontal="center"/>
    </xf>
    <xf numFmtId="0" fontId="44" fillId="5" borderId="10" xfId="0" applyFont="1" applyFill="1" applyBorder="1" applyAlignment="1">
      <alignment horizontal="center"/>
    </xf>
    <xf numFmtId="0" fontId="44" fillId="5" borderId="11" xfId="0" applyFont="1" applyFill="1" applyBorder="1" applyAlignment="1">
      <alignment horizontal="center"/>
    </xf>
    <xf numFmtId="0" fontId="44" fillId="5" borderId="5" xfId="0" applyFont="1" applyFill="1" applyBorder="1" applyAlignment="1">
      <alignment horizontal="center"/>
    </xf>
    <xf numFmtId="0" fontId="44" fillId="5" borderId="0" xfId="0" applyFont="1" applyFill="1" applyAlignment="1">
      <alignment horizontal="center"/>
    </xf>
    <xf numFmtId="0" fontId="44" fillId="5" borderId="6" xfId="0" applyFont="1" applyFill="1" applyBorder="1" applyAlignment="1">
      <alignment horizontal="center"/>
    </xf>
    <xf numFmtId="0" fontId="50" fillId="5" borderId="12" xfId="0" applyFont="1" applyFill="1" applyBorder="1" applyAlignment="1">
      <alignment horizontal="center" vertical="center"/>
    </xf>
    <xf numFmtId="0" fontId="50" fillId="5" borderId="19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/>
    </xf>
    <xf numFmtId="0" fontId="44" fillId="5" borderId="1" xfId="0" applyFont="1" applyFill="1" applyBorder="1" applyAlignment="1">
      <alignment horizontal="center" vertical="center"/>
    </xf>
    <xf numFmtId="171" fontId="44" fillId="6" borderId="17" xfId="0" applyNumberFormat="1" applyFont="1" applyFill="1" applyBorder="1" applyAlignment="1">
      <alignment horizontal="center"/>
    </xf>
    <xf numFmtId="171" fontId="44" fillId="6" borderId="18" xfId="0" applyNumberFormat="1" applyFont="1" applyFill="1" applyBorder="1" applyAlignment="1">
      <alignment horizontal="center"/>
    </xf>
    <xf numFmtId="0" fontId="44" fillId="5" borderId="1" xfId="0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46" fillId="2" borderId="6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15" xfId="0" applyFont="1" applyFill="1" applyBorder="1" applyAlignment="1">
      <alignment horizontal="center" vertical="center"/>
    </xf>
    <xf numFmtId="0" fontId="46" fillId="2" borderId="7" xfId="0" applyFont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6" xfId="0" applyFont="1" applyFill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7" xfId="0" applyFont="1" applyFill="1" applyBorder="1" applyAlignment="1">
      <alignment horizontal="center" vertical="center"/>
    </xf>
    <xf numFmtId="0" fontId="52" fillId="2" borderId="8" xfId="0" applyFont="1" applyFill="1" applyBorder="1" applyAlignment="1">
      <alignment horizontal="center" vertical="center"/>
    </xf>
    <xf numFmtId="0" fontId="53" fillId="0" borderId="0" xfId="54" applyAlignment="1" applyProtection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22" xfId="0" applyBorder="1"/>
    <xf numFmtId="0" fontId="0" fillId="0" borderId="20" xfId="0" applyBorder="1"/>
    <xf numFmtId="0" fontId="0" fillId="0" borderId="21" xfId="0" applyBorder="1"/>
    <xf numFmtId="0" fontId="44" fillId="5" borderId="22" xfId="0" applyFont="1" applyFill="1" applyBorder="1" applyAlignment="1">
      <alignment horizontal="center"/>
    </xf>
    <xf numFmtId="0" fontId="44" fillId="2" borderId="17" xfId="0" applyFont="1" applyFill="1" applyBorder="1" applyAlignment="1">
      <alignment horizontal="center"/>
    </xf>
    <xf numFmtId="0" fontId="0" fillId="0" borderId="23" xfId="0" applyBorder="1"/>
    <xf numFmtId="0" fontId="0" fillId="0" borderId="10" xfId="0" applyBorder="1"/>
    <xf numFmtId="0" fontId="0" fillId="0" borderId="11" xfId="0" applyBorder="1"/>
    <xf numFmtId="171" fontId="44" fillId="6" borderId="9" xfId="0" applyNumberFormat="1" applyFont="1" applyFill="1" applyBorder="1" applyAlignment="1">
      <alignment horizontal="center"/>
    </xf>
    <xf numFmtId="171" fontId="44" fillId="6" borderId="19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52" fillId="2" borderId="2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39" fillId="3" borderId="0" xfId="0" applyFont="1" applyFill="1" applyAlignment="1">
      <alignment horizontal="center" vertical="center"/>
    </xf>
    <xf numFmtId="0" fontId="39" fillId="3" borderId="20" xfId="0" applyFont="1" applyFill="1" applyBorder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0" fontId="39" fillId="4" borderId="20" xfId="0" applyFont="1" applyFill="1" applyBorder="1" applyAlignment="1">
      <alignment horizontal="center" vertical="center"/>
    </xf>
  </cellXfs>
  <cellStyles count="200">
    <cellStyle name="Hiperlink" xfId="54" builtinId="8"/>
    <cellStyle name="Moeda" xfId="55" builtinId="4"/>
    <cellStyle name="Normal" xfId="0" builtinId="0"/>
    <cellStyle name="Normal 10" xfId="167" xr:uid="{0B4C4386-584A-4A16-B41B-0EAB57672913}"/>
    <cellStyle name="Normal 11" xfId="170" xr:uid="{72A57BE5-2DA3-42CF-A7E6-ABC9F59F4051}"/>
    <cellStyle name="Normal 12" xfId="174" xr:uid="{E5FA77B3-9833-46C3-8C80-F1EBB0531025}"/>
    <cellStyle name="Normal 13" xfId="176" xr:uid="{7E946743-C9D6-4FB7-9A0B-2E5F46E01187}"/>
    <cellStyle name="Normal 14" xfId="180" xr:uid="{58B5F794-0F67-4B47-9D6A-6AD0A1DB4666}"/>
    <cellStyle name="Normal 15" xfId="181" xr:uid="{A37E0BF5-0018-4C76-9E9A-DEC3FF15F47E}"/>
    <cellStyle name="Normal 16" xfId="183" xr:uid="{9D8A467E-8A74-4916-976F-DE41360A60DA}"/>
    <cellStyle name="Normal 17" xfId="186" xr:uid="{02F6C52B-7001-418C-884F-CC9CECB8E4E5}"/>
    <cellStyle name="Normal 18" xfId="187" xr:uid="{1906ABB7-3115-4463-9B5B-7B1D89F134E5}"/>
    <cellStyle name="Normal 19" xfId="188" xr:uid="{6EB0A7E5-FD2A-4F4D-A184-16EC82501152}"/>
    <cellStyle name="Normal 2" xfId="1" xr:uid="{00000000-0005-0000-0000-000003000000}"/>
    <cellStyle name="Normal 2 2" xfId="2" xr:uid="{00000000-0005-0000-0000-000004000000}"/>
    <cellStyle name="Normal 2 2 2" xfId="109" xr:uid="{00000000-0005-0000-0000-000005000000}"/>
    <cellStyle name="Normal 2 2 3" xfId="57" xr:uid="{00000000-0005-0000-0000-000006000000}"/>
    <cellStyle name="Normal 2 3" xfId="108" xr:uid="{00000000-0005-0000-0000-000007000000}"/>
    <cellStyle name="Normal 2 4" xfId="56" xr:uid="{00000000-0005-0000-0000-000008000000}"/>
    <cellStyle name="Normal 20" xfId="191" xr:uid="{8F6D4788-64CB-40D4-9B06-AA9483A1E887}"/>
    <cellStyle name="Normal 21" xfId="193" xr:uid="{501CE1CE-0D32-4265-AC00-FAB5B91F2524}"/>
    <cellStyle name="Normal 22" xfId="195" xr:uid="{A0B39103-376C-4F48-9A3A-8CBE4336F287}"/>
    <cellStyle name="Normal 23" xfId="197" xr:uid="{5AAD1713-7187-430C-BC5B-A6BC6297B53F}"/>
    <cellStyle name="Normal 24" xfId="199" xr:uid="{312CB099-3EA8-44DD-AC5D-262633EB1189}"/>
    <cellStyle name="Normal 3" xfId="3" xr:uid="{00000000-0005-0000-0000-000009000000}"/>
    <cellStyle name="Normal 3 2" xfId="110" xr:uid="{00000000-0005-0000-0000-00000A000000}"/>
    <cellStyle name="Normal 3 3" xfId="58" xr:uid="{00000000-0005-0000-0000-00000B000000}"/>
    <cellStyle name="Normal 4" xfId="160" xr:uid="{6DAF5F39-647F-43F5-89DB-629EAFEF00EA}"/>
    <cellStyle name="Normal 5" xfId="161" xr:uid="{7B6E3DDD-52D8-437D-B374-E9EA1512A871}"/>
    <cellStyle name="Normal 6" xfId="163" xr:uid="{6B1AC305-8D80-48AE-87AD-EE67B1530EDF}"/>
    <cellStyle name="Normal 7" xfId="164" xr:uid="{2A937193-3EFB-4605-8F37-90A259B307FB}"/>
    <cellStyle name="Normal 8" xfId="165" xr:uid="{62821EF1-2A69-4073-8907-3D4EC26C5A42}"/>
    <cellStyle name="Normal 9" xfId="166" xr:uid="{F5300C9B-B983-4E3B-A9DD-9693C91FCED8}"/>
    <cellStyle name="Porcentagem" xfId="53" builtinId="5"/>
    <cellStyle name="Porcentagem 2" xfId="159" xr:uid="{00000000-0005-0000-0000-00000D000000}"/>
    <cellStyle name="Separador de milhares 10" xfId="5" xr:uid="{00000000-0005-0000-0000-00000E000000}"/>
    <cellStyle name="Separador de milhares 10 2" xfId="6" xr:uid="{00000000-0005-0000-0000-00000F000000}"/>
    <cellStyle name="Separador de milhares 10 2 2" xfId="112" xr:uid="{00000000-0005-0000-0000-000010000000}"/>
    <cellStyle name="Separador de milhares 10 2 3" xfId="61" xr:uid="{00000000-0005-0000-0000-000011000000}"/>
    <cellStyle name="Separador de milhares 10 3" xfId="111" xr:uid="{00000000-0005-0000-0000-000012000000}"/>
    <cellStyle name="Separador de milhares 10 4" xfId="60" xr:uid="{00000000-0005-0000-0000-000013000000}"/>
    <cellStyle name="Separador de milhares 11" xfId="7" xr:uid="{00000000-0005-0000-0000-000014000000}"/>
    <cellStyle name="Separador de milhares 11 2" xfId="8" xr:uid="{00000000-0005-0000-0000-000015000000}"/>
    <cellStyle name="Separador de milhares 11 2 2" xfId="114" xr:uid="{00000000-0005-0000-0000-000016000000}"/>
    <cellStyle name="Separador de milhares 11 2 3" xfId="63" xr:uid="{00000000-0005-0000-0000-000017000000}"/>
    <cellStyle name="Separador de milhares 11 3" xfId="113" xr:uid="{00000000-0005-0000-0000-000018000000}"/>
    <cellStyle name="Separador de milhares 11 4" xfId="62" xr:uid="{00000000-0005-0000-0000-000019000000}"/>
    <cellStyle name="Separador de milhares 12" xfId="9" xr:uid="{00000000-0005-0000-0000-00001A000000}"/>
    <cellStyle name="Separador de milhares 12 2" xfId="10" xr:uid="{00000000-0005-0000-0000-00001B000000}"/>
    <cellStyle name="Separador de milhares 12 2 2" xfId="116" xr:uid="{00000000-0005-0000-0000-00001C000000}"/>
    <cellStyle name="Separador de milhares 12 2 3" xfId="65" xr:uid="{00000000-0005-0000-0000-00001D000000}"/>
    <cellStyle name="Separador de milhares 12 3" xfId="115" xr:uid="{00000000-0005-0000-0000-00001E000000}"/>
    <cellStyle name="Separador de milhares 12 4" xfId="64" xr:uid="{00000000-0005-0000-0000-00001F000000}"/>
    <cellStyle name="Separador de milhares 13" xfId="11" xr:uid="{00000000-0005-0000-0000-000020000000}"/>
    <cellStyle name="Separador de milhares 13 2" xfId="12" xr:uid="{00000000-0005-0000-0000-000021000000}"/>
    <cellStyle name="Separador de milhares 13 2 2" xfId="118" xr:uid="{00000000-0005-0000-0000-000022000000}"/>
    <cellStyle name="Separador de milhares 13 2 3" xfId="67" xr:uid="{00000000-0005-0000-0000-000023000000}"/>
    <cellStyle name="Separador de milhares 13 3" xfId="117" xr:uid="{00000000-0005-0000-0000-000024000000}"/>
    <cellStyle name="Separador de milhares 13 4" xfId="66" xr:uid="{00000000-0005-0000-0000-000025000000}"/>
    <cellStyle name="Separador de milhares 14" xfId="13" xr:uid="{00000000-0005-0000-0000-000026000000}"/>
    <cellStyle name="Separador de milhares 14 2" xfId="14" xr:uid="{00000000-0005-0000-0000-000027000000}"/>
    <cellStyle name="Separador de milhares 14 2 2" xfId="120" xr:uid="{00000000-0005-0000-0000-000028000000}"/>
    <cellStyle name="Separador de milhares 14 2 3" xfId="69" xr:uid="{00000000-0005-0000-0000-000029000000}"/>
    <cellStyle name="Separador de milhares 14 3" xfId="119" xr:uid="{00000000-0005-0000-0000-00002A000000}"/>
    <cellStyle name="Separador de milhares 14 4" xfId="68" xr:uid="{00000000-0005-0000-0000-00002B000000}"/>
    <cellStyle name="Separador de milhares 15" xfId="15" xr:uid="{00000000-0005-0000-0000-00002C000000}"/>
    <cellStyle name="Separador de milhares 15 2" xfId="16" xr:uid="{00000000-0005-0000-0000-00002D000000}"/>
    <cellStyle name="Separador de milhares 15 2 2" xfId="122" xr:uid="{00000000-0005-0000-0000-00002E000000}"/>
    <cellStyle name="Separador de milhares 15 2 3" xfId="71" xr:uid="{00000000-0005-0000-0000-00002F000000}"/>
    <cellStyle name="Separador de milhares 15 3" xfId="121" xr:uid="{00000000-0005-0000-0000-000030000000}"/>
    <cellStyle name="Separador de milhares 15 4" xfId="70" xr:uid="{00000000-0005-0000-0000-000031000000}"/>
    <cellStyle name="Separador de milhares 16" xfId="17" xr:uid="{00000000-0005-0000-0000-000032000000}"/>
    <cellStyle name="Separador de milhares 16 2" xfId="18" xr:uid="{00000000-0005-0000-0000-000033000000}"/>
    <cellStyle name="Separador de milhares 16 2 2" xfId="124" xr:uid="{00000000-0005-0000-0000-000034000000}"/>
    <cellStyle name="Separador de milhares 16 2 3" xfId="73" xr:uid="{00000000-0005-0000-0000-000035000000}"/>
    <cellStyle name="Separador de milhares 16 3" xfId="123" xr:uid="{00000000-0005-0000-0000-000036000000}"/>
    <cellStyle name="Separador de milhares 16 4" xfId="72" xr:uid="{00000000-0005-0000-0000-000037000000}"/>
    <cellStyle name="Separador de milhares 17" xfId="19" xr:uid="{00000000-0005-0000-0000-000038000000}"/>
    <cellStyle name="Separador de milhares 17 2" xfId="20" xr:uid="{00000000-0005-0000-0000-000039000000}"/>
    <cellStyle name="Separador de milhares 17 2 2" xfId="126" xr:uid="{00000000-0005-0000-0000-00003A000000}"/>
    <cellStyle name="Separador de milhares 17 2 3" xfId="75" xr:uid="{00000000-0005-0000-0000-00003B000000}"/>
    <cellStyle name="Separador de milhares 17 3" xfId="125" xr:uid="{00000000-0005-0000-0000-00003C000000}"/>
    <cellStyle name="Separador de milhares 17 4" xfId="74" xr:uid="{00000000-0005-0000-0000-00003D000000}"/>
    <cellStyle name="Separador de milhares 18" xfId="21" xr:uid="{00000000-0005-0000-0000-00003E000000}"/>
    <cellStyle name="Separador de milhares 18 2" xfId="22" xr:uid="{00000000-0005-0000-0000-00003F000000}"/>
    <cellStyle name="Separador de milhares 18 2 2" xfId="128" xr:uid="{00000000-0005-0000-0000-000040000000}"/>
    <cellStyle name="Separador de milhares 18 2 3" xfId="77" xr:uid="{00000000-0005-0000-0000-000041000000}"/>
    <cellStyle name="Separador de milhares 18 3" xfId="127" xr:uid="{00000000-0005-0000-0000-000042000000}"/>
    <cellStyle name="Separador de milhares 18 4" xfId="76" xr:uid="{00000000-0005-0000-0000-000043000000}"/>
    <cellStyle name="Separador de milhares 19" xfId="23" xr:uid="{00000000-0005-0000-0000-000044000000}"/>
    <cellStyle name="Separador de milhares 19 2" xfId="24" xr:uid="{00000000-0005-0000-0000-000045000000}"/>
    <cellStyle name="Separador de milhares 19 2 2" xfId="130" xr:uid="{00000000-0005-0000-0000-000046000000}"/>
    <cellStyle name="Separador de milhares 19 2 3" xfId="79" xr:uid="{00000000-0005-0000-0000-000047000000}"/>
    <cellStyle name="Separador de milhares 19 3" xfId="129" xr:uid="{00000000-0005-0000-0000-000048000000}"/>
    <cellStyle name="Separador de milhares 19 4" xfId="78" xr:uid="{00000000-0005-0000-0000-000049000000}"/>
    <cellStyle name="Separador de milhares 2" xfId="25" xr:uid="{00000000-0005-0000-0000-00004A000000}"/>
    <cellStyle name="Separador de milhares 2 2" xfId="26" xr:uid="{00000000-0005-0000-0000-00004B000000}"/>
    <cellStyle name="Separador de milhares 2 2 2" xfId="132" xr:uid="{00000000-0005-0000-0000-00004C000000}"/>
    <cellStyle name="Separador de milhares 2 2 3" xfId="81" xr:uid="{00000000-0005-0000-0000-00004D000000}"/>
    <cellStyle name="Separador de milhares 2 3" xfId="131" xr:uid="{00000000-0005-0000-0000-00004E000000}"/>
    <cellStyle name="Separador de milhares 2 4" xfId="80" xr:uid="{00000000-0005-0000-0000-00004F000000}"/>
    <cellStyle name="Separador de milhares 20" xfId="27" xr:uid="{00000000-0005-0000-0000-000050000000}"/>
    <cellStyle name="Separador de milhares 20 2" xfId="28" xr:uid="{00000000-0005-0000-0000-000051000000}"/>
    <cellStyle name="Separador de milhares 20 2 2" xfId="134" xr:uid="{00000000-0005-0000-0000-000052000000}"/>
    <cellStyle name="Separador de milhares 20 2 3" xfId="83" xr:uid="{00000000-0005-0000-0000-000053000000}"/>
    <cellStyle name="Separador de milhares 20 3" xfId="133" xr:uid="{00000000-0005-0000-0000-000054000000}"/>
    <cellStyle name="Separador de milhares 20 4" xfId="82" xr:uid="{00000000-0005-0000-0000-000055000000}"/>
    <cellStyle name="Separador de milhares 21" xfId="29" xr:uid="{00000000-0005-0000-0000-000056000000}"/>
    <cellStyle name="Separador de milhares 21 2" xfId="30" xr:uid="{00000000-0005-0000-0000-000057000000}"/>
    <cellStyle name="Separador de milhares 21 2 2" xfId="136" xr:uid="{00000000-0005-0000-0000-000058000000}"/>
    <cellStyle name="Separador de milhares 21 2 3" xfId="85" xr:uid="{00000000-0005-0000-0000-000059000000}"/>
    <cellStyle name="Separador de milhares 21 3" xfId="135" xr:uid="{00000000-0005-0000-0000-00005A000000}"/>
    <cellStyle name="Separador de milhares 21 4" xfId="84" xr:uid="{00000000-0005-0000-0000-00005B000000}"/>
    <cellStyle name="Separador de milhares 22" xfId="31" xr:uid="{00000000-0005-0000-0000-00005C000000}"/>
    <cellStyle name="Separador de milhares 22 2" xfId="32" xr:uid="{00000000-0005-0000-0000-00005D000000}"/>
    <cellStyle name="Separador de milhares 22 2 2" xfId="138" xr:uid="{00000000-0005-0000-0000-00005E000000}"/>
    <cellStyle name="Separador de milhares 22 2 3" xfId="87" xr:uid="{00000000-0005-0000-0000-00005F000000}"/>
    <cellStyle name="Separador de milhares 22 3" xfId="137" xr:uid="{00000000-0005-0000-0000-000060000000}"/>
    <cellStyle name="Separador de milhares 22 4" xfId="86" xr:uid="{00000000-0005-0000-0000-000061000000}"/>
    <cellStyle name="Separador de milhares 23" xfId="33" xr:uid="{00000000-0005-0000-0000-000062000000}"/>
    <cellStyle name="Separador de milhares 23 2" xfId="34" xr:uid="{00000000-0005-0000-0000-000063000000}"/>
    <cellStyle name="Separador de milhares 23 2 2" xfId="140" xr:uid="{00000000-0005-0000-0000-000064000000}"/>
    <cellStyle name="Separador de milhares 23 2 3" xfId="89" xr:uid="{00000000-0005-0000-0000-000065000000}"/>
    <cellStyle name="Separador de milhares 23 3" xfId="139" xr:uid="{00000000-0005-0000-0000-000066000000}"/>
    <cellStyle name="Separador de milhares 23 4" xfId="88" xr:uid="{00000000-0005-0000-0000-000067000000}"/>
    <cellStyle name="Separador de milhares 24" xfId="35" xr:uid="{00000000-0005-0000-0000-000068000000}"/>
    <cellStyle name="Separador de milhares 24 2" xfId="141" xr:uid="{00000000-0005-0000-0000-000069000000}"/>
    <cellStyle name="Separador de milhares 24 3" xfId="90" xr:uid="{00000000-0005-0000-0000-00006A000000}"/>
    <cellStyle name="Separador de milhares 25" xfId="36" xr:uid="{00000000-0005-0000-0000-00006B000000}"/>
    <cellStyle name="Separador de milhares 25 2" xfId="37" xr:uid="{00000000-0005-0000-0000-00006C000000}"/>
    <cellStyle name="Separador de milhares 25 2 2" xfId="143" xr:uid="{00000000-0005-0000-0000-00006D000000}"/>
    <cellStyle name="Separador de milhares 25 2 3" xfId="92" xr:uid="{00000000-0005-0000-0000-00006E000000}"/>
    <cellStyle name="Separador de milhares 25 3" xfId="142" xr:uid="{00000000-0005-0000-0000-00006F000000}"/>
    <cellStyle name="Separador de milhares 25 4" xfId="91" xr:uid="{00000000-0005-0000-0000-000070000000}"/>
    <cellStyle name="Separador de milhares 26" xfId="38" xr:uid="{00000000-0005-0000-0000-000071000000}"/>
    <cellStyle name="Separador de milhares 26 2" xfId="144" xr:uid="{00000000-0005-0000-0000-000072000000}"/>
    <cellStyle name="Separador de milhares 26 3" xfId="93" xr:uid="{00000000-0005-0000-0000-000073000000}"/>
    <cellStyle name="Separador de milhares 3" xfId="39" xr:uid="{00000000-0005-0000-0000-000074000000}"/>
    <cellStyle name="Separador de milhares 3 2" xfId="40" xr:uid="{00000000-0005-0000-0000-000075000000}"/>
    <cellStyle name="Separador de milhares 3 2 2" xfId="146" xr:uid="{00000000-0005-0000-0000-000076000000}"/>
    <cellStyle name="Separador de milhares 3 2 3" xfId="95" xr:uid="{00000000-0005-0000-0000-000077000000}"/>
    <cellStyle name="Separador de milhares 3 3" xfId="145" xr:uid="{00000000-0005-0000-0000-000078000000}"/>
    <cellStyle name="Separador de milhares 3 4" xfId="94" xr:uid="{00000000-0005-0000-0000-000079000000}"/>
    <cellStyle name="Separador de milhares 4" xfId="41" xr:uid="{00000000-0005-0000-0000-00007A000000}"/>
    <cellStyle name="Separador de milhares 4 2" xfId="42" xr:uid="{00000000-0005-0000-0000-00007B000000}"/>
    <cellStyle name="Separador de milhares 4 2 2" xfId="148" xr:uid="{00000000-0005-0000-0000-00007C000000}"/>
    <cellStyle name="Separador de milhares 4 2 3" xfId="97" xr:uid="{00000000-0005-0000-0000-00007D000000}"/>
    <cellStyle name="Separador de milhares 4 3" xfId="147" xr:uid="{00000000-0005-0000-0000-00007E000000}"/>
    <cellStyle name="Separador de milhares 4 4" xfId="96" xr:uid="{00000000-0005-0000-0000-00007F000000}"/>
    <cellStyle name="Separador de milhares 5" xfId="43" xr:uid="{00000000-0005-0000-0000-000080000000}"/>
    <cellStyle name="Separador de milhares 5 2" xfId="44" xr:uid="{00000000-0005-0000-0000-000081000000}"/>
    <cellStyle name="Separador de milhares 5 2 2" xfId="150" xr:uid="{00000000-0005-0000-0000-000082000000}"/>
    <cellStyle name="Separador de milhares 5 2 3" xfId="99" xr:uid="{00000000-0005-0000-0000-000083000000}"/>
    <cellStyle name="Separador de milhares 5 3" xfId="149" xr:uid="{00000000-0005-0000-0000-000084000000}"/>
    <cellStyle name="Separador de milhares 5 4" xfId="98" xr:uid="{00000000-0005-0000-0000-000085000000}"/>
    <cellStyle name="Separador de milhares 6" xfId="45" xr:uid="{00000000-0005-0000-0000-000086000000}"/>
    <cellStyle name="Separador de milhares 6 2" xfId="46" xr:uid="{00000000-0005-0000-0000-000087000000}"/>
    <cellStyle name="Separador de milhares 6 2 2" xfId="152" xr:uid="{00000000-0005-0000-0000-000088000000}"/>
    <cellStyle name="Separador de milhares 6 2 3" xfId="101" xr:uid="{00000000-0005-0000-0000-000089000000}"/>
    <cellStyle name="Separador de milhares 6 3" xfId="151" xr:uid="{00000000-0005-0000-0000-00008A000000}"/>
    <cellStyle name="Separador de milhares 6 4" xfId="100" xr:uid="{00000000-0005-0000-0000-00008B000000}"/>
    <cellStyle name="Separador de milhares 7" xfId="47" xr:uid="{00000000-0005-0000-0000-00008C000000}"/>
    <cellStyle name="Separador de milhares 7 2" xfId="48" xr:uid="{00000000-0005-0000-0000-00008D000000}"/>
    <cellStyle name="Separador de milhares 7 2 2" xfId="154" xr:uid="{00000000-0005-0000-0000-00008E000000}"/>
    <cellStyle name="Separador de milhares 7 2 3" xfId="103" xr:uid="{00000000-0005-0000-0000-00008F000000}"/>
    <cellStyle name="Separador de milhares 7 3" xfId="153" xr:uid="{00000000-0005-0000-0000-000090000000}"/>
    <cellStyle name="Separador de milhares 7 4" xfId="102" xr:uid="{00000000-0005-0000-0000-000091000000}"/>
    <cellStyle name="Separador de milhares 8" xfId="49" xr:uid="{00000000-0005-0000-0000-000092000000}"/>
    <cellStyle name="Separador de milhares 8 2" xfId="50" xr:uid="{00000000-0005-0000-0000-000093000000}"/>
    <cellStyle name="Separador de milhares 8 2 2" xfId="156" xr:uid="{00000000-0005-0000-0000-000094000000}"/>
    <cellStyle name="Separador de milhares 8 2 3" xfId="105" xr:uid="{00000000-0005-0000-0000-000095000000}"/>
    <cellStyle name="Separador de milhares 8 3" xfId="155" xr:uid="{00000000-0005-0000-0000-000096000000}"/>
    <cellStyle name="Separador de milhares 8 4" xfId="104" xr:uid="{00000000-0005-0000-0000-000097000000}"/>
    <cellStyle name="Separador de milhares 9" xfId="51" xr:uid="{00000000-0005-0000-0000-000098000000}"/>
    <cellStyle name="Separador de milhares 9 2" xfId="52" xr:uid="{00000000-0005-0000-0000-000099000000}"/>
    <cellStyle name="Separador de milhares 9 2 2" xfId="158" xr:uid="{00000000-0005-0000-0000-00009A000000}"/>
    <cellStyle name="Separador de milhares 9 2 3" xfId="107" xr:uid="{00000000-0005-0000-0000-00009B000000}"/>
    <cellStyle name="Separador de milhares 9 3" xfId="157" xr:uid="{00000000-0005-0000-0000-00009C000000}"/>
    <cellStyle name="Separador de milhares 9 4" xfId="106" xr:uid="{00000000-0005-0000-0000-00009D000000}"/>
    <cellStyle name="Vírgula" xfId="4" builtinId="3"/>
    <cellStyle name="Vírgula 10" xfId="189" xr:uid="{E85B92E3-FDCE-4B37-A284-23401B344E49}"/>
    <cellStyle name="Vírgula 11" xfId="192" xr:uid="{14F6D3D4-8704-416A-9532-F6A738AAE5C5}"/>
    <cellStyle name="Vírgula 12" xfId="169" xr:uid="{0B077344-A5EE-4E04-9DF8-D129790CB73F}"/>
    <cellStyle name="Vírgula 13" xfId="194" xr:uid="{592482D1-E8A4-4C08-9730-6304DFA4F240}"/>
    <cellStyle name="Vírgula 14" xfId="196" xr:uid="{C57591A3-DF87-414E-B055-DC486ABB71E8}"/>
    <cellStyle name="Vírgula 15" xfId="198" xr:uid="{3B09E4E4-86A4-4AD1-B779-67A17C0D8A3E}"/>
    <cellStyle name="Vírgula 16" xfId="172" xr:uid="{E5154D05-CEFD-4E92-95A1-0143DDBC94E1}"/>
    <cellStyle name="Vírgula 19" xfId="173" xr:uid="{E362254D-B252-4A66-A3E2-30049B8D380E}"/>
    <cellStyle name="Vírgula 2" xfId="59" xr:uid="{00000000-0005-0000-0000-00009F000000}"/>
    <cellStyle name="Vírgula 3" xfId="162" xr:uid="{1E55F778-15F8-4A1E-B0ED-685FC8BF0BE2}"/>
    <cellStyle name="Vírgula 30" xfId="178" xr:uid="{D4FB4EC5-F945-4815-9F42-40F61FE5DF15}"/>
    <cellStyle name="Vírgula 31" xfId="179" xr:uid="{FCC108B9-19FC-4FCD-8369-DDFA2908E16D}"/>
    <cellStyle name="Vírgula 4" xfId="168" xr:uid="{864480A5-6F14-4A9B-A0D4-93C546BD4FAE}"/>
    <cellStyle name="Vírgula 41" xfId="185" xr:uid="{0FCA20E1-3C66-410B-AFB0-00A046D505A0}"/>
    <cellStyle name="Vírgula 49" xfId="190" xr:uid="{03A87A7D-294D-4E19-BE20-F78443561858}"/>
    <cellStyle name="Vírgula 5" xfId="171" xr:uid="{26A5098B-3168-4312-A5BB-04BF46791280}"/>
    <cellStyle name="Vírgula 6" xfId="175" xr:uid="{0AEEDDC9-5800-4AD4-A2CB-7091C3233CE1}"/>
    <cellStyle name="Vírgula 7" xfId="177" xr:uid="{1A73A3A7-F0D7-4098-8B7F-210F35E30BC3}"/>
    <cellStyle name="Vírgula 8" xfId="182" xr:uid="{31A27C97-E163-4549-A992-01A5EB09FF17}"/>
    <cellStyle name="Vírgula 9" xfId="184" xr:uid="{4B256A3E-5082-4675-AE9E-96B409F3204F}"/>
  </cellStyles>
  <dxfs count="1816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6</xdr:col>
      <xdr:colOff>23812</xdr:colOff>
      <xdr:row>0</xdr:row>
      <xdr:rowOff>266700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28575</xdr:rowOff>
    </xdr:from>
    <xdr:to>
      <xdr:col>6</xdr:col>
      <xdr:colOff>233362</xdr:colOff>
      <xdr:row>1</xdr:row>
      <xdr:rowOff>85725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5"/>
          <a:ext cx="283368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19050</xdr:colOff>
      <xdr:row>0</xdr:row>
      <xdr:rowOff>19050</xdr:rowOff>
    </xdr:from>
    <xdr:to>
      <xdr:col>23</xdr:col>
      <xdr:colOff>26194</xdr:colOff>
      <xdr:row>1</xdr:row>
      <xdr:rowOff>152400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8375" y="19050"/>
          <a:ext cx="189309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0</xdr:row>
      <xdr:rowOff>47625</xdr:rowOff>
    </xdr:from>
    <xdr:to>
      <xdr:col>43</xdr:col>
      <xdr:colOff>47626</xdr:colOff>
      <xdr:row>1</xdr:row>
      <xdr:rowOff>104775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840575" y="47625"/>
          <a:ext cx="26670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38100</xdr:colOff>
      <xdr:row>0</xdr:row>
      <xdr:rowOff>47625</xdr:rowOff>
    </xdr:from>
    <xdr:to>
      <xdr:col>61</xdr:col>
      <xdr:colOff>266700</xdr:colOff>
      <xdr:row>1</xdr:row>
      <xdr:rowOff>0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84650" y="47625"/>
          <a:ext cx="26670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0</xdr:row>
      <xdr:rowOff>266700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</xdr:colOff>
      <xdr:row>0</xdr:row>
      <xdr:rowOff>52387</xdr:rowOff>
    </xdr:from>
    <xdr:to>
      <xdr:col>6</xdr:col>
      <xdr:colOff>126206</xdr:colOff>
      <xdr:row>1</xdr:row>
      <xdr:rowOff>109537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5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" y="52387"/>
          <a:ext cx="28289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19050</xdr:colOff>
      <xdr:row>0</xdr:row>
      <xdr:rowOff>19050</xdr:rowOff>
    </xdr:from>
    <xdr:to>
      <xdr:col>23</xdr:col>
      <xdr:colOff>26194</xdr:colOff>
      <xdr:row>1</xdr:row>
      <xdr:rowOff>152400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5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48875" y="19050"/>
          <a:ext cx="189309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0</xdr:row>
      <xdr:rowOff>47625</xdr:rowOff>
    </xdr:from>
    <xdr:to>
      <xdr:col>43</xdr:col>
      <xdr:colOff>47626</xdr:colOff>
      <xdr:row>1</xdr:row>
      <xdr:rowOff>104775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5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31100" y="47625"/>
          <a:ext cx="2667001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38100</xdr:colOff>
      <xdr:row>0</xdr:row>
      <xdr:rowOff>47625</xdr:rowOff>
    </xdr:from>
    <xdr:to>
      <xdr:col>61</xdr:col>
      <xdr:colOff>266700</xdr:colOff>
      <xdr:row>1</xdr:row>
      <xdr:rowOff>0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5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18075" y="47625"/>
          <a:ext cx="26670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35925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34818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309562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98231" y="0"/>
          <a:ext cx="2145506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35950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34843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309563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98256" y="0"/>
          <a:ext cx="2145507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35950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34843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309563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98256" y="0"/>
          <a:ext cx="2145507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35950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34843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309563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98256" y="0"/>
          <a:ext cx="2145507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35950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34843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309563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9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98256" y="0"/>
          <a:ext cx="2145507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404812</xdr:colOff>
      <xdr:row>1</xdr:row>
      <xdr:rowOff>104775</xdr:rowOff>
    </xdr:to>
    <xdr:pic>
      <xdr:nvPicPr>
        <xdr:cNvPr id="2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266223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74580</xdr:colOff>
      <xdr:row>0</xdr:row>
      <xdr:rowOff>2</xdr:rowOff>
    </xdr:from>
    <xdr:to>
      <xdr:col>6</xdr:col>
      <xdr:colOff>321469</xdr:colOff>
      <xdr:row>2</xdr:row>
      <xdr:rowOff>166688</xdr:rowOff>
    </xdr:to>
    <xdr:pic>
      <xdr:nvPicPr>
        <xdr:cNvPr id="3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" y="2"/>
          <a:ext cx="2951989" cy="72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23812</xdr:colOff>
      <xdr:row>0</xdr:row>
      <xdr:rowOff>19049</xdr:rowOff>
    </xdr:from>
    <xdr:to>
      <xdr:col>23</xdr:col>
      <xdr:colOff>357187</xdr:colOff>
      <xdr:row>2</xdr:row>
      <xdr:rowOff>190500</xdr:rowOff>
    </xdr:to>
    <xdr:pic>
      <xdr:nvPicPr>
        <xdr:cNvPr id="4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96537" y="19049"/>
          <a:ext cx="2276475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0</xdr:row>
      <xdr:rowOff>47625</xdr:rowOff>
    </xdr:from>
    <xdr:to>
      <xdr:col>43</xdr:col>
      <xdr:colOff>47625</xdr:colOff>
      <xdr:row>3</xdr:row>
      <xdr:rowOff>0</xdr:rowOff>
    </xdr:to>
    <xdr:pic>
      <xdr:nvPicPr>
        <xdr:cNvPr id="5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35950" y="47625"/>
          <a:ext cx="27051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57</xdr:col>
      <xdr:colOff>35718</xdr:colOff>
      <xdr:row>0</xdr:row>
      <xdr:rowOff>47625</xdr:rowOff>
    </xdr:from>
    <xdr:to>
      <xdr:col>61</xdr:col>
      <xdr:colOff>147638</xdr:colOff>
      <xdr:row>2</xdr:row>
      <xdr:rowOff>178593</xdr:rowOff>
    </xdr:to>
    <xdr:pic>
      <xdr:nvPicPr>
        <xdr:cNvPr id="6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34843" y="47625"/>
          <a:ext cx="2664620" cy="69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76</xdr:col>
      <xdr:colOff>11906</xdr:colOff>
      <xdr:row>0</xdr:row>
      <xdr:rowOff>0</xdr:rowOff>
    </xdr:from>
    <xdr:to>
      <xdr:col>79</xdr:col>
      <xdr:colOff>309563</xdr:colOff>
      <xdr:row>3</xdr:row>
      <xdr:rowOff>0</xdr:rowOff>
    </xdr:to>
    <xdr:pic>
      <xdr:nvPicPr>
        <xdr:cNvPr id="7" name="Picture 6" descr="C:\Users\Marcelo\Desktop\Cordeiro\Logo CORDEIRO.bmp">
          <a:extLst>
            <a:ext uri="{FF2B5EF4-FFF2-40B4-BE49-F238E27FC236}">
              <a16:creationId xmlns:a16="http://schemas.microsoft.com/office/drawing/2014/main" id="{00000000-0008-0000-A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98256" y="0"/>
          <a:ext cx="2145507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I25"/>
  <sheetViews>
    <sheetView workbookViewId="0">
      <selection activeCell="V1" sqref="V1"/>
    </sheetView>
  </sheetViews>
  <sheetFormatPr defaultRowHeight="12.75" x14ac:dyDescent="0.2"/>
  <cols>
    <col min="2" max="2" width="12.28515625" style="4" customWidth="1"/>
    <col min="3" max="3" width="10.140625" style="4" customWidth="1"/>
    <col min="4" max="4" width="11.28515625" style="4" bestFit="1" customWidth="1"/>
    <col min="5" max="5" width="3.28515625" customWidth="1"/>
    <col min="7" max="7" width="11.28515625" style="4" bestFit="1" customWidth="1"/>
    <col min="8" max="8" width="10.85546875" style="4" bestFit="1" customWidth="1"/>
    <col min="9" max="9" width="11.28515625" style="4" bestFit="1" customWidth="1"/>
  </cols>
  <sheetData>
    <row r="1" spans="1:9" x14ac:dyDescent="0.2">
      <c r="A1" s="120" t="s">
        <v>4</v>
      </c>
      <c r="B1" s="120"/>
      <c r="C1" s="120"/>
      <c r="D1" s="120"/>
      <c r="F1" s="121" t="s">
        <v>5</v>
      </c>
      <c r="G1" s="121"/>
      <c r="H1" s="121"/>
      <c r="I1" s="121"/>
    </row>
    <row r="2" spans="1:9" x14ac:dyDescent="0.2">
      <c r="A2" s="122" t="s">
        <v>6</v>
      </c>
      <c r="B2" s="122"/>
      <c r="C2" s="122"/>
      <c r="D2" s="122"/>
      <c r="F2" s="122" t="s">
        <v>7</v>
      </c>
      <c r="G2" s="122"/>
      <c r="H2" s="122"/>
      <c r="I2" s="122"/>
    </row>
    <row r="3" spans="1:9" x14ac:dyDescent="0.2">
      <c r="A3" s="1" t="s">
        <v>0</v>
      </c>
      <c r="B3" s="3" t="s">
        <v>1</v>
      </c>
      <c r="C3" s="3" t="s">
        <v>2</v>
      </c>
      <c r="D3" s="3" t="s">
        <v>3</v>
      </c>
      <c r="F3" s="1" t="s">
        <v>0</v>
      </c>
      <c r="G3" s="3" t="s">
        <v>1</v>
      </c>
      <c r="H3" s="3" t="s">
        <v>2</v>
      </c>
      <c r="I3" s="3" t="s">
        <v>3</v>
      </c>
    </row>
    <row r="4" spans="1:9" x14ac:dyDescent="0.2">
      <c r="A4" s="2">
        <v>40302</v>
      </c>
      <c r="B4" s="3">
        <f>60958-17959</f>
        <v>42999</v>
      </c>
      <c r="C4" s="3">
        <f>(SUM(B4:B4)-(D4*1))</f>
        <v>6999</v>
      </c>
      <c r="D4" s="3">
        <v>36000</v>
      </c>
      <c r="F4" s="2">
        <v>40302</v>
      </c>
      <c r="G4" s="3">
        <f>549+3550+9512+4348</f>
        <v>17959</v>
      </c>
      <c r="H4" s="3">
        <f>(SUM(G4:G4)-(I4*1))</f>
        <v>3659</v>
      </c>
      <c r="I4" s="3">
        <v>14300</v>
      </c>
    </row>
    <row r="5" spans="1:9" x14ac:dyDescent="0.2">
      <c r="A5" s="2">
        <v>40303</v>
      </c>
      <c r="B5" s="3">
        <f>20849-8234</f>
        <v>12615</v>
      </c>
      <c r="C5" s="3">
        <f>(SUM(B4:B5)-(D5*2))</f>
        <v>-16386</v>
      </c>
      <c r="D5" s="3">
        <v>36000</v>
      </c>
      <c r="F5" s="2">
        <v>40303</v>
      </c>
      <c r="G5" s="3">
        <f>2938+1485+3269+542</f>
        <v>8234</v>
      </c>
      <c r="H5" s="3">
        <f>(SUM(G4:G5)-(I5*2))</f>
        <v>-2407</v>
      </c>
      <c r="I5" s="3">
        <v>14300</v>
      </c>
    </row>
    <row r="6" spans="1:9" x14ac:dyDescent="0.2">
      <c r="A6" s="2">
        <v>40304</v>
      </c>
      <c r="B6" s="3">
        <f>21557-8354</f>
        <v>13203</v>
      </c>
      <c r="C6" s="3">
        <f>(SUM(B4:B6)-(D6*3))</f>
        <v>-39183</v>
      </c>
      <c r="D6" s="3">
        <v>36000</v>
      </c>
      <c r="F6" s="2">
        <v>40304</v>
      </c>
      <c r="G6" s="3">
        <f>470+566+2553+1207+2457+1101</f>
        <v>8354</v>
      </c>
      <c r="H6" s="3">
        <f>(SUM(G4:G6)-(I6*3))</f>
        <v>-8353</v>
      </c>
      <c r="I6" s="3">
        <v>14300</v>
      </c>
    </row>
    <row r="7" spans="1:9" x14ac:dyDescent="0.2">
      <c r="A7" s="2">
        <v>40305</v>
      </c>
      <c r="B7" s="3">
        <f>26579-10040</f>
        <v>16539</v>
      </c>
      <c r="C7" s="3">
        <f>(SUM(B4:B7)-(D7*4))</f>
        <v>-58644</v>
      </c>
      <c r="D7" s="3">
        <v>36000</v>
      </c>
      <c r="F7" s="2">
        <v>40305</v>
      </c>
      <c r="G7" s="3">
        <f>917+1677+2352+2943+904+1247</f>
        <v>10040</v>
      </c>
      <c r="H7" s="3">
        <f>(SUM(G4:G7)-(I7*4))</f>
        <v>-12613</v>
      </c>
      <c r="I7" s="3">
        <v>14300</v>
      </c>
    </row>
    <row r="8" spans="1:9" x14ac:dyDescent="0.2">
      <c r="A8" s="2">
        <v>40308</v>
      </c>
      <c r="B8" s="3">
        <f>39489-5977</f>
        <v>33512</v>
      </c>
      <c r="C8" s="3">
        <f>(SUM(B4:B8)-(D8*5))</f>
        <v>-61132</v>
      </c>
      <c r="D8" s="3">
        <v>36000</v>
      </c>
      <c r="F8" s="2">
        <v>40308</v>
      </c>
      <c r="G8" s="3">
        <f>2812+1290+1875</f>
        <v>5977</v>
      </c>
      <c r="H8" s="3">
        <f>(SUM(G4:G8)-(I8*5))</f>
        <v>-20936</v>
      </c>
      <c r="I8" s="3">
        <v>14300</v>
      </c>
    </row>
    <row r="9" spans="1:9" x14ac:dyDescent="0.2">
      <c r="A9" s="2">
        <v>40309</v>
      </c>
      <c r="B9" s="3">
        <f>32111-14170</f>
        <v>17941</v>
      </c>
      <c r="C9" s="3">
        <f>(SUM(B4:B9)-(D9*6))</f>
        <v>-79191</v>
      </c>
      <c r="D9" s="3">
        <v>36000</v>
      </c>
      <c r="F9" s="2">
        <v>40309</v>
      </c>
      <c r="G9" s="3">
        <f>2411+2240+1274+3236+2214+2795</f>
        <v>14170</v>
      </c>
      <c r="H9" s="3">
        <f>(SUM(G4:G9)-(I9*6))</f>
        <v>-21066</v>
      </c>
      <c r="I9" s="3">
        <v>14300</v>
      </c>
    </row>
    <row r="10" spans="1:9" x14ac:dyDescent="0.2">
      <c r="A10" s="2">
        <v>40310</v>
      </c>
      <c r="B10" s="3">
        <f>53506-17003</f>
        <v>36503</v>
      </c>
      <c r="C10" s="3">
        <f>(SUM(B4:B10)-(D10*7))</f>
        <v>-78688</v>
      </c>
      <c r="D10" s="3">
        <v>36000</v>
      </c>
      <c r="F10" s="2">
        <v>40310</v>
      </c>
      <c r="G10" s="3">
        <f>3597+2409+4820+1226+82+4869</f>
        <v>17003</v>
      </c>
      <c r="H10" s="3">
        <f>(SUM(G4:G10)-(I10*7))</f>
        <v>-18363</v>
      </c>
      <c r="I10" s="3">
        <v>14300</v>
      </c>
    </row>
    <row r="11" spans="1:9" x14ac:dyDescent="0.2">
      <c r="A11" s="2">
        <v>40311</v>
      </c>
      <c r="B11" s="3">
        <f>29788-13463</f>
        <v>16325</v>
      </c>
      <c r="C11" s="3">
        <f>(SUM(B4:B11)-(D11*8))</f>
        <v>-98363</v>
      </c>
      <c r="D11" s="3">
        <v>36000</v>
      </c>
      <c r="F11" s="2">
        <v>40311</v>
      </c>
      <c r="G11" s="3">
        <f>2396+9487+838+742</f>
        <v>13463</v>
      </c>
      <c r="H11" s="3">
        <f>(SUM(G4:G11)-(I11*8))</f>
        <v>-19200</v>
      </c>
      <c r="I11" s="3">
        <v>14300</v>
      </c>
    </row>
    <row r="12" spans="1:9" x14ac:dyDescent="0.2">
      <c r="A12" s="2">
        <v>40312</v>
      </c>
      <c r="B12" s="3">
        <f>28054-4644</f>
        <v>23410</v>
      </c>
      <c r="C12" s="3">
        <f>(SUM(B4:B12)-(D12*9))</f>
        <v>-110953</v>
      </c>
      <c r="D12" s="3">
        <v>36000</v>
      </c>
      <c r="F12" s="2">
        <v>40312</v>
      </c>
      <c r="G12" s="3">
        <f>4644</f>
        <v>4644</v>
      </c>
      <c r="H12" s="3">
        <f>(SUM(G4:G12)-(I12*9))</f>
        <v>-28856</v>
      </c>
      <c r="I12" s="3">
        <v>14300</v>
      </c>
    </row>
    <row r="13" spans="1:9" x14ac:dyDescent="0.2">
      <c r="A13" s="2">
        <v>40315</v>
      </c>
      <c r="B13" s="3">
        <v>65147</v>
      </c>
      <c r="C13" s="5">
        <f>(SUM(B4:B13)-(D13*10))</f>
        <v>-81806</v>
      </c>
      <c r="D13" s="3">
        <v>36000</v>
      </c>
      <c r="F13" s="2">
        <v>40315</v>
      </c>
      <c r="G13" s="3">
        <v>26439</v>
      </c>
      <c r="H13" s="5">
        <f>(SUM(G4:G13)-(I13*10))</f>
        <v>-16717</v>
      </c>
      <c r="I13" s="3">
        <v>14300</v>
      </c>
    </row>
    <row r="14" spans="1:9" x14ac:dyDescent="0.2">
      <c r="A14" s="2">
        <v>40316</v>
      </c>
      <c r="B14" s="3">
        <f>56452-8637</f>
        <v>47815</v>
      </c>
      <c r="C14" s="5">
        <f>(SUM(B4:B14)-(D14*11))</f>
        <v>-69991</v>
      </c>
      <c r="D14" s="3">
        <v>36000</v>
      </c>
      <c r="F14" s="2">
        <v>40316</v>
      </c>
      <c r="G14" s="3">
        <f>2395+6242</f>
        <v>8637</v>
      </c>
      <c r="H14" s="5">
        <f>(SUM(G4:G14)-(I14*11))</f>
        <v>-22380</v>
      </c>
      <c r="I14" s="3">
        <v>14300</v>
      </c>
    </row>
    <row r="15" spans="1:9" x14ac:dyDescent="0.2">
      <c r="A15" s="2">
        <v>40317</v>
      </c>
      <c r="B15" s="3">
        <f>277+197+488+937+1093+488+213</f>
        <v>3693</v>
      </c>
      <c r="C15" s="5">
        <f>(SUM(B4:B15)-(D15*12))</f>
        <v>-102298</v>
      </c>
      <c r="D15" s="3">
        <v>36000</v>
      </c>
      <c r="F15" s="2">
        <v>40317</v>
      </c>
      <c r="G15" s="3">
        <f>1278+3309+6165</f>
        <v>10752</v>
      </c>
      <c r="H15" s="5">
        <f>(SUM(G4:G15)-(I15*12))</f>
        <v>-25928</v>
      </c>
      <c r="I15" s="3">
        <v>14300</v>
      </c>
    </row>
    <row r="16" spans="1:9" x14ac:dyDescent="0.2">
      <c r="A16" s="2">
        <v>40318</v>
      </c>
      <c r="B16" s="3">
        <v>8480</v>
      </c>
      <c r="C16" s="5">
        <f>(SUM(B4:B16)-(D16*13))</f>
        <v>-129818</v>
      </c>
      <c r="D16" s="3">
        <v>36000</v>
      </c>
      <c r="F16" s="2">
        <v>40318</v>
      </c>
      <c r="G16" s="3">
        <v>9441</v>
      </c>
      <c r="H16" s="5">
        <f>(SUM(G4:G16)-(I16*13))</f>
        <v>-30787</v>
      </c>
      <c r="I16" s="3">
        <v>14300</v>
      </c>
    </row>
    <row r="17" spans="1:9" x14ac:dyDescent="0.2">
      <c r="A17" s="2">
        <v>40319</v>
      </c>
      <c r="B17" s="3">
        <f>63355-13115</f>
        <v>50240</v>
      </c>
      <c r="C17" s="5">
        <f>(SUM(B4:B17)-(D17*14))</f>
        <v>-115578</v>
      </c>
      <c r="D17" s="3">
        <v>36000</v>
      </c>
      <c r="F17" s="2">
        <v>40319</v>
      </c>
      <c r="G17" s="3">
        <v>13115</v>
      </c>
      <c r="H17" s="5">
        <f>(SUM(G4:G17)-(I17*14))</f>
        <v>-31972</v>
      </c>
      <c r="I17" s="3">
        <v>14300</v>
      </c>
    </row>
    <row r="18" spans="1:9" x14ac:dyDescent="0.2">
      <c r="A18" s="2">
        <v>40322</v>
      </c>
      <c r="B18" s="3">
        <f>33844-12953</f>
        <v>20891</v>
      </c>
      <c r="C18" s="5">
        <f>(SUM(B4:B18)-(D18*15))</f>
        <v>-130687</v>
      </c>
      <c r="D18" s="3">
        <v>36000</v>
      </c>
      <c r="F18" s="2">
        <v>40322</v>
      </c>
      <c r="G18" s="3">
        <f>481+4447+6732+1209+84</f>
        <v>12953</v>
      </c>
      <c r="H18" s="5">
        <f>(SUM(G4:G18)-(I18*15))</f>
        <v>-33319</v>
      </c>
      <c r="I18" s="3">
        <v>14300</v>
      </c>
    </row>
    <row r="19" spans="1:9" x14ac:dyDescent="0.2">
      <c r="A19" s="2">
        <v>40323</v>
      </c>
      <c r="B19" s="3">
        <f>54685-9983</f>
        <v>44702</v>
      </c>
      <c r="C19" s="5">
        <f>(SUM(B4:B19)-(D19*16))</f>
        <v>-121985</v>
      </c>
      <c r="D19" s="3">
        <v>36000</v>
      </c>
      <c r="F19" s="2">
        <v>40323</v>
      </c>
      <c r="G19" s="3">
        <v>9983</v>
      </c>
      <c r="H19" s="5">
        <f>(SUM(G4:G19)-(I19*16))</f>
        <v>-37636</v>
      </c>
      <c r="I19" s="3">
        <v>14300</v>
      </c>
    </row>
    <row r="20" spans="1:9" x14ac:dyDescent="0.2">
      <c r="A20" s="2">
        <v>40324</v>
      </c>
      <c r="B20" s="3">
        <f>37831-13203</f>
        <v>24628</v>
      </c>
      <c r="C20" s="5">
        <f>(SUM(B4:B20)-(D20*17))</f>
        <v>-133357</v>
      </c>
      <c r="D20" s="3">
        <v>36000</v>
      </c>
      <c r="F20" s="2">
        <v>40324</v>
      </c>
      <c r="G20" s="3">
        <v>13203</v>
      </c>
      <c r="H20" s="5">
        <f>(SUM(G4:G20)-(I20*17))</f>
        <v>-38733</v>
      </c>
      <c r="I20" s="3">
        <v>14300</v>
      </c>
    </row>
    <row r="21" spans="1:9" x14ac:dyDescent="0.2">
      <c r="A21" s="2">
        <v>40325</v>
      </c>
      <c r="B21" s="3">
        <v>30839</v>
      </c>
      <c r="C21" s="5">
        <f>(SUM(B4:B21)-(D21*18))</f>
        <v>-138518</v>
      </c>
      <c r="D21" s="3">
        <v>36000</v>
      </c>
      <c r="F21" s="2">
        <v>40325</v>
      </c>
      <c r="G21" s="3">
        <f>38904-30839</f>
        <v>8065</v>
      </c>
      <c r="H21" s="5">
        <f>(SUM(G4:G21)-(I21*18))</f>
        <v>-44968</v>
      </c>
      <c r="I21" s="3">
        <v>14300</v>
      </c>
    </row>
    <row r="22" spans="1:9" x14ac:dyDescent="0.2">
      <c r="A22" s="2">
        <v>40326</v>
      </c>
      <c r="B22" s="3">
        <f>46998-6880</f>
        <v>40118</v>
      </c>
      <c r="C22" s="5">
        <f>(SUM(B4:B22)-(D22*19))</f>
        <v>-134400</v>
      </c>
      <c r="D22" s="3">
        <v>36000</v>
      </c>
      <c r="F22" s="2">
        <v>40326</v>
      </c>
      <c r="G22" s="3">
        <f>1607+5273</f>
        <v>6880</v>
      </c>
      <c r="H22" s="5">
        <f>(SUM(G4:G22)-(I22*19))</f>
        <v>-52388</v>
      </c>
      <c r="I22" s="3">
        <v>14300</v>
      </c>
    </row>
    <row r="23" spans="1:9" x14ac:dyDescent="0.2">
      <c r="A23" s="2">
        <v>40329</v>
      </c>
      <c r="B23" s="3">
        <f>64467-4607</f>
        <v>59860</v>
      </c>
      <c r="C23" s="5">
        <f>(SUM(B4:B23)-(D23*20))</f>
        <v>-110540</v>
      </c>
      <c r="D23" s="3">
        <v>36000</v>
      </c>
      <c r="F23" s="2">
        <v>40329</v>
      </c>
      <c r="G23" s="3">
        <f>3544+1063</f>
        <v>4607</v>
      </c>
      <c r="H23" s="5">
        <f>(SUM(G4:G23)-(I23*20))</f>
        <v>-62081</v>
      </c>
      <c r="I23" s="3">
        <v>14300</v>
      </c>
    </row>
    <row r="24" spans="1:9" x14ac:dyDescent="0.2">
      <c r="A24" s="2">
        <v>40330</v>
      </c>
      <c r="B24" s="3">
        <f>50927-7620</f>
        <v>43307</v>
      </c>
      <c r="C24" s="5">
        <f>(SUM(B4:B24)-(D24*21))</f>
        <v>-103233</v>
      </c>
      <c r="D24" s="3">
        <v>36000</v>
      </c>
      <c r="F24" s="2">
        <v>40330</v>
      </c>
      <c r="G24" s="3">
        <f>918+2551+1983+2168</f>
        <v>7620</v>
      </c>
      <c r="H24" s="5">
        <f>(SUM(G4:G24)-(I24*21))</f>
        <v>-68761</v>
      </c>
      <c r="I24" s="3">
        <v>14300</v>
      </c>
    </row>
    <row r="25" spans="1:9" x14ac:dyDescent="0.2">
      <c r="A25" s="1" t="s">
        <v>8</v>
      </c>
      <c r="B25" s="3">
        <f>SUM(B4:B23)</f>
        <v>609460</v>
      </c>
      <c r="C25" s="3"/>
      <c r="D25" s="3">
        <f>SUM(D4:D23)</f>
        <v>720000</v>
      </c>
      <c r="F25" s="1" t="s">
        <v>8</v>
      </c>
      <c r="G25" s="3">
        <f>SUM(G4:G23)</f>
        <v>223919</v>
      </c>
      <c r="H25" s="3"/>
      <c r="I25" s="3">
        <f>SUM(I4:I23)</f>
        <v>286000</v>
      </c>
    </row>
  </sheetData>
  <mergeCells count="4">
    <mergeCell ref="A1:D1"/>
    <mergeCell ref="F1:I1"/>
    <mergeCell ref="A2:D2"/>
    <mergeCell ref="F2:I2"/>
  </mergeCells>
  <phoneticPr fontId="33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Plan64">
    <tabColor rgb="FF92D050"/>
  </sheetPr>
  <dimension ref="A1:L29"/>
  <sheetViews>
    <sheetView topLeftCell="A8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41673</v>
      </c>
      <c r="C4" s="24">
        <v>62174</v>
      </c>
      <c r="D4" s="25">
        <f>(SUM(C4:C4)-(F4*1))</f>
        <v>12174</v>
      </c>
      <c r="E4" s="24">
        <f>C4/1</f>
        <v>62174</v>
      </c>
      <c r="F4" s="30">
        <f t="shared" ref="F4:F23" si="0">$F$24/$G$23</f>
        <v>50000</v>
      </c>
      <c r="G4" s="20">
        <v>1</v>
      </c>
      <c r="H4" s="19">
        <v>41673</v>
      </c>
      <c r="I4" s="12">
        <v>13819</v>
      </c>
      <c r="J4" s="10">
        <f>(SUM(I4:I4)-(L4*1))</f>
        <v>-11181</v>
      </c>
      <c r="K4" s="10">
        <f>I4/1</f>
        <v>13819</v>
      </c>
      <c r="L4" s="10">
        <f t="shared" ref="L4:L23" si="1">$L$24/$G$23</f>
        <v>25000</v>
      </c>
    </row>
    <row r="5" spans="2:12" ht="20.100000000000001" customHeight="1" x14ac:dyDescent="0.2">
      <c r="B5" s="19">
        <v>41674</v>
      </c>
      <c r="C5" s="26">
        <v>43291</v>
      </c>
      <c r="D5" s="25">
        <f>(SUM(C$4:C5)-(F5*G5))</f>
        <v>5465</v>
      </c>
      <c r="E5" s="24">
        <f>SUM(C$4:C5)/G5</f>
        <v>52732.5</v>
      </c>
      <c r="F5" s="30">
        <f t="shared" si="0"/>
        <v>50000</v>
      </c>
      <c r="G5" s="20">
        <f>G4+1</f>
        <v>2</v>
      </c>
      <c r="H5" s="19">
        <v>41674</v>
      </c>
      <c r="I5" s="21">
        <v>17101</v>
      </c>
      <c r="J5" s="10">
        <f>SUM(I$4:I5)-(L5*G5)</f>
        <v>-19080</v>
      </c>
      <c r="K5" s="10">
        <f>SUM(I$4:I5)/G5</f>
        <v>15460</v>
      </c>
      <c r="L5" s="10">
        <f t="shared" si="1"/>
        <v>25000</v>
      </c>
    </row>
    <row r="6" spans="2:12" ht="20.100000000000001" customHeight="1" x14ac:dyDescent="0.2">
      <c r="B6" s="19">
        <v>41675</v>
      </c>
      <c r="C6" s="24">
        <v>29047</v>
      </c>
      <c r="D6" s="25">
        <f>(SUM(C$4:C6)-(F6*G6))</f>
        <v>-15488</v>
      </c>
      <c r="E6" s="24">
        <f>SUM(C$4:C6)/G6</f>
        <v>44837.333333333336</v>
      </c>
      <c r="F6" s="30">
        <f t="shared" si="0"/>
        <v>50000</v>
      </c>
      <c r="G6" s="20">
        <f t="shared" ref="G6:G19" si="2">G5+1</f>
        <v>3</v>
      </c>
      <c r="H6" s="19">
        <v>41675</v>
      </c>
      <c r="I6" s="21">
        <v>7488</v>
      </c>
      <c r="J6" s="10">
        <f>SUM(I$4:I6)-(L6*G6)</f>
        <v>-36592</v>
      </c>
      <c r="K6" s="10">
        <f>SUM(I$4:I6)/G6</f>
        <v>12802.666666666666</v>
      </c>
      <c r="L6" s="10">
        <f t="shared" si="1"/>
        <v>25000</v>
      </c>
    </row>
    <row r="7" spans="2:12" ht="19.5" customHeight="1" x14ac:dyDescent="0.2">
      <c r="B7" s="19">
        <v>41676</v>
      </c>
      <c r="C7" s="24">
        <v>33927</v>
      </c>
      <c r="D7" s="25">
        <f>(SUM(C$4:C7)-(F7*G7))</f>
        <v>-31561</v>
      </c>
      <c r="E7" s="24">
        <f>SUM(C$4:C7)/G7</f>
        <v>42109.75</v>
      </c>
      <c r="F7" s="30">
        <f t="shared" si="0"/>
        <v>50000</v>
      </c>
      <c r="G7" s="20">
        <f t="shared" si="2"/>
        <v>4</v>
      </c>
      <c r="H7" s="19">
        <v>41676</v>
      </c>
      <c r="I7" s="21">
        <v>17958</v>
      </c>
      <c r="J7" s="10">
        <f>SUM(I$4:I7)-(L7*G7)</f>
        <v>-43634</v>
      </c>
      <c r="K7" s="10">
        <f>SUM(I$4:I7)/G7</f>
        <v>14091.5</v>
      </c>
      <c r="L7" s="10">
        <f t="shared" si="1"/>
        <v>25000</v>
      </c>
    </row>
    <row r="8" spans="2:12" ht="20.100000000000001" customHeight="1" x14ac:dyDescent="0.2">
      <c r="B8" s="19">
        <v>41677</v>
      </c>
      <c r="C8" s="27">
        <v>41006</v>
      </c>
      <c r="D8" s="25">
        <f>(SUM(C$4:C8)-(F8*G8))</f>
        <v>-40555</v>
      </c>
      <c r="E8" s="24">
        <f>SUM(C$4:C8)/G8</f>
        <v>41889</v>
      </c>
      <c r="F8" s="30">
        <f t="shared" si="0"/>
        <v>50000</v>
      </c>
      <c r="G8" s="20">
        <f t="shared" si="2"/>
        <v>5</v>
      </c>
      <c r="H8" s="19">
        <v>41677</v>
      </c>
      <c r="I8" s="22">
        <v>13098</v>
      </c>
      <c r="J8" s="10">
        <f>SUM(I$4:I8)-(L8*G8)</f>
        <v>-55536</v>
      </c>
      <c r="K8" s="10">
        <f>SUM(I$4:I8)/G8</f>
        <v>13892.8</v>
      </c>
      <c r="L8" s="10">
        <f t="shared" si="1"/>
        <v>25000</v>
      </c>
    </row>
    <row r="9" spans="2:12" ht="20.100000000000001" customHeight="1" x14ac:dyDescent="0.2">
      <c r="B9" s="19">
        <v>41680</v>
      </c>
      <c r="C9" s="27">
        <v>25206</v>
      </c>
      <c r="D9" s="25">
        <f>(SUM(C$4:C9)-(F9*G9))</f>
        <v>-65349</v>
      </c>
      <c r="E9" s="24">
        <f>SUM(C$4:C9)/G9</f>
        <v>39108.5</v>
      </c>
      <c r="F9" s="30">
        <f t="shared" si="0"/>
        <v>50000</v>
      </c>
      <c r="G9" s="20">
        <f t="shared" si="2"/>
        <v>6</v>
      </c>
      <c r="H9" s="19">
        <v>41680</v>
      </c>
      <c r="I9" s="22">
        <v>20149</v>
      </c>
      <c r="J9" s="10">
        <f>SUM(I$4:I9)-(L9*G9)</f>
        <v>-60387</v>
      </c>
      <c r="K9" s="10">
        <f>SUM(I$4:I9)/G9</f>
        <v>14935.5</v>
      </c>
      <c r="L9" s="10">
        <f t="shared" si="1"/>
        <v>25000</v>
      </c>
    </row>
    <row r="10" spans="2:12" ht="20.100000000000001" customHeight="1" x14ac:dyDescent="0.2">
      <c r="B10" s="19">
        <v>41681</v>
      </c>
      <c r="C10" s="24">
        <v>18163</v>
      </c>
      <c r="D10" s="25">
        <f>(SUM(C$4:C10)-(F10*G10))</f>
        <v>-97186</v>
      </c>
      <c r="E10" s="24">
        <f>SUM(C$4:C10)/G10</f>
        <v>36116.285714285717</v>
      </c>
      <c r="F10" s="30">
        <f t="shared" si="0"/>
        <v>50000</v>
      </c>
      <c r="G10" s="20">
        <f t="shared" si="2"/>
        <v>7</v>
      </c>
      <c r="H10" s="19">
        <v>41681</v>
      </c>
      <c r="I10" s="21">
        <v>18877</v>
      </c>
      <c r="J10" s="10">
        <f>SUM(I$4:I10)-(L10*G10)</f>
        <v>-66510</v>
      </c>
      <c r="K10" s="10">
        <f>SUM(I$4:I10)/G10</f>
        <v>15498.571428571429</v>
      </c>
      <c r="L10" s="10">
        <f t="shared" si="1"/>
        <v>25000</v>
      </c>
    </row>
    <row r="11" spans="2:12" ht="20.100000000000001" customHeight="1" x14ac:dyDescent="0.2">
      <c r="B11" s="19">
        <v>41682</v>
      </c>
      <c r="C11" s="24">
        <v>57989</v>
      </c>
      <c r="D11" s="25">
        <f>(SUM(C$4:C11)-(F11*G11))</f>
        <v>-89197</v>
      </c>
      <c r="E11" s="24">
        <f>SUM(C$4:C11)/G11</f>
        <v>38850.375</v>
      </c>
      <c r="F11" s="30">
        <f t="shared" si="0"/>
        <v>50000</v>
      </c>
      <c r="G11" s="20">
        <f t="shared" si="2"/>
        <v>8</v>
      </c>
      <c r="H11" s="19">
        <v>41682</v>
      </c>
      <c r="I11" s="21">
        <v>15033</v>
      </c>
      <c r="J11" s="10">
        <f>SUM(I$4:I11)-(L11*G11)</f>
        <v>-76477</v>
      </c>
      <c r="K11" s="10">
        <f>SUM(I$4:I11)/G11</f>
        <v>15440.375</v>
      </c>
      <c r="L11" s="10">
        <f t="shared" si="1"/>
        <v>25000</v>
      </c>
    </row>
    <row r="12" spans="2:12" ht="20.100000000000001" customHeight="1" x14ac:dyDescent="0.2">
      <c r="B12" s="19">
        <v>41683</v>
      </c>
      <c r="C12" s="29">
        <v>60066</v>
      </c>
      <c r="D12" s="25">
        <f>(SUM(C$4:C12)-(F12*G12))</f>
        <v>-79131</v>
      </c>
      <c r="E12" s="24">
        <f>SUM(C$4:C12)/G12</f>
        <v>41207.666666666664</v>
      </c>
      <c r="F12" s="30">
        <f t="shared" si="0"/>
        <v>50000</v>
      </c>
      <c r="G12" s="20">
        <f t="shared" si="2"/>
        <v>9</v>
      </c>
      <c r="H12" s="19">
        <v>41683</v>
      </c>
      <c r="I12" s="13">
        <v>18011</v>
      </c>
      <c r="J12" s="10">
        <f>SUM(I$4:I12)-(L12*G12)</f>
        <v>-83466</v>
      </c>
      <c r="K12" s="10">
        <f>SUM(I$4:I12)/G12</f>
        <v>15726</v>
      </c>
      <c r="L12" s="10">
        <f t="shared" si="1"/>
        <v>25000</v>
      </c>
    </row>
    <row r="13" spans="2:12" ht="20.100000000000001" customHeight="1" x14ac:dyDescent="0.2">
      <c r="B13" s="19">
        <v>41684</v>
      </c>
      <c r="C13" s="29">
        <v>57387</v>
      </c>
      <c r="D13" s="25">
        <f>(SUM(C$4:C13)-(F13*G13))</f>
        <v>-71744</v>
      </c>
      <c r="E13" s="24">
        <f>SUM(C$4:C13)/G13</f>
        <v>42825.599999999999</v>
      </c>
      <c r="F13" s="30">
        <f t="shared" si="0"/>
        <v>50000</v>
      </c>
      <c r="G13" s="20">
        <f t="shared" si="2"/>
        <v>10</v>
      </c>
      <c r="H13" s="19">
        <v>41684</v>
      </c>
      <c r="I13" s="13">
        <v>35559</v>
      </c>
      <c r="J13" s="10">
        <f>SUM(I$4:I13)-(L13*G13)</f>
        <v>-72907</v>
      </c>
      <c r="K13" s="10">
        <f>SUM(I$4:I13)/G13</f>
        <v>17709.3</v>
      </c>
      <c r="L13" s="10">
        <f t="shared" si="1"/>
        <v>25000</v>
      </c>
    </row>
    <row r="14" spans="2:12" ht="20.100000000000001" customHeight="1" x14ac:dyDescent="0.2">
      <c r="B14" s="19">
        <v>41687</v>
      </c>
      <c r="C14" s="29">
        <v>45082</v>
      </c>
      <c r="D14" s="25">
        <f>(SUM(C$4:C14)-(F14*G14))</f>
        <v>-76662</v>
      </c>
      <c r="E14" s="24">
        <f>SUM(C$4:C14)/G14</f>
        <v>43030.727272727272</v>
      </c>
      <c r="F14" s="30">
        <f t="shared" si="0"/>
        <v>50000</v>
      </c>
      <c r="G14" s="20">
        <f t="shared" si="2"/>
        <v>11</v>
      </c>
      <c r="H14" s="19">
        <v>41687</v>
      </c>
      <c r="I14" s="12">
        <v>28404</v>
      </c>
      <c r="J14" s="10">
        <f>SUM(I$4:I14)-(L14*G14)</f>
        <v>-69503</v>
      </c>
      <c r="K14" s="10">
        <f>SUM(I$4:I14)/G14</f>
        <v>18681.545454545456</v>
      </c>
      <c r="L14" s="10">
        <f t="shared" si="1"/>
        <v>25000</v>
      </c>
    </row>
    <row r="15" spans="2:12" ht="20.100000000000001" customHeight="1" x14ac:dyDescent="0.2">
      <c r="B15" s="19">
        <v>41688</v>
      </c>
      <c r="C15" s="29">
        <v>61179</v>
      </c>
      <c r="D15" s="25">
        <f>(SUM(C$4:C15)-(F15*G15))</f>
        <v>-65483</v>
      </c>
      <c r="E15" s="24">
        <f>SUM(C$4:C15)/G15</f>
        <v>44543.083333333336</v>
      </c>
      <c r="F15" s="30">
        <f t="shared" si="0"/>
        <v>50000</v>
      </c>
      <c r="G15" s="20">
        <f t="shared" si="2"/>
        <v>12</v>
      </c>
      <c r="H15" s="19">
        <v>41688</v>
      </c>
      <c r="I15" s="12">
        <v>18225</v>
      </c>
      <c r="J15" s="10">
        <f>SUM(I$4:I15)-(L15*G15)</f>
        <v>-76278</v>
      </c>
      <c r="K15" s="10">
        <f>SUM(I$4:I15)/G15</f>
        <v>18643.5</v>
      </c>
      <c r="L15" s="10">
        <f t="shared" si="1"/>
        <v>25000</v>
      </c>
    </row>
    <row r="16" spans="2:12" ht="20.100000000000001" customHeight="1" x14ac:dyDescent="0.2">
      <c r="B16" s="19">
        <v>41689</v>
      </c>
      <c r="C16" s="29">
        <v>56565</v>
      </c>
      <c r="D16" s="25">
        <f>(SUM(C$4:C16)-(F16*G16))</f>
        <v>-58918</v>
      </c>
      <c r="E16" s="24">
        <f>SUM(C$4:C16)/G16</f>
        <v>45467.846153846156</v>
      </c>
      <c r="F16" s="30">
        <f t="shared" si="0"/>
        <v>50000</v>
      </c>
      <c r="G16" s="20">
        <f t="shared" si="2"/>
        <v>13</v>
      </c>
      <c r="H16" s="19">
        <v>41689</v>
      </c>
      <c r="I16" s="12">
        <v>25346</v>
      </c>
      <c r="J16" s="10">
        <f>SUM(I$4:I16)-(L16*G16)</f>
        <v>-75932</v>
      </c>
      <c r="K16" s="10">
        <f>SUM(I$4:I16)/G16</f>
        <v>19159.076923076922</v>
      </c>
      <c r="L16" s="10">
        <f t="shared" si="1"/>
        <v>25000</v>
      </c>
    </row>
    <row r="17" spans="1:12" ht="20.100000000000001" customHeight="1" x14ac:dyDescent="0.2">
      <c r="B17" s="19">
        <v>41690</v>
      </c>
      <c r="C17" s="29">
        <v>33505</v>
      </c>
      <c r="D17" s="25">
        <f>(SUM(C$4:C17)-(F17*G17))</f>
        <v>-75413</v>
      </c>
      <c r="E17" s="24">
        <f>SUM(C$4:C17)/G17</f>
        <v>44613.357142857145</v>
      </c>
      <c r="F17" s="30">
        <f t="shared" si="0"/>
        <v>50000</v>
      </c>
      <c r="G17" s="20">
        <f t="shared" si="2"/>
        <v>14</v>
      </c>
      <c r="H17" s="19">
        <v>41690</v>
      </c>
      <c r="I17" s="12">
        <v>54740</v>
      </c>
      <c r="J17" s="10">
        <f>SUM(I$4:I17)-(L17*G17)</f>
        <v>-46192</v>
      </c>
      <c r="K17" s="10">
        <f>SUM(I$4:I17)/G17</f>
        <v>21700.571428571428</v>
      </c>
      <c r="L17" s="10">
        <f t="shared" si="1"/>
        <v>25000</v>
      </c>
    </row>
    <row r="18" spans="1:12" ht="20.100000000000001" customHeight="1" x14ac:dyDescent="0.2">
      <c r="B18" s="19">
        <v>41691</v>
      </c>
      <c r="C18" s="29">
        <v>40743</v>
      </c>
      <c r="D18" s="25">
        <f>(SUM(C$4:C18)-(F18*G18))</f>
        <v>-84670</v>
      </c>
      <c r="E18" s="24">
        <f>SUM(C$4:C18)/G18</f>
        <v>44355.333333333336</v>
      </c>
      <c r="F18" s="30">
        <f t="shared" si="0"/>
        <v>50000</v>
      </c>
      <c r="G18" s="20">
        <f t="shared" si="2"/>
        <v>15</v>
      </c>
      <c r="H18" s="19">
        <v>41691</v>
      </c>
      <c r="I18" s="12">
        <v>27008</v>
      </c>
      <c r="J18" s="10">
        <f>SUM(I$4:I18)-(L18*G18)</f>
        <v>-44184</v>
      </c>
      <c r="K18" s="10">
        <f>SUM(I$4:I18)/G18</f>
        <v>22054.400000000001</v>
      </c>
      <c r="L18" s="10">
        <f t="shared" si="1"/>
        <v>25000</v>
      </c>
    </row>
    <row r="19" spans="1:12" ht="20.100000000000001" customHeight="1" x14ac:dyDescent="0.2">
      <c r="B19" s="19">
        <v>41694</v>
      </c>
      <c r="C19" s="29">
        <v>60704</v>
      </c>
      <c r="D19" s="25">
        <f>(SUM(C$4:C19)-(F19*G19))</f>
        <v>-73966</v>
      </c>
      <c r="E19" s="24">
        <f>SUM(C$4:C19)/G19</f>
        <v>45377.125</v>
      </c>
      <c r="F19" s="30">
        <f t="shared" si="0"/>
        <v>50000</v>
      </c>
      <c r="G19" s="20">
        <f t="shared" si="2"/>
        <v>16</v>
      </c>
      <c r="H19" s="19">
        <v>41694</v>
      </c>
      <c r="I19" s="12">
        <v>19649</v>
      </c>
      <c r="J19" s="10">
        <f>SUM(I$4:I19)-(L19*G19)</f>
        <v>-49535</v>
      </c>
      <c r="K19" s="10">
        <f>SUM(I$4:I19)/G19</f>
        <v>21904.0625</v>
      </c>
      <c r="L19" s="10">
        <f t="shared" si="1"/>
        <v>25000</v>
      </c>
    </row>
    <row r="20" spans="1:12" ht="20.100000000000001" customHeight="1" x14ac:dyDescent="0.2">
      <c r="B20" s="19">
        <v>41695</v>
      </c>
      <c r="C20" s="29">
        <v>49251</v>
      </c>
      <c r="D20" s="25">
        <f>(SUM(C$4:C20)-(F20*G20))</f>
        <v>-74715</v>
      </c>
      <c r="E20" s="24">
        <f>SUM(C$4:C20)/G20</f>
        <v>45605</v>
      </c>
      <c r="F20" s="30">
        <f t="shared" si="0"/>
        <v>50000</v>
      </c>
      <c r="G20" s="20">
        <v>17</v>
      </c>
      <c r="H20" s="19">
        <v>41695</v>
      </c>
      <c r="I20" s="12">
        <v>29123</v>
      </c>
      <c r="J20" s="10">
        <f>SUM(I$4:I20)-(L20*G20)</f>
        <v>-45412</v>
      </c>
      <c r="K20" s="10">
        <f>SUM(I$4:I20)/G20</f>
        <v>22328.705882352941</v>
      </c>
      <c r="L20" s="10">
        <f t="shared" si="1"/>
        <v>25000</v>
      </c>
    </row>
    <row r="21" spans="1:12" ht="20.100000000000001" customHeight="1" x14ac:dyDescent="0.2">
      <c r="B21" s="19">
        <v>41696</v>
      </c>
      <c r="C21" s="29">
        <v>30353</v>
      </c>
      <c r="D21" s="25">
        <f>(SUM(C$4:C21)-(F21*G21))</f>
        <v>-94362</v>
      </c>
      <c r="E21" s="24">
        <f>SUM(C$4:C21)/G21</f>
        <v>44757.666666666664</v>
      </c>
      <c r="F21" s="30">
        <f t="shared" si="0"/>
        <v>50000</v>
      </c>
      <c r="G21" s="20">
        <v>18</v>
      </c>
      <c r="H21" s="19">
        <v>41696</v>
      </c>
      <c r="I21" s="12">
        <v>30108</v>
      </c>
      <c r="J21" s="10">
        <f>SUM(I$4:I21)-(L21*G21)</f>
        <v>-40304</v>
      </c>
      <c r="K21" s="10">
        <f>SUM(I$4:I21)/G21</f>
        <v>22760.888888888891</v>
      </c>
      <c r="L21" s="10">
        <f t="shared" si="1"/>
        <v>25000</v>
      </c>
    </row>
    <row r="22" spans="1:12" ht="20.100000000000001" customHeight="1" x14ac:dyDescent="0.2">
      <c r="B22" s="19">
        <v>41697</v>
      </c>
      <c r="C22" s="29">
        <v>57252</v>
      </c>
      <c r="D22" s="25">
        <f>(SUM(C$4:C22)-(F22*G22))</f>
        <v>-87110</v>
      </c>
      <c r="E22" s="24">
        <f>SUM(C$4:C22)/G22</f>
        <v>45415.26315789474</v>
      </c>
      <c r="F22" s="30">
        <f t="shared" si="0"/>
        <v>50000</v>
      </c>
      <c r="G22" s="20">
        <v>19</v>
      </c>
      <c r="H22" s="19">
        <v>41697</v>
      </c>
      <c r="I22" s="12">
        <v>48890</v>
      </c>
      <c r="J22" s="10">
        <f>SUM(I$4:I22)-(L22*G22)</f>
        <v>-16414</v>
      </c>
      <c r="K22" s="10">
        <f>SUM(I$4:I22)/G22</f>
        <v>24136.105263157893</v>
      </c>
      <c r="L22" s="10">
        <f t="shared" si="1"/>
        <v>25000</v>
      </c>
    </row>
    <row r="23" spans="1:12" ht="20.100000000000001" customHeight="1" x14ac:dyDescent="0.2">
      <c r="B23" s="19">
        <v>41698</v>
      </c>
      <c r="C23" s="29">
        <v>9698</v>
      </c>
      <c r="D23" s="25">
        <f>(SUM(C$4:C23)-(F23*G23))</f>
        <v>-127412</v>
      </c>
      <c r="E23" s="24">
        <f>SUM(C$4:C23)/G23</f>
        <v>43629.4</v>
      </c>
      <c r="F23" s="30">
        <f t="shared" si="0"/>
        <v>50000</v>
      </c>
      <c r="G23" s="20">
        <v>20</v>
      </c>
      <c r="H23" s="19">
        <v>41698</v>
      </c>
      <c r="I23" s="12">
        <v>7884</v>
      </c>
      <c r="J23" s="10">
        <f>SUM(I$4:I23)-(L23*G23)</f>
        <v>-33530</v>
      </c>
      <c r="K23" s="10">
        <f>SUM(I$4:I23)/G23</f>
        <v>23323.5</v>
      </c>
      <c r="L23" s="10">
        <f t="shared" si="1"/>
        <v>25000</v>
      </c>
    </row>
    <row r="24" spans="1:12" ht="20.100000000000001" customHeight="1" x14ac:dyDescent="0.2">
      <c r="B24" s="19" t="s">
        <v>8</v>
      </c>
      <c r="C24" s="12">
        <f>SUM(C4:C23)</f>
        <v>872588</v>
      </c>
      <c r="D24" s="23"/>
      <c r="E24" s="23"/>
      <c r="F24" s="30">
        <v>1000000</v>
      </c>
      <c r="G24" s="18"/>
      <c r="H24" s="11" t="s">
        <v>8</v>
      </c>
      <c r="I24" s="12">
        <f>SUM(I4:I23)</f>
        <v>466470</v>
      </c>
      <c r="J24" s="8"/>
      <c r="K24" s="8"/>
      <c r="L24" s="10">
        <v>500000</v>
      </c>
    </row>
    <row r="25" spans="1:12" ht="19.5" customHeight="1" x14ac:dyDescent="0.2"/>
    <row r="26" spans="1:12" ht="19.5" customHeight="1" x14ac:dyDescent="0.2"/>
    <row r="28" spans="1:12" x14ac:dyDescent="0.2">
      <c r="A28" s="156"/>
      <c r="B28" s="156"/>
      <c r="C28" s="156"/>
      <c r="D28" s="156"/>
      <c r="I28" s="34"/>
      <c r="J28" s="32"/>
    </row>
    <row r="29" spans="1:12" x14ac:dyDescent="0.2">
      <c r="L29" s="33"/>
    </row>
  </sheetData>
  <mergeCells count="5">
    <mergeCell ref="B1:F1"/>
    <mergeCell ref="H1:L1"/>
    <mergeCell ref="B2:F2"/>
    <mergeCell ref="H2:L2"/>
    <mergeCell ref="A28:D28"/>
  </mergeCells>
  <conditionalFormatting sqref="D4:D23 J4:J24">
    <cfRule type="cellIs" dxfId="194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Plan66">
    <tabColor rgb="FF92D050"/>
  </sheetPr>
  <dimension ref="A1:L30"/>
  <sheetViews>
    <sheetView topLeftCell="A8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41701</v>
      </c>
      <c r="C4" s="24">
        <v>57528</v>
      </c>
      <c r="D4" s="25">
        <f>(SUM(C4:C4)-(F4*1))</f>
        <v>5147.0476190476184</v>
      </c>
      <c r="E4" s="24">
        <f>C4/1</f>
        <v>57528</v>
      </c>
      <c r="F4" s="30">
        <f t="shared" ref="F4:F24" si="0">$F$25/$G$24</f>
        <v>52380.952380952382</v>
      </c>
      <c r="G4" s="20">
        <v>1</v>
      </c>
      <c r="H4" s="19">
        <v>41701</v>
      </c>
      <c r="I4" s="12">
        <v>9486</v>
      </c>
      <c r="J4" s="10">
        <f>(SUM(I4:I4)-(L4*1))</f>
        <v>-19085.428571428572</v>
      </c>
      <c r="K4" s="10">
        <f>I4/1</f>
        <v>9486</v>
      </c>
      <c r="L4" s="10">
        <f t="shared" ref="L4:L24" si="1">$L$25/$G$24</f>
        <v>28571.428571428572</v>
      </c>
    </row>
    <row r="5" spans="2:12" ht="20.100000000000001" customHeight="1" x14ac:dyDescent="0.2">
      <c r="B5" s="19">
        <v>41702</v>
      </c>
      <c r="C5" s="26">
        <v>50995</v>
      </c>
      <c r="D5" s="25">
        <f>(SUM(C$4:C5)-(F5*G5))</f>
        <v>3761.0952380952367</v>
      </c>
      <c r="E5" s="24">
        <f>SUM(C$4:C5)/G5</f>
        <v>54261.5</v>
      </c>
      <c r="F5" s="30">
        <f t="shared" si="0"/>
        <v>52380.952380952382</v>
      </c>
      <c r="G5" s="20">
        <f>G4+1</f>
        <v>2</v>
      </c>
      <c r="H5" s="19">
        <v>41702</v>
      </c>
      <c r="I5" s="21">
        <v>42677</v>
      </c>
      <c r="J5" s="10">
        <f>SUM(I$4:I5)-(L5*G5)</f>
        <v>-4979.8571428571449</v>
      </c>
      <c r="K5" s="10">
        <f>SUM(I$4:I5)/G5</f>
        <v>26081.5</v>
      </c>
      <c r="L5" s="10">
        <f t="shared" si="1"/>
        <v>28571.428571428572</v>
      </c>
    </row>
    <row r="6" spans="2:12" ht="20.100000000000001" customHeight="1" x14ac:dyDescent="0.2">
      <c r="B6" s="19">
        <v>41703</v>
      </c>
      <c r="C6" s="24">
        <v>41610</v>
      </c>
      <c r="D6" s="25">
        <f>(SUM(C$4:C6)-(F6*G6))</f>
        <v>-7009.8571428571595</v>
      </c>
      <c r="E6" s="24">
        <f>SUM(C$4:C6)/G6</f>
        <v>50044.333333333336</v>
      </c>
      <c r="F6" s="30">
        <f t="shared" si="0"/>
        <v>52380.952380952382</v>
      </c>
      <c r="G6" s="20">
        <f t="shared" ref="G6:G19" si="2">G5+1</f>
        <v>3</v>
      </c>
      <c r="H6" s="19">
        <v>41703</v>
      </c>
      <c r="I6" s="21">
        <v>22798</v>
      </c>
      <c r="J6" s="10">
        <f>SUM(I$4:I6)-(L6*G6)</f>
        <v>-10753.28571428571</v>
      </c>
      <c r="K6" s="10">
        <f>SUM(I$4:I6)/G6</f>
        <v>24987</v>
      </c>
      <c r="L6" s="10">
        <f t="shared" si="1"/>
        <v>28571.428571428572</v>
      </c>
    </row>
    <row r="7" spans="2:12" ht="19.5" customHeight="1" x14ac:dyDescent="0.2">
      <c r="B7" s="19">
        <v>41704</v>
      </c>
      <c r="C7" s="24">
        <v>44946</v>
      </c>
      <c r="D7" s="25">
        <f>(SUM(C$4:C7)-(F7*G7))</f>
        <v>-14444.809523809527</v>
      </c>
      <c r="E7" s="24">
        <f>SUM(C$4:C7)/G7</f>
        <v>48769.75</v>
      </c>
      <c r="F7" s="30">
        <f t="shared" si="0"/>
        <v>52380.952380952382</v>
      </c>
      <c r="G7" s="20">
        <f t="shared" si="2"/>
        <v>4</v>
      </c>
      <c r="H7" s="19">
        <v>41704</v>
      </c>
      <c r="I7" s="21">
        <v>17022</v>
      </c>
      <c r="J7" s="10">
        <f>SUM(I$4:I7)-(L7*G7)</f>
        <v>-22302.71428571429</v>
      </c>
      <c r="K7" s="10">
        <f>SUM(I$4:I7)/G7</f>
        <v>22995.75</v>
      </c>
      <c r="L7" s="10">
        <f t="shared" si="1"/>
        <v>28571.428571428572</v>
      </c>
    </row>
    <row r="8" spans="2:12" ht="20.100000000000001" customHeight="1" x14ac:dyDescent="0.2">
      <c r="B8" s="19">
        <v>41705</v>
      </c>
      <c r="C8" s="27">
        <v>47026</v>
      </c>
      <c r="D8" s="25">
        <f>(SUM(C$4:C8)-(F8*G8))</f>
        <v>-19799.761904761894</v>
      </c>
      <c r="E8" s="24">
        <f>SUM(C$4:C8)/G8</f>
        <v>48421</v>
      </c>
      <c r="F8" s="30">
        <f t="shared" si="0"/>
        <v>52380.952380952382</v>
      </c>
      <c r="G8" s="20">
        <f t="shared" si="2"/>
        <v>5</v>
      </c>
      <c r="H8" s="19">
        <v>41705</v>
      </c>
      <c r="I8" s="22">
        <v>15823</v>
      </c>
      <c r="J8" s="10">
        <f>SUM(I$4:I8)-(L8*G8)</f>
        <v>-35051.14285714287</v>
      </c>
      <c r="K8" s="10">
        <f>SUM(I$4:I8)/G8</f>
        <v>21561.200000000001</v>
      </c>
      <c r="L8" s="10">
        <f t="shared" si="1"/>
        <v>28571.428571428572</v>
      </c>
    </row>
    <row r="9" spans="2:12" ht="20.100000000000001" customHeight="1" x14ac:dyDescent="0.2">
      <c r="B9" s="19">
        <v>41708</v>
      </c>
      <c r="C9" s="27">
        <v>36491</v>
      </c>
      <c r="D9" s="25">
        <f>(SUM(C$4:C9)-(F9*G9))</f>
        <v>-35689.714285714319</v>
      </c>
      <c r="E9" s="24">
        <f>SUM(C$4:C9)/G9</f>
        <v>46432.666666666664</v>
      </c>
      <c r="F9" s="30">
        <f t="shared" si="0"/>
        <v>52380.952380952382</v>
      </c>
      <c r="G9" s="20">
        <f t="shared" si="2"/>
        <v>6</v>
      </c>
      <c r="H9" s="19">
        <v>41708</v>
      </c>
      <c r="I9" s="22">
        <v>13323</v>
      </c>
      <c r="J9" s="10">
        <f>SUM(I$4:I9)-(L9*G9)</f>
        <v>-50299.57142857142</v>
      </c>
      <c r="K9" s="10">
        <f>SUM(I$4:I9)/G9</f>
        <v>20188.166666666668</v>
      </c>
      <c r="L9" s="10">
        <f t="shared" si="1"/>
        <v>28571.428571428572</v>
      </c>
    </row>
    <row r="10" spans="2:12" ht="20.100000000000001" customHeight="1" x14ac:dyDescent="0.2">
      <c r="B10" s="19">
        <v>41709</v>
      </c>
      <c r="C10" s="24">
        <v>41234</v>
      </c>
      <c r="D10" s="25">
        <f>(SUM(C$4:C10)-(F10*G10))</f>
        <v>-46836.666666666686</v>
      </c>
      <c r="E10" s="24">
        <f>SUM(C$4:C10)/G10</f>
        <v>45690</v>
      </c>
      <c r="F10" s="30">
        <f t="shared" si="0"/>
        <v>52380.952380952382</v>
      </c>
      <c r="G10" s="20">
        <f t="shared" si="2"/>
        <v>7</v>
      </c>
      <c r="H10" s="19">
        <v>41709</v>
      </c>
      <c r="I10" s="21">
        <v>7100</v>
      </c>
      <c r="J10" s="10">
        <f>SUM(I$4:I10)-(L10*G10)</f>
        <v>-71771</v>
      </c>
      <c r="K10" s="10">
        <f>SUM(I$4:I10)/G10</f>
        <v>18318.428571428572</v>
      </c>
      <c r="L10" s="10">
        <f t="shared" si="1"/>
        <v>28571.428571428572</v>
      </c>
    </row>
    <row r="11" spans="2:12" ht="20.100000000000001" customHeight="1" x14ac:dyDescent="0.2">
      <c r="B11" s="19">
        <v>41710</v>
      </c>
      <c r="C11" s="24">
        <v>34360</v>
      </c>
      <c r="D11" s="25">
        <f>(SUM(C$4:C11)-(F11*G11))</f>
        <v>-64857.619047619053</v>
      </c>
      <c r="E11" s="24">
        <f>SUM(C$4:C11)/G11</f>
        <v>44273.75</v>
      </c>
      <c r="F11" s="30">
        <f t="shared" si="0"/>
        <v>52380.952380952382</v>
      </c>
      <c r="G11" s="20">
        <f t="shared" si="2"/>
        <v>8</v>
      </c>
      <c r="H11" s="19">
        <v>41710</v>
      </c>
      <c r="I11" s="21">
        <v>20447</v>
      </c>
      <c r="J11" s="10">
        <f>SUM(I$4:I11)-(L11*G11)</f>
        <v>-79895.42857142858</v>
      </c>
      <c r="K11" s="10">
        <f>SUM(I$4:I11)/G11</f>
        <v>18584.5</v>
      </c>
      <c r="L11" s="10">
        <f t="shared" si="1"/>
        <v>28571.428571428572</v>
      </c>
    </row>
    <row r="12" spans="2:12" ht="20.100000000000001" customHeight="1" x14ac:dyDescent="0.2">
      <c r="B12" s="19">
        <v>41711</v>
      </c>
      <c r="C12" s="29">
        <v>25497</v>
      </c>
      <c r="D12" s="25">
        <f>(SUM(C$4:C12)-(F12*G12))</f>
        <v>-91741.57142857142</v>
      </c>
      <c r="E12" s="24">
        <f>SUM(C$4:C12)/G12</f>
        <v>42187.444444444445</v>
      </c>
      <c r="F12" s="30">
        <f t="shared" si="0"/>
        <v>52380.952380952382</v>
      </c>
      <c r="G12" s="20">
        <f t="shared" si="2"/>
        <v>9</v>
      </c>
      <c r="H12" s="19">
        <v>41711</v>
      </c>
      <c r="I12" s="13">
        <v>24948</v>
      </c>
      <c r="J12" s="10">
        <f>SUM(I$4:I12)-(L12*G12)</f>
        <v>-83518.857142857159</v>
      </c>
      <c r="K12" s="10">
        <f>SUM(I$4:I12)/G12</f>
        <v>19291.555555555555</v>
      </c>
      <c r="L12" s="10">
        <f t="shared" si="1"/>
        <v>28571.428571428572</v>
      </c>
    </row>
    <row r="13" spans="2:12" ht="20.100000000000001" customHeight="1" x14ac:dyDescent="0.2">
      <c r="B13" s="19">
        <v>41712</v>
      </c>
      <c r="C13" s="29">
        <v>60388</v>
      </c>
      <c r="D13" s="25">
        <f>(SUM(C$4:C13)-(F13*G13))</f>
        <v>-83734.523809523787</v>
      </c>
      <c r="E13" s="24">
        <f>SUM(C$4:C13)/G13</f>
        <v>44007.5</v>
      </c>
      <c r="F13" s="30">
        <f t="shared" si="0"/>
        <v>52380.952380952382</v>
      </c>
      <c r="G13" s="20">
        <f t="shared" si="2"/>
        <v>10</v>
      </c>
      <c r="H13" s="19">
        <v>41712</v>
      </c>
      <c r="I13" s="13">
        <v>20704</v>
      </c>
      <c r="J13" s="10">
        <f>SUM(I$4:I13)-(L13*G13)</f>
        <v>-91386.285714285739</v>
      </c>
      <c r="K13" s="10">
        <f>SUM(I$4:I13)/G13</f>
        <v>19432.8</v>
      </c>
      <c r="L13" s="10">
        <f t="shared" si="1"/>
        <v>28571.428571428572</v>
      </c>
    </row>
    <row r="14" spans="2:12" ht="20.100000000000001" customHeight="1" x14ac:dyDescent="0.2">
      <c r="B14" s="19">
        <v>41715</v>
      </c>
      <c r="C14" s="29">
        <v>62301</v>
      </c>
      <c r="D14" s="25">
        <f>(SUM(C$4:C14)-(F14*G14))</f>
        <v>-73814.476190476213</v>
      </c>
      <c r="E14" s="24">
        <f>SUM(C$4:C14)/G14</f>
        <v>45670.545454545456</v>
      </c>
      <c r="F14" s="30">
        <f t="shared" si="0"/>
        <v>52380.952380952382</v>
      </c>
      <c r="G14" s="20">
        <f t="shared" si="2"/>
        <v>11</v>
      </c>
      <c r="H14" s="19">
        <v>41715</v>
      </c>
      <c r="I14" s="12">
        <v>33769</v>
      </c>
      <c r="J14" s="10">
        <f>SUM(I$4:I14)-(L14*G14)</f>
        <v>-86188.714285714319</v>
      </c>
      <c r="K14" s="10">
        <f>SUM(I$4:I14)/G14</f>
        <v>20736.090909090908</v>
      </c>
      <c r="L14" s="10">
        <f t="shared" si="1"/>
        <v>28571.428571428572</v>
      </c>
    </row>
    <row r="15" spans="2:12" ht="20.100000000000001" customHeight="1" x14ac:dyDescent="0.2">
      <c r="B15" s="19">
        <v>41716</v>
      </c>
      <c r="C15" s="29">
        <v>31830</v>
      </c>
      <c r="D15" s="25">
        <f>(SUM(C$4:C15)-(F15*G15))</f>
        <v>-94365.428571428638</v>
      </c>
      <c r="E15" s="24">
        <f>SUM(C$4:C15)/G15</f>
        <v>44517.166666666664</v>
      </c>
      <c r="F15" s="30">
        <f t="shared" si="0"/>
        <v>52380.952380952382</v>
      </c>
      <c r="G15" s="20">
        <f t="shared" si="2"/>
        <v>12</v>
      </c>
      <c r="H15" s="19">
        <v>41716</v>
      </c>
      <c r="I15" s="12">
        <v>22273</v>
      </c>
      <c r="J15" s="10">
        <f>SUM(I$4:I15)-(L15*G15)</f>
        <v>-92487.142857142841</v>
      </c>
      <c r="K15" s="10">
        <f>SUM(I$4:I15)/G15</f>
        <v>20864.166666666668</v>
      </c>
      <c r="L15" s="10">
        <f t="shared" si="1"/>
        <v>28571.428571428572</v>
      </c>
    </row>
    <row r="16" spans="2:12" ht="20.100000000000001" customHeight="1" x14ac:dyDescent="0.2">
      <c r="B16" s="19">
        <v>41717</v>
      </c>
      <c r="C16" s="29">
        <v>17584</v>
      </c>
      <c r="D16" s="25">
        <f>(SUM(C$4:C16)-(F16*G16))</f>
        <v>-129162.38095238095</v>
      </c>
      <c r="E16" s="24">
        <f>SUM(C$4:C16)/G16</f>
        <v>42445.384615384617</v>
      </c>
      <c r="F16" s="30">
        <f t="shared" si="0"/>
        <v>52380.952380952382</v>
      </c>
      <c r="G16" s="20">
        <f t="shared" si="2"/>
        <v>13</v>
      </c>
      <c r="H16" s="19">
        <v>41717</v>
      </c>
      <c r="I16" s="12">
        <v>20528</v>
      </c>
      <c r="J16" s="10">
        <f>SUM(I$4:I16)-(L16*G16)</f>
        <v>-100530.57142857142</v>
      </c>
      <c r="K16" s="10">
        <f>SUM(I$4:I16)/G16</f>
        <v>20838.307692307691</v>
      </c>
      <c r="L16" s="10">
        <f t="shared" si="1"/>
        <v>28571.428571428572</v>
      </c>
    </row>
    <row r="17" spans="1:12" ht="20.100000000000001" customHeight="1" x14ac:dyDescent="0.2">
      <c r="B17" s="19">
        <v>41718</v>
      </c>
      <c r="C17" s="29">
        <v>51419</v>
      </c>
      <c r="D17" s="25">
        <f>(SUM(C$4:C17)-(F17*G17))</f>
        <v>-130124.33333333337</v>
      </c>
      <c r="E17" s="24">
        <f>SUM(C$4:C17)/G17</f>
        <v>43086.357142857145</v>
      </c>
      <c r="F17" s="30">
        <f t="shared" si="0"/>
        <v>52380.952380952382</v>
      </c>
      <c r="G17" s="20">
        <f t="shared" si="2"/>
        <v>14</v>
      </c>
      <c r="H17" s="19">
        <v>41718</v>
      </c>
      <c r="I17" s="12">
        <v>45940</v>
      </c>
      <c r="J17" s="10">
        <f>SUM(I$4:I17)-(L17*G17)</f>
        <v>-83162</v>
      </c>
      <c r="K17" s="10">
        <f>SUM(I$4:I17)/G17</f>
        <v>22631.285714285714</v>
      </c>
      <c r="L17" s="10">
        <f t="shared" si="1"/>
        <v>28571.428571428572</v>
      </c>
    </row>
    <row r="18" spans="1:12" ht="20.100000000000001" customHeight="1" x14ac:dyDescent="0.2">
      <c r="B18" s="19">
        <v>41719</v>
      </c>
      <c r="C18" s="29">
        <v>48285</v>
      </c>
      <c r="D18" s="25">
        <f>(SUM(C$4:C18)-(F18*G18))</f>
        <v>-134220.28571428568</v>
      </c>
      <c r="E18" s="24">
        <f>SUM(C$4:C18)/G18</f>
        <v>43432.933333333334</v>
      </c>
      <c r="F18" s="30">
        <f t="shared" si="0"/>
        <v>52380.952380952382</v>
      </c>
      <c r="G18" s="20">
        <f t="shared" si="2"/>
        <v>15</v>
      </c>
      <c r="H18" s="19">
        <v>41719</v>
      </c>
      <c r="I18" s="12">
        <v>18845</v>
      </c>
      <c r="J18" s="10">
        <f>SUM(I$4:I18)-(L18*G18)</f>
        <v>-92888.42857142858</v>
      </c>
      <c r="K18" s="10">
        <f>SUM(I$4:I18)/G18</f>
        <v>22378.866666666665</v>
      </c>
      <c r="L18" s="10">
        <f t="shared" si="1"/>
        <v>28571.428571428572</v>
      </c>
    </row>
    <row r="19" spans="1:12" ht="20.100000000000001" customHeight="1" x14ac:dyDescent="0.2">
      <c r="B19" s="19">
        <v>41722</v>
      </c>
      <c r="C19" s="29">
        <v>27206</v>
      </c>
      <c r="D19" s="25">
        <f>(SUM(C$4:C19)-(F19*G19))</f>
        <v>-159395.23809523811</v>
      </c>
      <c r="E19" s="24">
        <f>SUM(C$4:C19)/G19</f>
        <v>42418.75</v>
      </c>
      <c r="F19" s="30">
        <f t="shared" si="0"/>
        <v>52380.952380952382</v>
      </c>
      <c r="G19" s="20">
        <f t="shared" si="2"/>
        <v>16</v>
      </c>
      <c r="H19" s="19">
        <v>41722</v>
      </c>
      <c r="I19" s="12">
        <v>37305</v>
      </c>
      <c r="J19" s="10">
        <f>SUM(I$4:I19)-(L19*G19)</f>
        <v>-84154.857142857159</v>
      </c>
      <c r="K19" s="10">
        <f>SUM(I$4:I19)/G19</f>
        <v>23311.75</v>
      </c>
      <c r="L19" s="10">
        <f t="shared" si="1"/>
        <v>28571.428571428572</v>
      </c>
    </row>
    <row r="20" spans="1:12" ht="20.100000000000001" customHeight="1" x14ac:dyDescent="0.2">
      <c r="B20" s="19">
        <v>41723</v>
      </c>
      <c r="C20" s="29">
        <v>15546</v>
      </c>
      <c r="D20" s="25">
        <f>(SUM(C$4:C20)-(F20*G20))</f>
        <v>-196230.19047619053</v>
      </c>
      <c r="E20" s="24">
        <f>SUM(C$4:C20)/G20</f>
        <v>40838</v>
      </c>
      <c r="F20" s="30">
        <f t="shared" si="0"/>
        <v>52380.952380952382</v>
      </c>
      <c r="G20" s="20">
        <v>17</v>
      </c>
      <c r="H20" s="19">
        <v>41723</v>
      </c>
      <c r="I20" s="12">
        <v>29282</v>
      </c>
      <c r="J20" s="10">
        <f>SUM(I$4:I20)-(L20*G20)</f>
        <v>-83444.285714285739</v>
      </c>
      <c r="K20" s="10">
        <f>SUM(I$4:I20)/G20</f>
        <v>23662.941176470587</v>
      </c>
      <c r="L20" s="10">
        <f t="shared" si="1"/>
        <v>28571.428571428572</v>
      </c>
    </row>
    <row r="21" spans="1:12" ht="20.100000000000001" customHeight="1" x14ac:dyDescent="0.2">
      <c r="B21" s="19">
        <v>41724</v>
      </c>
      <c r="C21" s="29">
        <v>59608</v>
      </c>
      <c r="D21" s="25">
        <f>(SUM(C$4:C21)-(F21*G21))</f>
        <v>-189003.14285714284</v>
      </c>
      <c r="E21" s="24">
        <f>SUM(C$4:C21)/G21</f>
        <v>41880.777777777781</v>
      </c>
      <c r="F21" s="30">
        <f t="shared" si="0"/>
        <v>52380.952380952382</v>
      </c>
      <c r="G21" s="20">
        <v>18</v>
      </c>
      <c r="H21" s="19">
        <v>41724</v>
      </c>
      <c r="I21" s="12">
        <v>28428</v>
      </c>
      <c r="J21" s="10">
        <f>SUM(I$4:I21)-(L21*G21)</f>
        <v>-83587.714285714319</v>
      </c>
      <c r="K21" s="10">
        <f>SUM(I$4:I21)/G21</f>
        <v>23927.666666666668</v>
      </c>
      <c r="L21" s="10">
        <f t="shared" si="1"/>
        <v>28571.428571428572</v>
      </c>
    </row>
    <row r="22" spans="1:12" ht="20.100000000000001" customHeight="1" x14ac:dyDescent="0.2">
      <c r="B22" s="19">
        <v>41725</v>
      </c>
      <c r="C22" s="29">
        <v>46974</v>
      </c>
      <c r="D22" s="25">
        <f>(SUM(C$4:C22)-(F22*G22))</f>
        <v>-194410.09523809527</v>
      </c>
      <c r="E22" s="24">
        <f>SUM(C$4:C22)/G22</f>
        <v>42148.84210526316</v>
      </c>
      <c r="F22" s="30">
        <f t="shared" si="0"/>
        <v>52380.952380952382</v>
      </c>
      <c r="G22" s="20">
        <v>19</v>
      </c>
      <c r="H22" s="19">
        <v>41725</v>
      </c>
      <c r="I22" s="12">
        <v>55119</v>
      </c>
      <c r="J22" s="10">
        <f>SUM(I$4:I22)-(L22*G22)</f>
        <v>-57040.142857142841</v>
      </c>
      <c r="K22" s="10">
        <f>SUM(I$4:I22)/G22</f>
        <v>25569.315789473683</v>
      </c>
      <c r="L22" s="10">
        <f t="shared" si="1"/>
        <v>28571.428571428572</v>
      </c>
    </row>
    <row r="23" spans="1:12" ht="20.100000000000001" customHeight="1" x14ac:dyDescent="0.2">
      <c r="B23" s="19">
        <v>41726</v>
      </c>
      <c r="C23" s="29">
        <v>37684</v>
      </c>
      <c r="D23" s="25">
        <f>(SUM(C$4:C23)-(F23*G23))</f>
        <v>-209107.04761904757</v>
      </c>
      <c r="E23" s="24">
        <f>SUM(C$4:C23)/G23</f>
        <v>41925.599999999999</v>
      </c>
      <c r="F23" s="30">
        <f t="shared" si="0"/>
        <v>52380.952380952382</v>
      </c>
      <c r="G23" s="20">
        <v>20</v>
      </c>
      <c r="H23" s="19">
        <v>41726</v>
      </c>
      <c r="I23" s="12">
        <v>12136</v>
      </c>
      <c r="J23" s="10">
        <f>SUM(I$4:I23)-(L23*G23)</f>
        <v>-73475.571428571478</v>
      </c>
      <c r="K23" s="10">
        <f>SUM(I$4:I23)/G23</f>
        <v>24897.65</v>
      </c>
      <c r="L23" s="10">
        <f t="shared" si="1"/>
        <v>28571.428571428572</v>
      </c>
    </row>
    <row r="24" spans="1:12" ht="20.100000000000001" customHeight="1" x14ac:dyDescent="0.2">
      <c r="B24" s="19">
        <v>41729</v>
      </c>
      <c r="C24" s="29">
        <v>23211</v>
      </c>
      <c r="D24" s="25">
        <f>(SUM(C$4:C24)-(F24*G24))</f>
        <v>-238277</v>
      </c>
      <c r="E24" s="24">
        <f>SUM(C$4:C24)/G24</f>
        <v>41034.428571428572</v>
      </c>
      <c r="F24" s="30">
        <f t="shared" si="0"/>
        <v>52380.952380952382</v>
      </c>
      <c r="G24" s="20">
        <v>21</v>
      </c>
      <c r="H24" s="19">
        <v>41729</v>
      </c>
      <c r="I24" s="12">
        <v>11016</v>
      </c>
      <c r="J24" s="10">
        <f>SUM(I$4:I24)-(L24*G24)</f>
        <v>-91031</v>
      </c>
      <c r="K24" s="10">
        <f>SUM(I$4:I24)/G24</f>
        <v>24236.619047619046</v>
      </c>
      <c r="L24" s="10">
        <f t="shared" si="1"/>
        <v>28571.428571428572</v>
      </c>
    </row>
    <row r="25" spans="1:12" ht="20.100000000000001" customHeight="1" x14ac:dyDescent="0.2">
      <c r="B25" s="19" t="s">
        <v>8</v>
      </c>
      <c r="C25" s="12">
        <f>SUM(C4:C24)</f>
        <v>861723</v>
      </c>
      <c r="D25" s="23"/>
      <c r="E25" s="23"/>
      <c r="F25" s="30">
        <v>1100000</v>
      </c>
      <c r="G25" s="18"/>
      <c r="H25" s="11" t="s">
        <v>8</v>
      </c>
      <c r="I25" s="12">
        <f>SUM(I4:I24)</f>
        <v>508969</v>
      </c>
      <c r="J25" s="8"/>
      <c r="K25" s="8"/>
      <c r="L25" s="10">
        <v>600000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1"/>
    <mergeCell ref="H1:L1"/>
    <mergeCell ref="B2:F2"/>
    <mergeCell ref="H2:L2"/>
    <mergeCell ref="A29:D29"/>
  </mergeCells>
  <conditionalFormatting sqref="D4:D24 J4:J25">
    <cfRule type="cellIs" dxfId="193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Plan70">
    <tabColor rgb="FF92D050"/>
  </sheetPr>
  <dimension ref="A1:L30"/>
  <sheetViews>
    <sheetView topLeftCell="A11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41761</v>
      </c>
      <c r="C4" s="24">
        <v>49886</v>
      </c>
      <c r="D4" s="25">
        <f>(SUM(C4:C4)-(F4*1))</f>
        <v>-2494.9523809523816</v>
      </c>
      <c r="E4" s="24">
        <f>C4/1</f>
        <v>49886</v>
      </c>
      <c r="F4" s="30">
        <f t="shared" ref="F4:F24" si="0">$F$25/$G$24</f>
        <v>52380.952380952382</v>
      </c>
      <c r="G4" s="20">
        <v>1</v>
      </c>
      <c r="H4" s="19">
        <v>41761</v>
      </c>
      <c r="I4" s="12">
        <v>20846</v>
      </c>
      <c r="J4" s="10">
        <f>(SUM(I4:I4)-(L4*1))</f>
        <v>-7725.4285714285725</v>
      </c>
      <c r="K4" s="10">
        <f>I4/1</f>
        <v>20846</v>
      </c>
      <c r="L4" s="10">
        <f t="shared" ref="L4:L24" si="1">$L$25/$G$24</f>
        <v>28571.428571428572</v>
      </c>
    </row>
    <row r="5" spans="2:12" ht="20.100000000000001" customHeight="1" x14ac:dyDescent="0.2">
      <c r="B5" s="19">
        <v>41764</v>
      </c>
      <c r="C5" s="26">
        <v>55937</v>
      </c>
      <c r="D5" s="25">
        <f>(SUM(C$4:C5)-(F5*G5))</f>
        <v>1061.0952380952367</v>
      </c>
      <c r="E5" s="24">
        <f>SUM(C$4:C5)/G5</f>
        <v>52911.5</v>
      </c>
      <c r="F5" s="30">
        <f t="shared" si="0"/>
        <v>52380.952380952382</v>
      </c>
      <c r="G5" s="20">
        <f>G4+1</f>
        <v>2</v>
      </c>
      <c r="H5" s="19">
        <v>41764</v>
      </c>
      <c r="I5" s="21">
        <v>9650</v>
      </c>
      <c r="J5" s="10">
        <f>SUM(I$4:I5)-(L5*G5)</f>
        <v>-26646.857142857145</v>
      </c>
      <c r="K5" s="10">
        <f>SUM(I$4:I5)/G5</f>
        <v>15248</v>
      </c>
      <c r="L5" s="10">
        <f t="shared" si="1"/>
        <v>28571.428571428572</v>
      </c>
    </row>
    <row r="6" spans="2:12" ht="20.100000000000001" customHeight="1" x14ac:dyDescent="0.2">
      <c r="B6" s="19">
        <v>41765</v>
      </c>
      <c r="C6" s="24">
        <v>44140</v>
      </c>
      <c r="D6" s="25">
        <f>(SUM(C$4:C6)-(F6*G6))</f>
        <v>-7179.8571428571595</v>
      </c>
      <c r="E6" s="24">
        <f>SUM(C$4:C6)/G6</f>
        <v>49987.666666666664</v>
      </c>
      <c r="F6" s="30">
        <f t="shared" si="0"/>
        <v>52380.952380952382</v>
      </c>
      <c r="G6" s="20">
        <f t="shared" ref="G6:G21" si="2">G5+1</f>
        <v>3</v>
      </c>
      <c r="H6" s="19">
        <v>41765</v>
      </c>
      <c r="I6" s="21">
        <v>16747</v>
      </c>
      <c r="J6" s="10">
        <f>SUM(I$4:I6)-(L6*G6)</f>
        <v>-38471.28571428571</v>
      </c>
      <c r="K6" s="10">
        <f>SUM(I$4:I6)/G6</f>
        <v>15747.666666666666</v>
      </c>
      <c r="L6" s="10">
        <f t="shared" si="1"/>
        <v>28571.428571428572</v>
      </c>
    </row>
    <row r="7" spans="2:12" ht="19.5" customHeight="1" x14ac:dyDescent="0.2">
      <c r="B7" s="19">
        <v>41766</v>
      </c>
      <c r="C7" s="24">
        <v>27469</v>
      </c>
      <c r="D7" s="25">
        <f>(SUM(C$4:C7)-(F7*G7))</f>
        <v>-32091.809523809527</v>
      </c>
      <c r="E7" s="24">
        <f>SUM(C$4:C7)/G7</f>
        <v>44358</v>
      </c>
      <c r="F7" s="30">
        <f t="shared" si="0"/>
        <v>52380.952380952382</v>
      </c>
      <c r="G7" s="20">
        <f t="shared" si="2"/>
        <v>4</v>
      </c>
      <c r="H7" s="19">
        <v>41766</v>
      </c>
      <c r="I7" s="21">
        <v>18821</v>
      </c>
      <c r="J7" s="10">
        <f>SUM(I$4:I7)-(L7*G7)</f>
        <v>-48221.71428571429</v>
      </c>
      <c r="K7" s="10">
        <f>SUM(I$4:I7)/G7</f>
        <v>16516</v>
      </c>
      <c r="L7" s="10">
        <f t="shared" si="1"/>
        <v>28571.428571428572</v>
      </c>
    </row>
    <row r="8" spans="2:12" ht="20.100000000000001" customHeight="1" x14ac:dyDescent="0.2">
      <c r="B8" s="19">
        <v>41767</v>
      </c>
      <c r="C8" s="27">
        <v>42142</v>
      </c>
      <c r="D8" s="25">
        <f>(SUM(C$4:C8)-(F8*G8))</f>
        <v>-42330.761904761894</v>
      </c>
      <c r="E8" s="24">
        <f>SUM(C$4:C8)/G8</f>
        <v>43914.8</v>
      </c>
      <c r="F8" s="30">
        <f t="shared" si="0"/>
        <v>52380.952380952382</v>
      </c>
      <c r="G8" s="20">
        <f t="shared" si="2"/>
        <v>5</v>
      </c>
      <c r="H8" s="19">
        <v>41767</v>
      </c>
      <c r="I8" s="22">
        <v>20422</v>
      </c>
      <c r="J8" s="10">
        <f>SUM(I$4:I8)-(L8*G8)</f>
        <v>-56371.14285714287</v>
      </c>
      <c r="K8" s="10">
        <f>SUM(I$4:I8)/G8</f>
        <v>17297.2</v>
      </c>
      <c r="L8" s="10">
        <f t="shared" si="1"/>
        <v>28571.428571428572</v>
      </c>
    </row>
    <row r="9" spans="2:12" ht="20.100000000000001" customHeight="1" x14ac:dyDescent="0.2">
      <c r="B9" s="19">
        <v>41768</v>
      </c>
      <c r="C9" s="27">
        <v>67003</v>
      </c>
      <c r="D9" s="25">
        <f>(SUM(C$4:C9)-(F9*G9))</f>
        <v>-27708.714285714319</v>
      </c>
      <c r="E9" s="24">
        <f>SUM(C$4:C9)/G9</f>
        <v>47762.833333333336</v>
      </c>
      <c r="F9" s="30">
        <f t="shared" si="0"/>
        <v>52380.952380952382</v>
      </c>
      <c r="G9" s="20">
        <f t="shared" si="2"/>
        <v>6</v>
      </c>
      <c r="H9" s="19">
        <v>41768</v>
      </c>
      <c r="I9" s="22">
        <v>21934</v>
      </c>
      <c r="J9" s="10">
        <f>SUM(I$4:I9)-(L9*G9)</f>
        <v>-63008.57142857142</v>
      </c>
      <c r="K9" s="10">
        <f>SUM(I$4:I9)/G9</f>
        <v>18070</v>
      </c>
      <c r="L9" s="10">
        <f t="shared" si="1"/>
        <v>28571.428571428572</v>
      </c>
    </row>
    <row r="10" spans="2:12" ht="20.100000000000001" customHeight="1" x14ac:dyDescent="0.2">
      <c r="B10" s="19">
        <v>41771</v>
      </c>
      <c r="C10" s="24">
        <v>36511</v>
      </c>
      <c r="D10" s="25">
        <f>(SUM(C$4:C10)-(F10*G10))</f>
        <v>-43578.666666666686</v>
      </c>
      <c r="E10" s="24">
        <f>SUM(C$4:C10)/G10</f>
        <v>46155.428571428572</v>
      </c>
      <c r="F10" s="30">
        <f t="shared" si="0"/>
        <v>52380.952380952382</v>
      </c>
      <c r="G10" s="20">
        <f t="shared" si="2"/>
        <v>7</v>
      </c>
      <c r="H10" s="19">
        <v>41771</v>
      </c>
      <c r="I10" s="21">
        <v>15576</v>
      </c>
      <c r="J10" s="10">
        <f>SUM(I$4:I10)-(L10*G10)</f>
        <v>-76004</v>
      </c>
      <c r="K10" s="10">
        <f>SUM(I$4:I10)/G10</f>
        <v>17713.714285714286</v>
      </c>
      <c r="L10" s="10">
        <f t="shared" si="1"/>
        <v>28571.428571428572</v>
      </c>
    </row>
    <row r="11" spans="2:12" ht="20.100000000000001" customHeight="1" x14ac:dyDescent="0.2">
      <c r="B11" s="19">
        <v>41772</v>
      </c>
      <c r="C11" s="24">
        <v>55769</v>
      </c>
      <c r="D11" s="25">
        <f>(SUM(C$4:C11)-(F11*G11))</f>
        <v>-40190.619047619053</v>
      </c>
      <c r="E11" s="24">
        <f>SUM(C$4:C11)/G11</f>
        <v>47357.125</v>
      </c>
      <c r="F11" s="30">
        <f t="shared" si="0"/>
        <v>52380.952380952382</v>
      </c>
      <c r="G11" s="20">
        <f t="shared" si="2"/>
        <v>8</v>
      </c>
      <c r="H11" s="19">
        <v>41772</v>
      </c>
      <c r="I11" s="21">
        <v>6469</v>
      </c>
      <c r="J11" s="10">
        <f>SUM(I$4:I11)-(L11*G11)</f>
        <v>-98106.42857142858</v>
      </c>
      <c r="K11" s="10">
        <f>SUM(I$4:I11)/G11</f>
        <v>16308.125</v>
      </c>
      <c r="L11" s="10">
        <f t="shared" si="1"/>
        <v>28571.428571428572</v>
      </c>
    </row>
    <row r="12" spans="2:12" ht="20.100000000000001" customHeight="1" x14ac:dyDescent="0.2">
      <c r="B12" s="19">
        <v>41773</v>
      </c>
      <c r="C12" s="29">
        <v>77467</v>
      </c>
      <c r="D12" s="25">
        <f>(SUM(C$4:C12)-(F12*G12))</f>
        <v>-15104.57142857142</v>
      </c>
      <c r="E12" s="24">
        <f>SUM(C$4:C12)/G12</f>
        <v>50702.666666666664</v>
      </c>
      <c r="F12" s="30">
        <f t="shared" si="0"/>
        <v>52380.952380952382</v>
      </c>
      <c r="G12" s="20">
        <f t="shared" si="2"/>
        <v>9</v>
      </c>
      <c r="H12" s="19">
        <v>41773</v>
      </c>
      <c r="I12" s="13">
        <v>9461</v>
      </c>
      <c r="J12" s="10">
        <f>SUM(I$4:I12)-(L12*G12)</f>
        <v>-117216.85714285716</v>
      </c>
      <c r="K12" s="10">
        <f>SUM(I$4:I12)/G12</f>
        <v>15547.333333333334</v>
      </c>
      <c r="L12" s="10">
        <f t="shared" si="1"/>
        <v>28571.428571428572</v>
      </c>
    </row>
    <row r="13" spans="2:12" ht="20.100000000000001" customHeight="1" x14ac:dyDescent="0.2">
      <c r="B13" s="19">
        <v>41774</v>
      </c>
      <c r="C13" s="29">
        <v>51870</v>
      </c>
      <c r="D13" s="25">
        <f>(SUM(C$4:C13)-(F13*G13))</f>
        <v>-15615.523809523787</v>
      </c>
      <c r="E13" s="24">
        <f>SUM(C$4:C13)/G13</f>
        <v>50819.4</v>
      </c>
      <c r="F13" s="30">
        <f t="shared" si="0"/>
        <v>52380.952380952382</v>
      </c>
      <c r="G13" s="20">
        <f t="shared" si="2"/>
        <v>10</v>
      </c>
      <c r="H13" s="19">
        <v>41774</v>
      </c>
      <c r="I13" s="13">
        <v>14695</v>
      </c>
      <c r="J13" s="10">
        <f>SUM(I$4:I13)-(L13*G13)</f>
        <v>-131093.28571428574</v>
      </c>
      <c r="K13" s="10">
        <f>SUM(I$4:I13)/G13</f>
        <v>15462.1</v>
      </c>
      <c r="L13" s="10">
        <f t="shared" si="1"/>
        <v>28571.428571428572</v>
      </c>
    </row>
    <row r="14" spans="2:12" ht="20.100000000000001" customHeight="1" x14ac:dyDescent="0.2">
      <c r="B14" s="19">
        <v>41775</v>
      </c>
      <c r="C14" s="29">
        <v>48531</v>
      </c>
      <c r="D14" s="25">
        <f>(SUM(C$4:C14)-(F14*G14))</f>
        <v>-19465.476190476213</v>
      </c>
      <c r="E14" s="24">
        <f>SUM(C$4:C14)/G14</f>
        <v>50611.36363636364</v>
      </c>
      <c r="F14" s="30">
        <f t="shared" si="0"/>
        <v>52380.952380952382</v>
      </c>
      <c r="G14" s="20">
        <f t="shared" si="2"/>
        <v>11</v>
      </c>
      <c r="H14" s="19">
        <v>41775</v>
      </c>
      <c r="I14" s="12">
        <v>19867</v>
      </c>
      <c r="J14" s="10">
        <f>SUM(I$4:I14)-(L14*G14)</f>
        <v>-139797.71428571432</v>
      </c>
      <c r="K14" s="10">
        <f>SUM(I$4:I14)/G14</f>
        <v>15862.545454545454</v>
      </c>
      <c r="L14" s="10">
        <f t="shared" si="1"/>
        <v>28571.428571428572</v>
      </c>
    </row>
    <row r="15" spans="2:12" ht="20.100000000000001" customHeight="1" x14ac:dyDescent="0.2">
      <c r="B15" s="19">
        <v>41778</v>
      </c>
      <c r="C15" s="29">
        <v>48513</v>
      </c>
      <c r="D15" s="25">
        <f>(SUM(C$4:C15)-(F15*G15))</f>
        <v>-23333.428571428638</v>
      </c>
      <c r="E15" s="24">
        <f>SUM(C$4:C15)/G15</f>
        <v>50436.5</v>
      </c>
      <c r="F15" s="30">
        <f t="shared" si="0"/>
        <v>52380.952380952382</v>
      </c>
      <c r="G15" s="20">
        <v>12</v>
      </c>
      <c r="H15" s="19">
        <v>41778</v>
      </c>
      <c r="I15" s="12">
        <v>32465</v>
      </c>
      <c r="J15" s="10">
        <f>SUM(I$4:I15)-(L15*G15)</f>
        <v>-135904.14285714284</v>
      </c>
      <c r="K15" s="10">
        <f>SUM(I$4:I15)/G15</f>
        <v>17246.083333333332</v>
      </c>
      <c r="L15" s="10">
        <f t="shared" si="1"/>
        <v>28571.428571428572</v>
      </c>
    </row>
    <row r="16" spans="2:12" ht="20.100000000000001" customHeight="1" x14ac:dyDescent="0.2">
      <c r="B16" s="19">
        <v>41779</v>
      </c>
      <c r="C16" s="29">
        <v>63087</v>
      </c>
      <c r="D16" s="25">
        <f>(SUM(C$4:C16)-(F16*G16))</f>
        <v>-12627.380952380947</v>
      </c>
      <c r="E16" s="24">
        <f>SUM(C$4:C16)/G16</f>
        <v>51409.615384615383</v>
      </c>
      <c r="F16" s="30">
        <f t="shared" si="0"/>
        <v>52380.952380952382</v>
      </c>
      <c r="G16" s="20">
        <v>13</v>
      </c>
      <c r="H16" s="19">
        <v>41779</v>
      </c>
      <c r="I16" s="12">
        <v>26621</v>
      </c>
      <c r="J16" s="10">
        <f>SUM(I$4:I16)-(L16*G16)</f>
        <v>-137854.57142857142</v>
      </c>
      <c r="K16" s="10">
        <f>SUM(I$4:I16)/G16</f>
        <v>17967.23076923077</v>
      </c>
      <c r="L16" s="10">
        <f t="shared" si="1"/>
        <v>28571.428571428572</v>
      </c>
    </row>
    <row r="17" spans="1:12" ht="20.100000000000001" customHeight="1" x14ac:dyDescent="0.2">
      <c r="B17" s="19">
        <v>41780</v>
      </c>
      <c r="C17" s="29">
        <v>32561</v>
      </c>
      <c r="D17" s="25">
        <f>(SUM(C$4:C17)-(F17*G17))</f>
        <v>-32447.333333333372</v>
      </c>
      <c r="E17" s="24">
        <f>SUM(C$4:C17)/G17</f>
        <v>50063.285714285717</v>
      </c>
      <c r="F17" s="30">
        <f t="shared" si="0"/>
        <v>52380.952380952382</v>
      </c>
      <c r="G17" s="20">
        <v>14</v>
      </c>
      <c r="H17" s="19">
        <v>41780</v>
      </c>
      <c r="I17" s="12">
        <v>26579</v>
      </c>
      <c r="J17" s="10">
        <f>SUM(I$4:I17)-(L17*G17)</f>
        <v>-139847</v>
      </c>
      <c r="K17" s="10">
        <f>SUM(I$4:I17)/G17</f>
        <v>18582.357142857141</v>
      </c>
      <c r="L17" s="10">
        <f t="shared" si="1"/>
        <v>28571.428571428572</v>
      </c>
    </row>
    <row r="18" spans="1:12" ht="20.100000000000001" customHeight="1" x14ac:dyDescent="0.2">
      <c r="B18" s="19">
        <v>41781</v>
      </c>
      <c r="C18" s="29">
        <v>23892</v>
      </c>
      <c r="D18" s="25">
        <f>(SUM(C$4:C18)-(F18*G18))</f>
        <v>-60936.285714285681</v>
      </c>
      <c r="E18" s="24">
        <f>SUM(C$4:C18)/G18</f>
        <v>48318.533333333333</v>
      </c>
      <c r="F18" s="30">
        <f t="shared" si="0"/>
        <v>52380.952380952382</v>
      </c>
      <c r="G18" s="20">
        <v>15</v>
      </c>
      <c r="H18" s="19">
        <v>41781</v>
      </c>
      <c r="I18" s="12">
        <v>29215</v>
      </c>
      <c r="J18" s="10">
        <f>SUM(I$4:I18)-(L18*G18)</f>
        <v>-139203.42857142858</v>
      </c>
      <c r="K18" s="10">
        <f>SUM(I$4:I18)/G18</f>
        <v>19291.2</v>
      </c>
      <c r="L18" s="10">
        <f t="shared" si="1"/>
        <v>28571.428571428572</v>
      </c>
    </row>
    <row r="19" spans="1:12" ht="20.100000000000001" customHeight="1" x14ac:dyDescent="0.2">
      <c r="B19" s="19">
        <v>41782</v>
      </c>
      <c r="C19" s="29">
        <v>30722</v>
      </c>
      <c r="D19" s="25">
        <f>(SUM(C$4:C19)-(F19*G19))</f>
        <v>-82595.238095238106</v>
      </c>
      <c r="E19" s="24">
        <f>SUM(C$4:C19)/G19</f>
        <v>47218.75</v>
      </c>
      <c r="F19" s="30">
        <f t="shared" si="0"/>
        <v>52380.952380952382</v>
      </c>
      <c r="G19" s="20">
        <f t="shared" si="2"/>
        <v>16</v>
      </c>
      <c r="H19" s="19">
        <v>41782</v>
      </c>
      <c r="I19" s="12">
        <v>19142</v>
      </c>
      <c r="J19" s="10">
        <f>SUM(I$4:I19)-(L19*G19)</f>
        <v>-148632.85714285716</v>
      </c>
      <c r="K19" s="10">
        <f>SUM(I$4:I19)/G19</f>
        <v>19281.875</v>
      </c>
      <c r="L19" s="10">
        <f t="shared" si="1"/>
        <v>28571.428571428572</v>
      </c>
    </row>
    <row r="20" spans="1:12" ht="20.100000000000001" customHeight="1" x14ac:dyDescent="0.2">
      <c r="B20" s="19">
        <v>41785</v>
      </c>
      <c r="C20" s="29">
        <v>43377</v>
      </c>
      <c r="D20" s="25">
        <f>(SUM(C$4:C20)-(F20*G20))</f>
        <v>-91599.190476190532</v>
      </c>
      <c r="E20" s="24">
        <f>SUM(C$4:C20)/G20</f>
        <v>46992.76470588235</v>
      </c>
      <c r="F20" s="30">
        <f t="shared" si="0"/>
        <v>52380.952380952382</v>
      </c>
      <c r="G20" s="20">
        <f t="shared" si="2"/>
        <v>17</v>
      </c>
      <c r="H20" s="19">
        <v>41785</v>
      </c>
      <c r="I20" s="12">
        <v>16078</v>
      </c>
      <c r="J20" s="10">
        <f>SUM(I$4:I20)-(L20*G20)</f>
        <v>-161126.28571428574</v>
      </c>
      <c r="K20" s="10">
        <f>SUM(I$4:I20)/G20</f>
        <v>19093.411764705881</v>
      </c>
      <c r="L20" s="10">
        <f t="shared" si="1"/>
        <v>28571.428571428572</v>
      </c>
    </row>
    <row r="21" spans="1:12" ht="20.100000000000001" customHeight="1" x14ac:dyDescent="0.2">
      <c r="B21" s="19">
        <v>41786</v>
      </c>
      <c r="C21" s="29">
        <v>35572</v>
      </c>
      <c r="D21" s="25">
        <f>(SUM(C$4:C21)-(F21*G21))</f>
        <v>-108408.14285714284</v>
      </c>
      <c r="E21" s="24">
        <f>SUM(C$4:C21)/G21</f>
        <v>46358.277777777781</v>
      </c>
      <c r="F21" s="30">
        <f t="shared" si="0"/>
        <v>52380.952380952382</v>
      </c>
      <c r="G21" s="20">
        <f t="shared" si="2"/>
        <v>18</v>
      </c>
      <c r="H21" s="19">
        <v>41786</v>
      </c>
      <c r="I21" s="12">
        <v>40701</v>
      </c>
      <c r="J21" s="10">
        <f>SUM(I$4:I21)-(L21*G21)</f>
        <v>-148996.71428571432</v>
      </c>
      <c r="K21" s="10">
        <f>SUM(I$4:I21)/G21</f>
        <v>20293.833333333332</v>
      </c>
      <c r="L21" s="10">
        <f t="shared" si="1"/>
        <v>28571.428571428572</v>
      </c>
    </row>
    <row r="22" spans="1:12" ht="20.100000000000001" customHeight="1" x14ac:dyDescent="0.2">
      <c r="B22" s="19">
        <v>41787</v>
      </c>
      <c r="C22" s="29">
        <v>27238</v>
      </c>
      <c r="D22" s="25">
        <f>(SUM(C$4:C22)-(F22*G22))</f>
        <v>-133551.09523809527</v>
      </c>
      <c r="E22" s="24">
        <f>SUM(C$4:C22)/G22</f>
        <v>45351.947368421053</v>
      </c>
      <c r="F22" s="30">
        <f t="shared" si="0"/>
        <v>52380.952380952382</v>
      </c>
      <c r="G22" s="20">
        <v>19</v>
      </c>
      <c r="H22" s="19">
        <v>41787</v>
      </c>
      <c r="I22" s="12">
        <v>19373</v>
      </c>
      <c r="J22" s="10">
        <f>SUM(I$4:I22)-(L22*G22)</f>
        <v>-158195.14285714284</v>
      </c>
      <c r="K22" s="10">
        <f>SUM(I$4:I22)/G22</f>
        <v>20245.36842105263</v>
      </c>
      <c r="L22" s="10">
        <f t="shared" si="1"/>
        <v>28571.428571428572</v>
      </c>
    </row>
    <row r="23" spans="1:12" ht="20.100000000000001" customHeight="1" x14ac:dyDescent="0.2">
      <c r="B23" s="19">
        <v>41788</v>
      </c>
      <c r="C23" s="29">
        <v>37925</v>
      </c>
      <c r="D23" s="25">
        <f>(SUM(C$4:C23)-(F23*G23))</f>
        <v>-148007.04761904757</v>
      </c>
      <c r="E23" s="24">
        <f>SUM(C$4:C23)/G23</f>
        <v>44980.6</v>
      </c>
      <c r="F23" s="30">
        <f t="shared" si="0"/>
        <v>52380.952380952382</v>
      </c>
      <c r="G23" s="20">
        <v>20</v>
      </c>
      <c r="H23" s="19">
        <v>41788</v>
      </c>
      <c r="I23" s="12">
        <v>39634</v>
      </c>
      <c r="J23" s="10">
        <f>SUM(I$4:I23)-(L23*G23)</f>
        <v>-147132.57142857148</v>
      </c>
      <c r="K23" s="10">
        <f>SUM(I$4:I23)/G23</f>
        <v>21214.799999999999</v>
      </c>
      <c r="L23" s="10">
        <f t="shared" si="1"/>
        <v>28571.428571428572</v>
      </c>
    </row>
    <row r="24" spans="1:12" ht="20.100000000000001" customHeight="1" x14ac:dyDescent="0.2">
      <c r="B24" s="19">
        <v>41789</v>
      </c>
      <c r="C24" s="29">
        <v>29280</v>
      </c>
      <c r="D24" s="25">
        <f>(SUM(C$4:C24)-(F24*G24))</f>
        <v>-171108</v>
      </c>
      <c r="E24" s="24">
        <f>SUM(C$4:C24)/G24</f>
        <v>44232.952380952382</v>
      </c>
      <c r="F24" s="30">
        <f t="shared" si="0"/>
        <v>52380.952380952382</v>
      </c>
      <c r="G24" s="20">
        <v>21</v>
      </c>
      <c r="H24" s="19">
        <v>41789</v>
      </c>
      <c r="I24" s="12">
        <v>14238</v>
      </c>
      <c r="J24" s="10">
        <f>SUM(I$4:I24)-(L24*G24)</f>
        <v>-161466</v>
      </c>
      <c r="K24" s="10">
        <f>SUM(I$4:I24)/G24</f>
        <v>20882.571428571428</v>
      </c>
      <c r="L24" s="10">
        <f t="shared" si="1"/>
        <v>28571.428571428572</v>
      </c>
    </row>
    <row r="25" spans="1:12" ht="20.100000000000001" customHeight="1" x14ac:dyDescent="0.2">
      <c r="B25" s="19" t="s">
        <v>8</v>
      </c>
      <c r="C25" s="12">
        <f>SUM(C4:C24)</f>
        <v>928892</v>
      </c>
      <c r="D25" s="23"/>
      <c r="E25" s="23"/>
      <c r="F25" s="30">
        <v>1100000</v>
      </c>
      <c r="G25" s="18"/>
      <c r="H25" s="11" t="s">
        <v>8</v>
      </c>
      <c r="I25" s="12">
        <f>SUM(I4:I24)</f>
        <v>438534</v>
      </c>
      <c r="J25" s="8"/>
      <c r="K25" s="8"/>
      <c r="L25" s="10">
        <v>600000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1"/>
    <mergeCell ref="H1:L1"/>
    <mergeCell ref="B2:F2"/>
    <mergeCell ref="H2:L2"/>
    <mergeCell ref="A29:D29"/>
  </mergeCells>
  <conditionalFormatting sqref="D4:D24 J4:J25">
    <cfRule type="cellIs" dxfId="192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Plan84">
    <tabColor rgb="FF92D050"/>
  </sheetPr>
  <dimension ref="A1:L27"/>
  <sheetViews>
    <sheetView topLeftCell="A11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41974</v>
      </c>
      <c r="C4" s="24">
        <v>62163</v>
      </c>
      <c r="D4" s="85">
        <f>(SUM(C4:C4)-(F4*1))</f>
        <v>6607.4444444444453</v>
      </c>
      <c r="E4" s="24">
        <f>C4/1</f>
        <v>62163</v>
      </c>
      <c r="F4" s="30">
        <f t="shared" ref="F4:F21" si="0">$F$22/$G$21</f>
        <v>55555.555555555555</v>
      </c>
      <c r="G4" s="20">
        <v>1</v>
      </c>
      <c r="H4" s="19">
        <v>41974</v>
      </c>
      <c r="I4" s="12">
        <v>36868</v>
      </c>
      <c r="J4" s="10">
        <f>(SUM(I4:I4)-(L4*1))</f>
        <v>6312.4444444444453</v>
      </c>
      <c r="K4" s="10">
        <f>I4/1</f>
        <v>36868</v>
      </c>
      <c r="L4" s="10">
        <f t="shared" ref="L4:L21" si="1">$L$22/$G$21</f>
        <v>30555.555555555555</v>
      </c>
    </row>
    <row r="5" spans="2:12" ht="20.100000000000001" customHeight="1" x14ac:dyDescent="0.2">
      <c r="B5" s="19">
        <v>41975</v>
      </c>
      <c r="C5" s="26">
        <v>53743</v>
      </c>
      <c r="D5" s="85">
        <f>(SUM(C$4:C5)-(F5*G5))</f>
        <v>4794.8888888888905</v>
      </c>
      <c r="E5" s="24">
        <f>SUM(C$4:C5)/G5</f>
        <v>57953</v>
      </c>
      <c r="F5" s="30">
        <f t="shared" si="0"/>
        <v>55555.555555555555</v>
      </c>
      <c r="G5" s="20">
        <f>G4+1</f>
        <v>2</v>
      </c>
      <c r="H5" s="19">
        <v>41975</v>
      </c>
      <c r="I5" s="21">
        <v>31619</v>
      </c>
      <c r="J5" s="10">
        <f>SUM(I$4:I5)-(L5*G5)</f>
        <v>7375.8888888888905</v>
      </c>
      <c r="K5" s="10">
        <f>SUM(I$4:I5)/G5</f>
        <v>34243.5</v>
      </c>
      <c r="L5" s="10">
        <f t="shared" si="1"/>
        <v>30555.555555555555</v>
      </c>
    </row>
    <row r="6" spans="2:12" ht="20.100000000000001" customHeight="1" x14ac:dyDescent="0.2">
      <c r="B6" s="19">
        <v>41976</v>
      </c>
      <c r="C6" s="24">
        <v>43599</v>
      </c>
      <c r="D6" s="85">
        <f>(SUM(C$4:C6)-(F6*G6))</f>
        <v>-7161.666666666657</v>
      </c>
      <c r="E6" s="24">
        <f>SUM(C$4:C6)/G6</f>
        <v>53168.333333333336</v>
      </c>
      <c r="F6" s="30">
        <f t="shared" si="0"/>
        <v>55555.555555555555</v>
      </c>
      <c r="G6" s="20">
        <f t="shared" ref="G6:G11" si="2">G5+1</f>
        <v>3</v>
      </c>
      <c r="H6" s="19">
        <v>41976</v>
      </c>
      <c r="I6" s="21">
        <v>35693</v>
      </c>
      <c r="J6" s="10">
        <f>SUM(I$4:I6)-(L6*G6)</f>
        <v>12513.333333333343</v>
      </c>
      <c r="K6" s="10">
        <f>SUM(I$4:I6)/G6</f>
        <v>34726.666666666664</v>
      </c>
      <c r="L6" s="10">
        <f t="shared" si="1"/>
        <v>30555.555555555555</v>
      </c>
    </row>
    <row r="7" spans="2:12" ht="19.5" customHeight="1" x14ac:dyDescent="0.2">
      <c r="B7" s="19">
        <v>41977</v>
      </c>
      <c r="C7" s="24">
        <v>47454</v>
      </c>
      <c r="D7" s="85">
        <f>(SUM(C$4:C7)-(F7*G7))</f>
        <v>-15263.222222222219</v>
      </c>
      <c r="E7" s="24">
        <f>SUM(C$4:C7)/G7</f>
        <v>51739.75</v>
      </c>
      <c r="F7" s="30">
        <f t="shared" si="0"/>
        <v>55555.555555555555</v>
      </c>
      <c r="G7" s="20">
        <f t="shared" si="2"/>
        <v>4</v>
      </c>
      <c r="H7" s="19">
        <v>41977</v>
      </c>
      <c r="I7" s="21">
        <v>29195</v>
      </c>
      <c r="J7" s="10">
        <f>SUM(I$4:I7)-(L7*G7)</f>
        <v>11152.777777777781</v>
      </c>
      <c r="K7" s="10">
        <f>SUM(I$4:I7)/G7</f>
        <v>33343.75</v>
      </c>
      <c r="L7" s="10">
        <f t="shared" si="1"/>
        <v>30555.555555555555</v>
      </c>
    </row>
    <row r="8" spans="2:12" ht="20.100000000000001" customHeight="1" x14ac:dyDescent="0.2">
      <c r="B8" s="19">
        <v>41978</v>
      </c>
      <c r="C8" s="27">
        <v>70088</v>
      </c>
      <c r="D8" s="85">
        <f>(SUM(C$4:C8)-(F8*G8))</f>
        <v>-730.77777777775191</v>
      </c>
      <c r="E8" s="24">
        <f>SUM(C$4:C8)/G8</f>
        <v>55409.4</v>
      </c>
      <c r="F8" s="30">
        <f t="shared" si="0"/>
        <v>55555.555555555555</v>
      </c>
      <c r="G8" s="20">
        <f t="shared" si="2"/>
        <v>5</v>
      </c>
      <c r="H8" s="19">
        <v>41978</v>
      </c>
      <c r="I8" s="22">
        <v>23956</v>
      </c>
      <c r="J8" s="10">
        <f>SUM(I$4:I8)-(L8*G8)</f>
        <v>4553.222222222219</v>
      </c>
      <c r="K8" s="10">
        <f>SUM(I$4:I8)/G8</f>
        <v>31466.2</v>
      </c>
      <c r="L8" s="10">
        <f t="shared" si="1"/>
        <v>30555.555555555555</v>
      </c>
    </row>
    <row r="9" spans="2:12" ht="20.100000000000001" customHeight="1" x14ac:dyDescent="0.2">
      <c r="B9" s="19">
        <v>41981</v>
      </c>
      <c r="C9" s="27">
        <v>58080</v>
      </c>
      <c r="D9" s="85">
        <f>(SUM(C$4:C9)-(F9*G9))</f>
        <v>1793.6666666666861</v>
      </c>
      <c r="E9" s="24">
        <f>SUM(C$4:C9)/G9</f>
        <v>55854.5</v>
      </c>
      <c r="F9" s="30">
        <f t="shared" si="0"/>
        <v>55555.555555555555</v>
      </c>
      <c r="G9" s="20">
        <f t="shared" si="2"/>
        <v>6</v>
      </c>
      <c r="H9" s="19">
        <v>41981</v>
      </c>
      <c r="I9" s="22">
        <v>52638</v>
      </c>
      <c r="J9" s="10">
        <f>SUM(I$4:I9)-(L9*G9)</f>
        <v>26635.666666666686</v>
      </c>
      <c r="K9" s="10">
        <f>SUM(I$4:I9)/G9</f>
        <v>34994.833333333336</v>
      </c>
      <c r="L9" s="10">
        <f t="shared" si="1"/>
        <v>30555.555555555555</v>
      </c>
    </row>
    <row r="10" spans="2:12" ht="20.100000000000001" customHeight="1" x14ac:dyDescent="0.2">
      <c r="B10" s="19">
        <v>41982</v>
      </c>
      <c r="C10" s="24">
        <v>31282</v>
      </c>
      <c r="D10" s="85">
        <f>(SUM(C$4:C10)-(F10*G10))</f>
        <v>-22479.888888888876</v>
      </c>
      <c r="E10" s="24">
        <f>SUM(C$4:C10)/G10</f>
        <v>52344.142857142855</v>
      </c>
      <c r="F10" s="30">
        <f t="shared" si="0"/>
        <v>55555.555555555555</v>
      </c>
      <c r="G10" s="20">
        <v>7</v>
      </c>
      <c r="H10" s="19">
        <v>41982</v>
      </c>
      <c r="I10" s="21">
        <v>23272</v>
      </c>
      <c r="J10" s="10">
        <f>SUM(I$4:I10)-(L10*G10)</f>
        <v>19352.111111111124</v>
      </c>
      <c r="K10" s="10">
        <f>SUM(I$4:I10)/G10</f>
        <v>33320.142857142855</v>
      </c>
      <c r="L10" s="10">
        <f t="shared" si="1"/>
        <v>30555.555555555555</v>
      </c>
    </row>
    <row r="11" spans="2:12" ht="20.100000000000001" customHeight="1" x14ac:dyDescent="0.2">
      <c r="B11" s="19">
        <v>41983</v>
      </c>
      <c r="C11" s="24">
        <v>51626</v>
      </c>
      <c r="D11" s="85">
        <f>(SUM(C$4:C11)-(F11*G11))</f>
        <v>-26409.444444444438</v>
      </c>
      <c r="E11" s="24">
        <f>SUM(C$4:C11)/G11</f>
        <v>52254.375</v>
      </c>
      <c r="F11" s="30">
        <f t="shared" si="0"/>
        <v>55555.555555555555</v>
      </c>
      <c r="G11" s="20">
        <f t="shared" si="2"/>
        <v>8</v>
      </c>
      <c r="H11" s="19">
        <v>41983</v>
      </c>
      <c r="I11" s="21">
        <v>34792</v>
      </c>
      <c r="J11" s="10">
        <f>SUM(I$4:I11)-(L11*G11)</f>
        <v>23588.555555555562</v>
      </c>
      <c r="K11" s="10">
        <f>SUM(I$4:I11)/G11</f>
        <v>33504.125</v>
      </c>
      <c r="L11" s="10">
        <f t="shared" si="1"/>
        <v>30555.555555555555</v>
      </c>
    </row>
    <row r="12" spans="2:12" ht="20.100000000000001" customHeight="1" x14ac:dyDescent="0.2">
      <c r="B12" s="19">
        <v>41984</v>
      </c>
      <c r="C12" s="24">
        <v>59071</v>
      </c>
      <c r="D12" s="85">
        <f>(SUM(C$4:C12)-(F12*G12))</f>
        <v>-22894</v>
      </c>
      <c r="E12" s="24">
        <f>SUM(C$4:C12)/G12</f>
        <v>53011.777777777781</v>
      </c>
      <c r="F12" s="30">
        <f t="shared" si="0"/>
        <v>55555.555555555555</v>
      </c>
      <c r="G12" s="20">
        <v>9</v>
      </c>
      <c r="H12" s="19">
        <v>41984</v>
      </c>
      <c r="I12" s="21">
        <v>22334</v>
      </c>
      <c r="J12" s="10">
        <f>SUM(I$4:I12)-(L12*G12)</f>
        <v>15367</v>
      </c>
      <c r="K12" s="10">
        <f>SUM(I$4:I12)/G12</f>
        <v>32263</v>
      </c>
      <c r="L12" s="10">
        <f t="shared" si="1"/>
        <v>30555.555555555555</v>
      </c>
    </row>
    <row r="13" spans="2:12" ht="20.100000000000001" customHeight="1" x14ac:dyDescent="0.2">
      <c r="B13" s="19">
        <v>41985</v>
      </c>
      <c r="C13" s="29">
        <v>51935</v>
      </c>
      <c r="D13" s="85">
        <f>(SUM(C$4:C13)-(F13*G13))</f>
        <v>-26514.555555555504</v>
      </c>
      <c r="E13" s="24">
        <f>SUM(C$4:C13)/G13</f>
        <v>52904.1</v>
      </c>
      <c r="F13" s="30">
        <f t="shared" si="0"/>
        <v>55555.555555555555</v>
      </c>
      <c r="G13" s="20">
        <v>10</v>
      </c>
      <c r="H13" s="19">
        <v>41985</v>
      </c>
      <c r="I13" s="13">
        <v>33111</v>
      </c>
      <c r="J13" s="10">
        <f>SUM(I$4:I13)-(L13*G13)</f>
        <v>17922.444444444438</v>
      </c>
      <c r="K13" s="10">
        <f>SUM(I$4:I13)/G13</f>
        <v>32347.8</v>
      </c>
      <c r="L13" s="10">
        <f t="shared" si="1"/>
        <v>30555.555555555555</v>
      </c>
    </row>
    <row r="14" spans="2:12" ht="20.100000000000001" customHeight="1" x14ac:dyDescent="0.2">
      <c r="B14" s="19">
        <v>41988</v>
      </c>
      <c r="C14" s="29">
        <v>59031</v>
      </c>
      <c r="D14" s="85">
        <f>(SUM(C$4:C14)-(F14*G14))</f>
        <v>-23039.111111111124</v>
      </c>
      <c r="E14" s="24">
        <f>SUM(C$4:C14)/G14</f>
        <v>53461.090909090912</v>
      </c>
      <c r="F14" s="30">
        <f t="shared" si="0"/>
        <v>55555.555555555555</v>
      </c>
      <c r="G14" s="20">
        <v>11</v>
      </c>
      <c r="H14" s="19">
        <v>41988</v>
      </c>
      <c r="I14" s="12">
        <v>34226</v>
      </c>
      <c r="J14" s="10">
        <f>SUM(I$4:I14)-(L14*G14)</f>
        <v>21592.888888888876</v>
      </c>
      <c r="K14" s="10">
        <f>SUM(I$4:I14)/G14</f>
        <v>32518.545454545456</v>
      </c>
      <c r="L14" s="10">
        <f t="shared" si="1"/>
        <v>30555.555555555555</v>
      </c>
    </row>
    <row r="15" spans="2:12" ht="20.100000000000001" customHeight="1" x14ac:dyDescent="0.2">
      <c r="B15" s="19">
        <v>41989</v>
      </c>
      <c r="C15" s="29">
        <v>42425</v>
      </c>
      <c r="D15" s="85">
        <f>(SUM(C$4:C15)-(F15*G15))</f>
        <v>-36169.666666666628</v>
      </c>
      <c r="E15" s="24">
        <f>SUM(C$4:C15)/G15</f>
        <v>52541.416666666664</v>
      </c>
      <c r="F15" s="30">
        <f t="shared" si="0"/>
        <v>55555.555555555555</v>
      </c>
      <c r="G15" s="20">
        <v>12</v>
      </c>
      <c r="H15" s="19">
        <v>41989</v>
      </c>
      <c r="I15" s="12">
        <v>34395</v>
      </c>
      <c r="J15" s="10">
        <f>SUM(I$4:I15)-(L15*G15)</f>
        <v>25432.333333333372</v>
      </c>
      <c r="K15" s="10">
        <f>SUM(I$4:I15)/G15</f>
        <v>32674.916666666668</v>
      </c>
      <c r="L15" s="10">
        <f t="shared" si="1"/>
        <v>30555.555555555555</v>
      </c>
    </row>
    <row r="16" spans="2:12" ht="20.100000000000001" customHeight="1" x14ac:dyDescent="0.2">
      <c r="B16" s="19">
        <v>41990</v>
      </c>
      <c r="C16" s="29">
        <v>67856</v>
      </c>
      <c r="D16" s="85">
        <f>(SUM(C$4:C16)-(F16*G16))</f>
        <v>-23869.222222222248</v>
      </c>
      <c r="E16" s="24">
        <f>SUM(C$4:C16)/G16</f>
        <v>53719.461538461539</v>
      </c>
      <c r="F16" s="30">
        <f t="shared" si="0"/>
        <v>55555.555555555555</v>
      </c>
      <c r="G16" s="20">
        <v>13</v>
      </c>
      <c r="H16" s="19">
        <v>41990</v>
      </c>
      <c r="I16" s="12">
        <v>44019</v>
      </c>
      <c r="J16" s="10">
        <f>SUM(I$4:I16)-(L16*G16)</f>
        <v>38895.77777777781</v>
      </c>
      <c r="K16" s="10">
        <f>SUM(I$4:I16)/G16</f>
        <v>33547.538461538461</v>
      </c>
      <c r="L16" s="10">
        <f t="shared" si="1"/>
        <v>30555.555555555555</v>
      </c>
    </row>
    <row r="17" spans="1:12" ht="20.100000000000001" customHeight="1" x14ac:dyDescent="0.2">
      <c r="B17" s="19">
        <v>41991</v>
      </c>
      <c r="C17" s="29">
        <v>47307</v>
      </c>
      <c r="D17" s="85">
        <f>(SUM(C$4:C17)-(F17*G17))</f>
        <v>-32117.777777777752</v>
      </c>
      <c r="E17" s="24">
        <f>SUM(C$4:C17)/G17</f>
        <v>53261.428571428572</v>
      </c>
      <c r="F17" s="30">
        <f t="shared" si="0"/>
        <v>55555.555555555555</v>
      </c>
      <c r="G17" s="20">
        <v>14</v>
      </c>
      <c r="H17" s="19">
        <v>41991</v>
      </c>
      <c r="I17" s="12">
        <v>20375</v>
      </c>
      <c r="J17" s="10">
        <f>SUM(I$4:I17)-(L17*G17)</f>
        <v>28715.222222222248</v>
      </c>
      <c r="K17" s="10">
        <f>SUM(I$4:I17)/G17</f>
        <v>32606.642857142859</v>
      </c>
      <c r="L17" s="10">
        <f t="shared" si="1"/>
        <v>30555.555555555555</v>
      </c>
    </row>
    <row r="18" spans="1:12" ht="20.100000000000001" customHeight="1" x14ac:dyDescent="0.2">
      <c r="B18" s="19">
        <v>41995</v>
      </c>
      <c r="C18" s="29">
        <v>49186</v>
      </c>
      <c r="D18" s="85">
        <f>(SUM(C$4:C18)-(F18*G18))</f>
        <v>-38487.333333333372</v>
      </c>
      <c r="E18" s="24">
        <f>SUM(C$4:C18)/G18</f>
        <v>52989.73333333333</v>
      </c>
      <c r="F18" s="30">
        <f t="shared" si="0"/>
        <v>55555.555555555555</v>
      </c>
      <c r="G18" s="20">
        <v>15</v>
      </c>
      <c r="H18" s="19">
        <v>41995</v>
      </c>
      <c r="I18" s="12">
        <v>36222</v>
      </c>
      <c r="J18" s="10">
        <f>SUM(I$4:I18)-(L18*G18)</f>
        <v>34381.666666666686</v>
      </c>
      <c r="K18" s="10">
        <f>SUM(I$4:I18)/G18</f>
        <v>32847.666666666664</v>
      </c>
      <c r="L18" s="10">
        <f t="shared" si="1"/>
        <v>30555.555555555555</v>
      </c>
    </row>
    <row r="19" spans="1:12" ht="20.100000000000001" customHeight="1" x14ac:dyDescent="0.2">
      <c r="B19" s="19">
        <v>41996</v>
      </c>
      <c r="C19" s="29">
        <v>44280</v>
      </c>
      <c r="D19" s="85">
        <f>(SUM(C$4:C19)-(F19*G19))</f>
        <v>-49762.888888888876</v>
      </c>
      <c r="E19" s="24">
        <f>SUM(C$4:C19)/G19</f>
        <v>52445.375</v>
      </c>
      <c r="F19" s="30">
        <f t="shared" si="0"/>
        <v>55555.555555555555</v>
      </c>
      <c r="G19" s="20">
        <v>16</v>
      </c>
      <c r="H19" s="19">
        <v>41996</v>
      </c>
      <c r="I19" s="12">
        <v>14822</v>
      </c>
      <c r="J19" s="10">
        <f>SUM(I$4:I19)-(L19*G19)</f>
        <v>18648.111111111124</v>
      </c>
      <c r="K19" s="10">
        <f>SUM(I$4:I19)/G19</f>
        <v>31721.0625</v>
      </c>
      <c r="L19" s="10">
        <f t="shared" si="1"/>
        <v>30555.555555555555</v>
      </c>
    </row>
    <row r="20" spans="1:12" ht="20.100000000000001" customHeight="1" x14ac:dyDescent="0.2">
      <c r="B20" s="19">
        <v>42002</v>
      </c>
      <c r="C20" s="29">
        <v>0</v>
      </c>
      <c r="D20" s="85">
        <f>(SUM(C$4:C20)-(F20*G20))</f>
        <v>-105318.44444444438</v>
      </c>
      <c r="E20" s="24">
        <f>SUM(C$4:C20)/G20</f>
        <v>49360.352941176468</v>
      </c>
      <c r="F20" s="30">
        <f t="shared" si="0"/>
        <v>55555.555555555555</v>
      </c>
      <c r="G20" s="20">
        <v>17</v>
      </c>
      <c r="H20" s="19">
        <v>42002</v>
      </c>
      <c r="I20" s="12"/>
      <c r="J20" s="10">
        <f>SUM(I$4:I20)-(L20*G20)</f>
        <v>-11907.444444444438</v>
      </c>
      <c r="K20" s="10">
        <f>SUM(I$4:I20)/G20</f>
        <v>29855.117647058825</v>
      </c>
      <c r="L20" s="10">
        <f t="shared" si="1"/>
        <v>30555.555555555555</v>
      </c>
    </row>
    <row r="21" spans="1:12" ht="20.100000000000001" customHeight="1" x14ac:dyDescent="0.2">
      <c r="B21" s="19">
        <v>42003</v>
      </c>
      <c r="C21" s="29">
        <v>0</v>
      </c>
      <c r="D21" s="85">
        <f>(SUM(C$4:C21)-(F21*G21))</f>
        <v>-160874</v>
      </c>
      <c r="E21" s="24">
        <f>SUM(C$4:C21)/G21</f>
        <v>46618.111111111109</v>
      </c>
      <c r="F21" s="30">
        <f t="shared" si="0"/>
        <v>55555.555555555555</v>
      </c>
      <c r="G21" s="20">
        <v>18</v>
      </c>
      <c r="H21" s="19">
        <v>42003</v>
      </c>
      <c r="I21" s="12"/>
      <c r="J21" s="10">
        <f>SUM(I$4:I21)-(L21*G21)</f>
        <v>-42463</v>
      </c>
      <c r="K21" s="10">
        <f>SUM(I$4:I21)/G21</f>
        <v>28196.5</v>
      </c>
      <c r="L21" s="10">
        <f t="shared" si="1"/>
        <v>30555.555555555555</v>
      </c>
    </row>
    <row r="22" spans="1:12" ht="20.100000000000001" customHeight="1" x14ac:dyDescent="0.2">
      <c r="B22" s="19" t="s">
        <v>8</v>
      </c>
      <c r="C22" s="12">
        <f>SUM(C4:C21)</f>
        <v>839126</v>
      </c>
      <c r="D22" s="86"/>
      <c r="E22" s="23"/>
      <c r="F22" s="30">
        <v>1000000</v>
      </c>
      <c r="G22" s="18"/>
      <c r="H22" s="11" t="s">
        <v>8</v>
      </c>
      <c r="I22" s="12">
        <f>SUM(I4:I21)</f>
        <v>507537</v>
      </c>
      <c r="J22" s="8"/>
      <c r="K22" s="8"/>
      <c r="L22" s="10">
        <v>550000</v>
      </c>
    </row>
    <row r="23" spans="1:12" ht="19.5" customHeight="1" x14ac:dyDescent="0.2"/>
    <row r="24" spans="1:12" ht="19.5" customHeight="1" x14ac:dyDescent="0.2"/>
    <row r="26" spans="1:12" x14ac:dyDescent="0.2">
      <c r="A26" s="156"/>
      <c r="B26" s="156"/>
      <c r="C26" s="156"/>
      <c r="D26" s="156"/>
      <c r="I26" s="34"/>
      <c r="J26" s="32"/>
    </row>
    <row r="27" spans="1:12" x14ac:dyDescent="0.2">
      <c r="L27" s="33"/>
    </row>
  </sheetData>
  <mergeCells count="5">
    <mergeCell ref="B1:F1"/>
    <mergeCell ref="H1:L1"/>
    <mergeCell ref="B2:F2"/>
    <mergeCell ref="H2:L2"/>
    <mergeCell ref="A26:D26"/>
  </mergeCells>
  <conditionalFormatting sqref="D4:D21 J4:J22">
    <cfRule type="cellIs" dxfId="19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Plan86">
    <tabColor rgb="FF92D050"/>
  </sheetPr>
  <dimension ref="A1:L30"/>
  <sheetViews>
    <sheetView topLeftCell="A14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42006</v>
      </c>
      <c r="C4" s="24">
        <v>103376</v>
      </c>
      <c r="D4" s="85">
        <f>(SUM(C4:C4)-(F4*1))</f>
        <v>50995.047619047618</v>
      </c>
      <c r="E4" s="24">
        <f>C4/1</f>
        <v>103376</v>
      </c>
      <c r="F4" s="30">
        <f t="shared" ref="F4:F11" si="0">$F$25/$G$24</f>
        <v>52380.952380952382</v>
      </c>
      <c r="G4" s="20">
        <v>1</v>
      </c>
      <c r="H4" s="19">
        <v>42006</v>
      </c>
      <c r="I4" s="12">
        <v>16743</v>
      </c>
      <c r="J4" s="10">
        <f>(SUM(I4:I4)-(L4*1))</f>
        <v>-11828.428571428572</v>
      </c>
      <c r="K4" s="10">
        <f>I4/1</f>
        <v>16743</v>
      </c>
      <c r="L4" s="10">
        <f t="shared" ref="L4:L11" si="1">$L$25/$G$24</f>
        <v>28571.428571428572</v>
      </c>
    </row>
    <row r="5" spans="2:12" ht="20.100000000000001" customHeight="1" x14ac:dyDescent="0.2">
      <c r="B5" s="19">
        <v>42009</v>
      </c>
      <c r="C5" s="26">
        <v>70999</v>
      </c>
      <c r="D5" s="85">
        <f>(SUM(C$4:C5)-(F5*G5))</f>
        <v>69613.095238095237</v>
      </c>
      <c r="E5" s="24">
        <f>SUM(C$4:C5)/G5</f>
        <v>87187.5</v>
      </c>
      <c r="F5" s="30">
        <f t="shared" si="0"/>
        <v>52380.952380952382</v>
      </c>
      <c r="G5" s="20">
        <f>G4+1</f>
        <v>2</v>
      </c>
      <c r="H5" s="19">
        <v>42009</v>
      </c>
      <c r="I5" s="21">
        <v>8138</v>
      </c>
      <c r="J5" s="10">
        <f>SUM(I$4:I5)-(L5*G5)</f>
        <v>-32261.857142857145</v>
      </c>
      <c r="K5" s="10">
        <f>SUM(I$4:I5)/G5</f>
        <v>12440.5</v>
      </c>
      <c r="L5" s="10">
        <f t="shared" si="1"/>
        <v>28571.428571428572</v>
      </c>
    </row>
    <row r="6" spans="2:12" ht="20.100000000000001" customHeight="1" x14ac:dyDescent="0.2">
      <c r="B6" s="19">
        <v>42010</v>
      </c>
      <c r="C6" s="24">
        <v>51547</v>
      </c>
      <c r="D6" s="85">
        <f>(SUM(C$4:C6)-(F6*G6))</f>
        <v>68779.142857142841</v>
      </c>
      <c r="E6" s="24">
        <f>SUM(C$4:C6)/G6</f>
        <v>75307.333333333328</v>
      </c>
      <c r="F6" s="30">
        <f t="shared" si="0"/>
        <v>52380.952380952382</v>
      </c>
      <c r="G6" s="20">
        <f t="shared" ref="G6:G11" si="2">G5+1</f>
        <v>3</v>
      </c>
      <c r="H6" s="19">
        <v>42010</v>
      </c>
      <c r="I6" s="21">
        <v>20791</v>
      </c>
      <c r="J6" s="10">
        <f>SUM(I$4:I6)-(L6*G6)</f>
        <v>-40042.28571428571</v>
      </c>
      <c r="K6" s="10">
        <f>SUM(I$4:I6)/G6</f>
        <v>15224</v>
      </c>
      <c r="L6" s="10">
        <f t="shared" si="1"/>
        <v>28571.428571428572</v>
      </c>
    </row>
    <row r="7" spans="2:12" ht="19.5" customHeight="1" x14ac:dyDescent="0.2">
      <c r="B7" s="19">
        <v>42011</v>
      </c>
      <c r="C7" s="24">
        <v>27886</v>
      </c>
      <c r="D7" s="85">
        <f>(SUM(C$4:C7)-(F7*G7))</f>
        <v>44284.190476190473</v>
      </c>
      <c r="E7" s="24">
        <f>SUM(C$4:C7)/G7</f>
        <v>63452</v>
      </c>
      <c r="F7" s="30">
        <f t="shared" si="0"/>
        <v>52380.952380952382</v>
      </c>
      <c r="G7" s="20">
        <f t="shared" si="2"/>
        <v>4</v>
      </c>
      <c r="H7" s="19">
        <v>42011</v>
      </c>
      <c r="I7" s="21">
        <v>12503</v>
      </c>
      <c r="J7" s="10">
        <f>SUM(I$4:I7)-(L7*G7)</f>
        <v>-56110.71428571429</v>
      </c>
      <c r="K7" s="10">
        <f>SUM(I$4:I7)/G7</f>
        <v>14543.75</v>
      </c>
      <c r="L7" s="10">
        <f t="shared" si="1"/>
        <v>28571.428571428572</v>
      </c>
    </row>
    <row r="8" spans="2:12" ht="20.100000000000001" customHeight="1" x14ac:dyDescent="0.2">
      <c r="B8" s="19">
        <v>42012</v>
      </c>
      <c r="C8" s="27">
        <v>52692</v>
      </c>
      <c r="D8" s="85">
        <f>(SUM(C$4:C8)-(F8*G8))</f>
        <v>44595.238095238106</v>
      </c>
      <c r="E8" s="24">
        <f>SUM(C$4:C8)/G8</f>
        <v>61300</v>
      </c>
      <c r="F8" s="30">
        <f t="shared" si="0"/>
        <v>52380.952380952382</v>
      </c>
      <c r="G8" s="20">
        <f t="shared" si="2"/>
        <v>5</v>
      </c>
      <c r="H8" s="19">
        <v>42012</v>
      </c>
      <c r="I8" s="22">
        <v>34146</v>
      </c>
      <c r="J8" s="10">
        <f>SUM(I$4:I8)-(L8*G8)</f>
        <v>-50536.14285714287</v>
      </c>
      <c r="K8" s="10">
        <f>SUM(I$4:I8)/G8</f>
        <v>18464.2</v>
      </c>
      <c r="L8" s="10">
        <f t="shared" si="1"/>
        <v>28571.428571428572</v>
      </c>
    </row>
    <row r="9" spans="2:12" ht="20.100000000000001" customHeight="1" x14ac:dyDescent="0.2">
      <c r="B9" s="19">
        <v>42013</v>
      </c>
      <c r="C9" s="27">
        <v>55572</v>
      </c>
      <c r="D9" s="85">
        <f>(SUM(C$4:C9)-(F9*G9))</f>
        <v>47786.285714285681</v>
      </c>
      <c r="E9" s="24">
        <f>SUM(C$4:C9)/G9</f>
        <v>60345.333333333336</v>
      </c>
      <c r="F9" s="30">
        <f t="shared" si="0"/>
        <v>52380.952380952382</v>
      </c>
      <c r="G9" s="20">
        <f t="shared" si="2"/>
        <v>6</v>
      </c>
      <c r="H9" s="19">
        <v>42013</v>
      </c>
      <c r="I9" s="22">
        <v>14539</v>
      </c>
      <c r="J9" s="10">
        <f>SUM(I$4:I9)-(L9*G9)</f>
        <v>-64568.57142857142</v>
      </c>
      <c r="K9" s="10">
        <f>SUM(I$4:I9)/G9</f>
        <v>17810</v>
      </c>
      <c r="L9" s="10">
        <f t="shared" si="1"/>
        <v>28571.428571428572</v>
      </c>
    </row>
    <row r="10" spans="2:12" ht="20.100000000000001" customHeight="1" x14ac:dyDescent="0.2">
      <c r="B10" s="19">
        <v>42016</v>
      </c>
      <c r="C10" s="24">
        <v>58096</v>
      </c>
      <c r="D10" s="85">
        <f>(SUM(C$4:C10)-(F10*G10))</f>
        <v>53501.333333333314</v>
      </c>
      <c r="E10" s="24">
        <f>SUM(C$4:C10)/G10</f>
        <v>60024</v>
      </c>
      <c r="F10" s="30">
        <f t="shared" si="0"/>
        <v>52380.952380952382</v>
      </c>
      <c r="G10" s="20">
        <v>7</v>
      </c>
      <c r="H10" s="19">
        <v>42016</v>
      </c>
      <c r="I10" s="21">
        <v>638</v>
      </c>
      <c r="J10" s="10">
        <f>SUM(I$4:I10)-(L10*G10)</f>
        <v>-92502</v>
      </c>
      <c r="K10" s="10">
        <f>SUM(I$4:I10)/G10</f>
        <v>15356.857142857143</v>
      </c>
      <c r="L10" s="10">
        <f t="shared" si="1"/>
        <v>28571.428571428572</v>
      </c>
    </row>
    <row r="11" spans="2:12" ht="20.100000000000001" customHeight="1" x14ac:dyDescent="0.2">
      <c r="B11" s="19">
        <v>42017</v>
      </c>
      <c r="C11" s="24">
        <v>59874</v>
      </c>
      <c r="D11" s="85">
        <f>(SUM(C$4:C11)-(F11*G11))</f>
        <v>60994.380952380947</v>
      </c>
      <c r="E11" s="24">
        <f>SUM(C$4:C11)/G11</f>
        <v>60005.25</v>
      </c>
      <c r="F11" s="30">
        <f t="shared" si="0"/>
        <v>52380.952380952382</v>
      </c>
      <c r="G11" s="20">
        <f t="shared" si="2"/>
        <v>8</v>
      </c>
      <c r="H11" s="19">
        <v>42017</v>
      </c>
      <c r="I11" s="21">
        <v>19267</v>
      </c>
      <c r="J11" s="10">
        <f>SUM(I$4:I11)-(L11*G11)</f>
        <v>-101806.42857142858</v>
      </c>
      <c r="K11" s="10">
        <f>SUM(I$4:I11)/G11</f>
        <v>15845.625</v>
      </c>
      <c r="L11" s="10">
        <f t="shared" si="1"/>
        <v>28571.428571428572</v>
      </c>
    </row>
    <row r="12" spans="2:12" ht="20.100000000000001" customHeight="1" x14ac:dyDescent="0.2">
      <c r="B12" s="19">
        <v>42018</v>
      </c>
      <c r="C12" s="24">
        <v>66254</v>
      </c>
      <c r="D12" s="85">
        <f>(SUM(C$4:C12)-(F12*G12))</f>
        <v>74867.42857142858</v>
      </c>
      <c r="E12" s="24">
        <f>SUM(C$4:C12)/G12</f>
        <v>60699.555555555555</v>
      </c>
      <c r="F12" s="30">
        <f>$F$25/$G$24</f>
        <v>52380.952380952382</v>
      </c>
      <c r="G12" s="20">
        <v>9</v>
      </c>
      <c r="H12" s="19">
        <v>42018</v>
      </c>
      <c r="I12" s="21">
        <v>6567</v>
      </c>
      <c r="J12" s="10">
        <f>SUM(I$4:I12)-(L12*G12)</f>
        <v>-123810.85714285716</v>
      </c>
      <c r="K12" s="10">
        <f>SUM(I$4:I12)/G12</f>
        <v>14814.666666666666</v>
      </c>
      <c r="L12" s="10">
        <f>$L$25/$G$24</f>
        <v>28571.428571428572</v>
      </c>
    </row>
    <row r="13" spans="2:12" ht="20.100000000000001" customHeight="1" x14ac:dyDescent="0.2">
      <c r="B13" s="19">
        <v>42019</v>
      </c>
      <c r="C13" s="29">
        <v>40388</v>
      </c>
      <c r="D13" s="85">
        <f>(SUM(C$4:C13)-(F13*G13))</f>
        <v>62874.476190476213</v>
      </c>
      <c r="E13" s="24">
        <f>SUM(C$4:C13)/G13</f>
        <v>58668.4</v>
      </c>
      <c r="F13" s="30">
        <f t="shared" ref="F13:F24" si="3">$F$25/$G$24</f>
        <v>52380.952380952382</v>
      </c>
      <c r="G13" s="20">
        <v>10</v>
      </c>
      <c r="H13" s="19">
        <v>42019</v>
      </c>
      <c r="I13" s="13">
        <v>21092</v>
      </c>
      <c r="J13" s="10">
        <f>SUM(I$4:I13)-(L13*G13)</f>
        <v>-131290.28571428574</v>
      </c>
      <c r="K13" s="10">
        <f>SUM(I$4:I13)/G13</f>
        <v>15442.4</v>
      </c>
      <c r="L13" s="10">
        <f t="shared" ref="L13:L24" si="4">$L$25/$G$24</f>
        <v>28571.428571428572</v>
      </c>
    </row>
    <row r="14" spans="2:12" ht="20.100000000000001" customHeight="1" x14ac:dyDescent="0.2">
      <c r="B14" s="19">
        <v>42020</v>
      </c>
      <c r="C14" s="29">
        <v>87598</v>
      </c>
      <c r="D14" s="85">
        <f>(SUM(C$4:C14)-(F14*G14))</f>
        <v>98091.523809523787</v>
      </c>
      <c r="E14" s="24">
        <f>SUM(C$4:C14)/G14</f>
        <v>61298.36363636364</v>
      </c>
      <c r="F14" s="30">
        <f t="shared" si="3"/>
        <v>52380.952380952382</v>
      </c>
      <c r="G14" s="20">
        <v>11</v>
      </c>
      <c r="H14" s="19">
        <v>42020</v>
      </c>
      <c r="I14" s="12">
        <v>41623</v>
      </c>
      <c r="J14" s="10">
        <f>SUM(I$4:I14)-(L14*G14)</f>
        <v>-118238.71428571432</v>
      </c>
      <c r="K14" s="10">
        <f>SUM(I$4:I14)/G14</f>
        <v>17822.454545454544</v>
      </c>
      <c r="L14" s="10">
        <f t="shared" si="4"/>
        <v>28571.428571428572</v>
      </c>
    </row>
    <row r="15" spans="2:12" ht="20.100000000000001" customHeight="1" x14ac:dyDescent="0.2">
      <c r="B15" s="19">
        <v>42023</v>
      </c>
      <c r="C15" s="29">
        <v>37901</v>
      </c>
      <c r="D15" s="85">
        <f>(SUM(C$4:C15)-(F15*G15))</f>
        <v>83611.571428571362</v>
      </c>
      <c r="E15" s="24">
        <f>SUM(C$4:C15)/G15</f>
        <v>59348.583333333336</v>
      </c>
      <c r="F15" s="30">
        <f t="shared" si="3"/>
        <v>52380.952380952382</v>
      </c>
      <c r="G15" s="20">
        <v>12</v>
      </c>
      <c r="H15" s="19">
        <v>42023</v>
      </c>
      <c r="I15" s="12">
        <v>59370</v>
      </c>
      <c r="J15" s="10">
        <f>SUM(I$4:I15)-(L15*G15)</f>
        <v>-87440.142857142841</v>
      </c>
      <c r="K15" s="10">
        <f>SUM(I$4:I15)/G15</f>
        <v>21284.75</v>
      </c>
      <c r="L15" s="10">
        <f t="shared" si="4"/>
        <v>28571.428571428572</v>
      </c>
    </row>
    <row r="16" spans="2:12" ht="20.100000000000001" customHeight="1" x14ac:dyDescent="0.2">
      <c r="B16" s="19">
        <v>42024</v>
      </c>
      <c r="C16" s="29">
        <v>47572</v>
      </c>
      <c r="D16" s="85">
        <f>(SUM(C$4:C16)-(F16*G16))</f>
        <v>78802.619047619053</v>
      </c>
      <c r="E16" s="24">
        <f>SUM(C$4:C16)/G16</f>
        <v>58442.692307692305</v>
      </c>
      <c r="F16" s="30">
        <f t="shared" si="3"/>
        <v>52380.952380952382</v>
      </c>
      <c r="G16" s="20">
        <v>13</v>
      </c>
      <c r="H16" s="19">
        <v>42024</v>
      </c>
      <c r="I16" s="12">
        <v>35163</v>
      </c>
      <c r="J16" s="10">
        <f>SUM(I$4:I16)-(L16*G16)</f>
        <v>-80848.57142857142</v>
      </c>
      <c r="K16" s="10">
        <f>SUM(I$4:I16)/G16</f>
        <v>22352.307692307691</v>
      </c>
      <c r="L16" s="10">
        <f t="shared" si="4"/>
        <v>28571.428571428572</v>
      </c>
    </row>
    <row r="17" spans="1:12" ht="20.100000000000001" customHeight="1" x14ac:dyDescent="0.2">
      <c r="B17" s="19">
        <v>42025</v>
      </c>
      <c r="C17" s="29">
        <v>46589</v>
      </c>
      <c r="D17" s="85">
        <f>(SUM(C$4:C17)-(F17*G17))</f>
        <v>73010.666666666628</v>
      </c>
      <c r="E17" s="24">
        <f>SUM(C$4:C17)/G17</f>
        <v>57596</v>
      </c>
      <c r="F17" s="30">
        <f t="shared" si="3"/>
        <v>52380.952380952382</v>
      </c>
      <c r="G17" s="20">
        <v>14</v>
      </c>
      <c r="H17" s="19">
        <v>42025</v>
      </c>
      <c r="I17" s="12">
        <v>55666</v>
      </c>
      <c r="J17" s="10">
        <f>SUM(I$4:I17)-(L17*G17)</f>
        <v>-53754</v>
      </c>
      <c r="K17" s="10">
        <f>SUM(I$4:I17)/G17</f>
        <v>24731.857142857141</v>
      </c>
      <c r="L17" s="10">
        <f t="shared" si="4"/>
        <v>28571.428571428572</v>
      </c>
    </row>
    <row r="18" spans="1:12" ht="20.100000000000001" customHeight="1" x14ac:dyDescent="0.2">
      <c r="B18" s="19">
        <v>42026</v>
      </c>
      <c r="C18" s="29">
        <v>48913</v>
      </c>
      <c r="D18" s="85">
        <f>(SUM(C$4:C18)-(F18*G18))</f>
        <v>69542.714285714319</v>
      </c>
      <c r="E18" s="24">
        <f>SUM(C$4:C18)/G18</f>
        <v>57017.133333333331</v>
      </c>
      <c r="F18" s="30">
        <f t="shared" si="3"/>
        <v>52380.952380952382</v>
      </c>
      <c r="G18" s="20">
        <v>15</v>
      </c>
      <c r="H18" s="19">
        <v>42026</v>
      </c>
      <c r="I18" s="12">
        <v>28252</v>
      </c>
      <c r="J18" s="10">
        <f>SUM(I$4:I18)-(L18*G18)</f>
        <v>-54073.42857142858</v>
      </c>
      <c r="K18" s="10">
        <f>SUM(I$4:I18)/G18</f>
        <v>24966.533333333333</v>
      </c>
      <c r="L18" s="10">
        <f t="shared" si="4"/>
        <v>28571.428571428572</v>
      </c>
    </row>
    <row r="19" spans="1:12" ht="20.100000000000001" customHeight="1" x14ac:dyDescent="0.2">
      <c r="B19" s="19">
        <v>42027</v>
      </c>
      <c r="C19" s="29">
        <v>55856</v>
      </c>
      <c r="D19" s="85">
        <f>(SUM(C$4:C19)-(F19*G19))</f>
        <v>73017.761904761894</v>
      </c>
      <c r="E19" s="24">
        <f>SUM(C$4:C19)/G19</f>
        <v>56944.5625</v>
      </c>
      <c r="F19" s="30">
        <f t="shared" si="3"/>
        <v>52380.952380952382</v>
      </c>
      <c r="G19" s="20">
        <v>16</v>
      </c>
      <c r="H19" s="19">
        <v>42027</v>
      </c>
      <c r="I19" s="12">
        <v>29118</v>
      </c>
      <c r="J19" s="10">
        <f>SUM(I$4:I19)-(L19*G19)</f>
        <v>-53526.857142857159</v>
      </c>
      <c r="K19" s="10">
        <f>SUM(I$4:I19)/G19</f>
        <v>25226</v>
      </c>
      <c r="L19" s="10">
        <f t="shared" si="4"/>
        <v>28571.428571428572</v>
      </c>
    </row>
    <row r="20" spans="1:12" ht="20.100000000000001" customHeight="1" x14ac:dyDescent="0.2">
      <c r="B20" s="19">
        <v>42030</v>
      </c>
      <c r="C20" s="29">
        <v>63303</v>
      </c>
      <c r="D20" s="85">
        <f>(SUM(C$4:C20)-(F20*G20))</f>
        <v>83939.809523809468</v>
      </c>
      <c r="E20" s="24">
        <f>SUM(C$4:C20)/G20</f>
        <v>57318.588235294119</v>
      </c>
      <c r="F20" s="30">
        <f t="shared" si="3"/>
        <v>52380.952380952382</v>
      </c>
      <c r="G20" s="20">
        <v>17</v>
      </c>
      <c r="H20" s="19">
        <v>42030</v>
      </c>
      <c r="I20" s="12">
        <v>24186</v>
      </c>
      <c r="J20" s="10">
        <f>SUM(I$4:I20)-(L20*G20)</f>
        <v>-57912.285714285739</v>
      </c>
      <c r="K20" s="10">
        <f>SUM(I$4:I20)/G20</f>
        <v>25164.823529411766</v>
      </c>
      <c r="L20" s="10">
        <f t="shared" si="4"/>
        <v>28571.428571428572</v>
      </c>
    </row>
    <row r="21" spans="1:12" ht="20.100000000000001" customHeight="1" x14ac:dyDescent="0.2">
      <c r="B21" s="19">
        <v>42031</v>
      </c>
      <c r="C21" s="29">
        <v>70729</v>
      </c>
      <c r="D21" s="85">
        <f>(SUM(C$4:C21)-(F21*G21))</f>
        <v>102287.85714285716</v>
      </c>
      <c r="E21" s="24">
        <f>SUM(C$4:C21)/G21</f>
        <v>58063.611111111109</v>
      </c>
      <c r="F21" s="30">
        <f t="shared" si="3"/>
        <v>52380.952380952382</v>
      </c>
      <c r="G21" s="20">
        <v>18</v>
      </c>
      <c r="H21" s="19">
        <v>42031</v>
      </c>
      <c r="I21" s="12">
        <v>39669</v>
      </c>
      <c r="J21" s="10">
        <f>SUM(I$4:I21)-(L21*G21)</f>
        <v>-46814.714285714319</v>
      </c>
      <c r="K21" s="10">
        <f>SUM(I$4:I21)/G21</f>
        <v>25970.611111111109</v>
      </c>
      <c r="L21" s="10">
        <f t="shared" si="4"/>
        <v>28571.428571428572</v>
      </c>
    </row>
    <row r="22" spans="1:12" ht="20.100000000000001" customHeight="1" x14ac:dyDescent="0.2">
      <c r="B22" s="19">
        <v>42032</v>
      </c>
      <c r="C22" s="29">
        <v>73153</v>
      </c>
      <c r="D22" s="85">
        <f>(SUM(C$4:C22)-(F22*G22))</f>
        <v>123059.90476190473</v>
      </c>
      <c r="E22" s="24">
        <f>SUM(C$4:C22)/G22</f>
        <v>58857.789473684214</v>
      </c>
      <c r="F22" s="30">
        <f t="shared" si="3"/>
        <v>52380.952380952382</v>
      </c>
      <c r="G22" s="20">
        <v>19</v>
      </c>
      <c r="H22" s="19">
        <v>42032</v>
      </c>
      <c r="I22" s="12">
        <v>37567</v>
      </c>
      <c r="J22" s="10">
        <f>SUM(I$4:I22)-(L22*G22)</f>
        <v>-37819.142857142841</v>
      </c>
      <c r="K22" s="10">
        <f>SUM(I$4:I22)/G22</f>
        <v>26580.947368421053</v>
      </c>
      <c r="L22" s="10">
        <f t="shared" si="4"/>
        <v>28571.428571428572</v>
      </c>
    </row>
    <row r="23" spans="1:12" ht="20.100000000000001" customHeight="1" x14ac:dyDescent="0.2">
      <c r="B23" s="19">
        <v>42033</v>
      </c>
      <c r="C23" s="29">
        <v>65258</v>
      </c>
      <c r="D23" s="85">
        <f>(SUM(C$4:C23)-(F23*G23))</f>
        <v>135936.95238095243</v>
      </c>
      <c r="E23" s="24">
        <f>SUM(C$4:C23)/G23</f>
        <v>59177.8</v>
      </c>
      <c r="F23" s="30">
        <f t="shared" si="3"/>
        <v>52380.952380952382</v>
      </c>
      <c r="G23" s="20">
        <v>20</v>
      </c>
      <c r="H23" s="19">
        <v>42033</v>
      </c>
      <c r="I23" s="12">
        <v>53613</v>
      </c>
      <c r="J23" s="10">
        <f>SUM(I$4:I23)-(L23*G23)</f>
        <v>-12777.571428571478</v>
      </c>
      <c r="K23" s="10">
        <f>SUM(I$4:I23)/G23</f>
        <v>27932.55</v>
      </c>
      <c r="L23" s="10">
        <f t="shared" si="4"/>
        <v>28571.428571428572</v>
      </c>
    </row>
    <row r="24" spans="1:12" ht="20.100000000000001" customHeight="1" x14ac:dyDescent="0.2">
      <c r="B24" s="19">
        <v>42034</v>
      </c>
      <c r="C24" s="29">
        <v>61620</v>
      </c>
      <c r="D24" s="85">
        <f>(SUM(C$4:C24)-(F24*G24))</f>
        <v>145176</v>
      </c>
      <c r="E24" s="24">
        <f>SUM(C$4:C24)/G24</f>
        <v>59294.095238095237</v>
      </c>
      <c r="F24" s="30">
        <f t="shared" si="3"/>
        <v>52380.952380952382</v>
      </c>
      <c r="G24" s="20">
        <v>21</v>
      </c>
      <c r="H24" s="19">
        <v>42034</v>
      </c>
      <c r="I24" s="12">
        <v>26336</v>
      </c>
      <c r="J24" s="10">
        <f>SUM(I$4:I24)-(L24*G24)</f>
        <v>-15013</v>
      </c>
      <c r="K24" s="10">
        <f>SUM(I$4:I24)/G24</f>
        <v>27856.523809523809</v>
      </c>
      <c r="L24" s="10">
        <f t="shared" si="4"/>
        <v>28571.428571428572</v>
      </c>
    </row>
    <row r="25" spans="1:12" ht="20.100000000000001" customHeight="1" x14ac:dyDescent="0.2">
      <c r="B25" s="19" t="s">
        <v>8</v>
      </c>
      <c r="C25" s="12">
        <f>SUM(C4:C24)</f>
        <v>1245176</v>
      </c>
      <c r="D25" s="86"/>
      <c r="E25" s="23"/>
      <c r="F25" s="30">
        <v>1100000</v>
      </c>
      <c r="G25" s="18"/>
      <c r="H25" s="11" t="s">
        <v>8</v>
      </c>
      <c r="I25" s="12">
        <f>SUM(I4:I24)</f>
        <v>584987</v>
      </c>
      <c r="J25" s="8"/>
      <c r="K25" s="8"/>
      <c r="L25" s="10">
        <v>600000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1"/>
    <mergeCell ref="H1:L1"/>
    <mergeCell ref="B2:F2"/>
    <mergeCell ref="H2:L2"/>
    <mergeCell ref="A29:D29"/>
  </mergeCells>
  <conditionalFormatting sqref="D4:D24 J4:J25">
    <cfRule type="cellIs" dxfId="190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Plan88">
    <tabColor rgb="FF92D050"/>
  </sheetPr>
  <dimension ref="A1:L29"/>
  <sheetViews>
    <sheetView topLeftCell="A10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42037</v>
      </c>
      <c r="C4" s="24">
        <v>51582</v>
      </c>
      <c r="D4" s="85">
        <f>(SUM(C4:C4)-(F4*1))</f>
        <v>-6418</v>
      </c>
      <c r="E4" s="24">
        <f>C4/1</f>
        <v>51582</v>
      </c>
      <c r="F4" s="30">
        <f t="shared" ref="F4:F23" si="0">$F$24/$G$23</f>
        <v>58000</v>
      </c>
      <c r="G4" s="20">
        <v>1</v>
      </c>
      <c r="H4" s="19">
        <v>42037</v>
      </c>
      <c r="I4" s="12">
        <v>19851</v>
      </c>
      <c r="J4" s="10">
        <f>(SUM(I4:I4)-(L4*1))</f>
        <v>-10149</v>
      </c>
      <c r="K4" s="10">
        <f>I4/1</f>
        <v>19851</v>
      </c>
      <c r="L4" s="10">
        <f t="shared" ref="L4:L23" si="1">$L$24/$G$23</f>
        <v>30000</v>
      </c>
    </row>
    <row r="5" spans="2:12" ht="20.100000000000001" customHeight="1" x14ac:dyDescent="0.2">
      <c r="B5" s="19">
        <v>42038</v>
      </c>
      <c r="C5" s="26">
        <v>57063</v>
      </c>
      <c r="D5" s="85">
        <f>(SUM(C$4:C5)-(F5*G5))</f>
        <v>-7355</v>
      </c>
      <c r="E5" s="24">
        <f>SUM(C$4:C5)/G5</f>
        <v>54322.5</v>
      </c>
      <c r="F5" s="30">
        <f t="shared" si="0"/>
        <v>58000</v>
      </c>
      <c r="G5" s="20">
        <f>G4+1</f>
        <v>2</v>
      </c>
      <c r="H5" s="19">
        <v>42038</v>
      </c>
      <c r="I5" s="21">
        <v>22912</v>
      </c>
      <c r="J5" s="10">
        <f>SUM(I$4:I5)-(L5*G5)</f>
        <v>-17237</v>
      </c>
      <c r="K5" s="10">
        <f>SUM(I$4:I5)/G5</f>
        <v>21381.5</v>
      </c>
      <c r="L5" s="10">
        <f t="shared" si="1"/>
        <v>30000</v>
      </c>
    </row>
    <row r="6" spans="2:12" ht="20.100000000000001" customHeight="1" x14ac:dyDescent="0.2">
      <c r="B6" s="19">
        <v>42039</v>
      </c>
      <c r="C6" s="24">
        <v>58782</v>
      </c>
      <c r="D6" s="85">
        <f>(SUM(C$4:C6)-(F6*G6))</f>
        <v>-6573</v>
      </c>
      <c r="E6" s="24">
        <f>SUM(C$4:C6)/G6</f>
        <v>55809</v>
      </c>
      <c r="F6" s="30">
        <f t="shared" si="0"/>
        <v>58000</v>
      </c>
      <c r="G6" s="20">
        <f t="shared" ref="G6:G11" si="2">G5+1</f>
        <v>3</v>
      </c>
      <c r="H6" s="19">
        <v>42039</v>
      </c>
      <c r="I6" s="21">
        <v>40798</v>
      </c>
      <c r="J6" s="10">
        <f>SUM(I$4:I6)-(L6*G6)</f>
        <v>-6439</v>
      </c>
      <c r="K6" s="10">
        <f>SUM(I$4:I6)/G6</f>
        <v>27853.666666666668</v>
      </c>
      <c r="L6" s="10">
        <f t="shared" si="1"/>
        <v>30000</v>
      </c>
    </row>
    <row r="7" spans="2:12" ht="19.5" customHeight="1" x14ac:dyDescent="0.2">
      <c r="B7" s="19">
        <v>42040</v>
      </c>
      <c r="C7" s="24">
        <v>63584</v>
      </c>
      <c r="D7" s="85">
        <f>(SUM(C$4:C7)-(F7*G7))</f>
        <v>-989</v>
      </c>
      <c r="E7" s="24">
        <f>SUM(C$4:C7)/G7</f>
        <v>57752.75</v>
      </c>
      <c r="F7" s="30">
        <f t="shared" si="0"/>
        <v>58000</v>
      </c>
      <c r="G7" s="20">
        <f t="shared" si="2"/>
        <v>4</v>
      </c>
      <c r="H7" s="19">
        <v>42040</v>
      </c>
      <c r="I7" s="21">
        <v>35828</v>
      </c>
      <c r="J7" s="10">
        <f>SUM(I$4:I7)-(L7*G7)</f>
        <v>-611</v>
      </c>
      <c r="K7" s="10">
        <f>SUM(I$4:I7)/G7</f>
        <v>29847.25</v>
      </c>
      <c r="L7" s="10">
        <f t="shared" si="1"/>
        <v>30000</v>
      </c>
    </row>
    <row r="8" spans="2:12" ht="20.100000000000001" customHeight="1" x14ac:dyDescent="0.2">
      <c r="B8" s="19">
        <v>42041</v>
      </c>
      <c r="C8" s="27">
        <v>67148</v>
      </c>
      <c r="D8" s="85">
        <f>(SUM(C$4:C8)-(F8*G8))</f>
        <v>8159</v>
      </c>
      <c r="E8" s="24">
        <f>SUM(C$4:C8)/G8</f>
        <v>59631.8</v>
      </c>
      <c r="F8" s="30">
        <f t="shared" si="0"/>
        <v>58000</v>
      </c>
      <c r="G8" s="20">
        <f t="shared" si="2"/>
        <v>5</v>
      </c>
      <c r="H8" s="19">
        <v>42041</v>
      </c>
      <c r="I8" s="22">
        <v>41961</v>
      </c>
      <c r="J8" s="10">
        <f>SUM(I$4:I8)-(L8*G8)</f>
        <v>11350</v>
      </c>
      <c r="K8" s="10">
        <f>SUM(I$4:I8)/G8</f>
        <v>32270</v>
      </c>
      <c r="L8" s="10">
        <f t="shared" si="1"/>
        <v>30000</v>
      </c>
    </row>
    <row r="9" spans="2:12" ht="20.100000000000001" customHeight="1" x14ac:dyDescent="0.2">
      <c r="B9" s="19">
        <v>42044</v>
      </c>
      <c r="C9" s="27">
        <v>56872</v>
      </c>
      <c r="D9" s="85">
        <f>(SUM(C$4:C9)-(F9*G9))</f>
        <v>7031</v>
      </c>
      <c r="E9" s="24">
        <f>SUM(C$4:C9)/G9</f>
        <v>59171.833333333336</v>
      </c>
      <c r="F9" s="30">
        <f t="shared" si="0"/>
        <v>58000</v>
      </c>
      <c r="G9" s="20">
        <f t="shared" si="2"/>
        <v>6</v>
      </c>
      <c r="H9" s="19">
        <v>42044</v>
      </c>
      <c r="I9" s="22">
        <v>39975</v>
      </c>
      <c r="J9" s="10">
        <f>SUM(I$4:I9)-(L9*G9)</f>
        <v>21325</v>
      </c>
      <c r="K9" s="10">
        <f>SUM(I$4:I9)/G9</f>
        <v>33554.166666666664</v>
      </c>
      <c r="L9" s="10">
        <f t="shared" si="1"/>
        <v>30000</v>
      </c>
    </row>
    <row r="10" spans="2:12" ht="20.100000000000001" customHeight="1" x14ac:dyDescent="0.2">
      <c r="B10" s="19">
        <v>42045</v>
      </c>
      <c r="C10" s="24">
        <v>60028</v>
      </c>
      <c r="D10" s="85">
        <f>(SUM(C$4:C10)-(F10*G10))</f>
        <v>9059</v>
      </c>
      <c r="E10" s="24">
        <f>SUM(C$4:C10)/G10</f>
        <v>59294.142857142855</v>
      </c>
      <c r="F10" s="30">
        <f t="shared" si="0"/>
        <v>58000</v>
      </c>
      <c r="G10" s="20">
        <v>7</v>
      </c>
      <c r="H10" s="19">
        <v>42045</v>
      </c>
      <c r="I10" s="21">
        <v>27811</v>
      </c>
      <c r="J10" s="10">
        <f>SUM(I$4:I10)-(L10*G10)</f>
        <v>19136</v>
      </c>
      <c r="K10" s="10">
        <f>SUM(I$4:I10)/G10</f>
        <v>32733.714285714286</v>
      </c>
      <c r="L10" s="10">
        <f t="shared" si="1"/>
        <v>30000</v>
      </c>
    </row>
    <row r="11" spans="2:12" ht="20.100000000000001" customHeight="1" x14ac:dyDescent="0.2">
      <c r="B11" s="19">
        <v>42046</v>
      </c>
      <c r="C11" s="24">
        <v>65411</v>
      </c>
      <c r="D11" s="85">
        <f>(SUM(C$4:C11)-(F11*G11))</f>
        <v>16470</v>
      </c>
      <c r="E11" s="24">
        <f>SUM(C$4:C11)/G11</f>
        <v>60058.75</v>
      </c>
      <c r="F11" s="30">
        <f t="shared" si="0"/>
        <v>58000</v>
      </c>
      <c r="G11" s="20">
        <f t="shared" si="2"/>
        <v>8</v>
      </c>
      <c r="H11" s="19">
        <v>42046</v>
      </c>
      <c r="I11" s="21">
        <v>38546</v>
      </c>
      <c r="J11" s="10">
        <f>SUM(I$4:I11)-(L11*G11)</f>
        <v>27682</v>
      </c>
      <c r="K11" s="10">
        <f>SUM(I$4:I11)/G11</f>
        <v>33460.25</v>
      </c>
      <c r="L11" s="10">
        <f t="shared" si="1"/>
        <v>30000</v>
      </c>
    </row>
    <row r="12" spans="2:12" ht="20.100000000000001" customHeight="1" x14ac:dyDescent="0.2">
      <c r="B12" s="19">
        <v>42047</v>
      </c>
      <c r="C12" s="29">
        <v>64894</v>
      </c>
      <c r="D12" s="85">
        <f>(SUM(C$4:C12)-(F12*G12))</f>
        <v>23364</v>
      </c>
      <c r="E12" s="24">
        <f>SUM(C$4:C12)/G12</f>
        <v>60596</v>
      </c>
      <c r="F12" s="30">
        <f t="shared" si="0"/>
        <v>58000</v>
      </c>
      <c r="G12" s="20">
        <v>9</v>
      </c>
      <c r="H12" s="19">
        <v>42047</v>
      </c>
      <c r="I12" s="13">
        <v>27766</v>
      </c>
      <c r="J12" s="10">
        <f>SUM(I$4:I12)-(L12*G12)</f>
        <v>25448</v>
      </c>
      <c r="K12" s="10">
        <f>SUM(I$4:I12)/G12</f>
        <v>32827.555555555555</v>
      </c>
      <c r="L12" s="10">
        <f t="shared" si="1"/>
        <v>30000</v>
      </c>
    </row>
    <row r="13" spans="2:12" ht="20.100000000000001" customHeight="1" x14ac:dyDescent="0.2">
      <c r="B13" s="19">
        <v>42048</v>
      </c>
      <c r="C13" s="29">
        <v>72923</v>
      </c>
      <c r="D13" s="85">
        <f>(SUM(C$4:C13)-(F13*G13))</f>
        <v>38287</v>
      </c>
      <c r="E13" s="24">
        <f>SUM(C$4:C13)/G13</f>
        <v>61828.7</v>
      </c>
      <c r="F13" s="30">
        <f t="shared" si="0"/>
        <v>58000</v>
      </c>
      <c r="G13" s="20">
        <v>10</v>
      </c>
      <c r="H13" s="19">
        <v>42048</v>
      </c>
      <c r="I13" s="12">
        <v>39307</v>
      </c>
      <c r="J13" s="10">
        <f>SUM(I$4:I13)-(L13*G13)</f>
        <v>34755</v>
      </c>
      <c r="K13" s="10">
        <f>SUM(I$4:I13)/G13</f>
        <v>33475.5</v>
      </c>
      <c r="L13" s="10">
        <f t="shared" si="1"/>
        <v>30000</v>
      </c>
    </row>
    <row r="14" spans="2:12" ht="20.100000000000001" customHeight="1" x14ac:dyDescent="0.2">
      <c r="B14" s="19">
        <v>42051</v>
      </c>
      <c r="C14" s="29">
        <v>50723</v>
      </c>
      <c r="D14" s="85">
        <f>(SUM(C$4:C14)-(F14*G14))</f>
        <v>31010</v>
      </c>
      <c r="E14" s="24">
        <f>SUM(C$4:C14)/G14</f>
        <v>60819.090909090912</v>
      </c>
      <c r="F14" s="30">
        <f t="shared" si="0"/>
        <v>58000</v>
      </c>
      <c r="G14" s="20">
        <v>11</v>
      </c>
      <c r="H14" s="19">
        <v>42051</v>
      </c>
      <c r="I14" s="12">
        <v>8457</v>
      </c>
      <c r="J14" s="10">
        <f>SUM(I$4:I14)-(L14*G14)</f>
        <v>13212</v>
      </c>
      <c r="K14" s="10">
        <f>SUM(I$4:I14)/G14</f>
        <v>31201.090909090908</v>
      </c>
      <c r="L14" s="10">
        <f t="shared" si="1"/>
        <v>30000</v>
      </c>
    </row>
    <row r="15" spans="2:12" ht="20.100000000000001" customHeight="1" x14ac:dyDescent="0.2">
      <c r="B15" s="19">
        <v>42052</v>
      </c>
      <c r="C15" s="29">
        <v>57436</v>
      </c>
      <c r="D15" s="85">
        <f>(SUM(C$4:C15)-(F15*G15))</f>
        <v>30446</v>
      </c>
      <c r="E15" s="24">
        <f>SUM(C$4:C15)/G15</f>
        <v>60537.166666666664</v>
      </c>
      <c r="F15" s="30">
        <f t="shared" si="0"/>
        <v>58000</v>
      </c>
      <c r="G15" s="20">
        <v>12</v>
      </c>
      <c r="H15" s="19">
        <v>42052</v>
      </c>
      <c r="I15" s="12">
        <v>32400</v>
      </c>
      <c r="J15" s="10">
        <f>SUM(I$4:I15)-(L15*G15)</f>
        <v>15612</v>
      </c>
      <c r="K15" s="10">
        <f>SUM(I$4:I15)/G15</f>
        <v>31301</v>
      </c>
      <c r="L15" s="10">
        <f t="shared" si="1"/>
        <v>30000</v>
      </c>
    </row>
    <row r="16" spans="2:12" ht="20.100000000000001" customHeight="1" x14ac:dyDescent="0.2">
      <c r="B16" s="19">
        <v>42053</v>
      </c>
      <c r="C16" s="29">
        <v>55336</v>
      </c>
      <c r="D16" s="85">
        <f>(SUM(C$4:C16)-(F16*G16))</f>
        <v>27782</v>
      </c>
      <c r="E16" s="24">
        <f>SUM(C$4:C16)/G16</f>
        <v>60137.076923076922</v>
      </c>
      <c r="F16" s="30">
        <f t="shared" si="0"/>
        <v>58000</v>
      </c>
      <c r="G16" s="20">
        <v>13</v>
      </c>
      <c r="H16" s="19">
        <v>42053</v>
      </c>
      <c r="I16" s="12">
        <v>31871</v>
      </c>
      <c r="J16" s="10">
        <f>SUM(I$4:I16)-(L16*G16)</f>
        <v>17483</v>
      </c>
      <c r="K16" s="10">
        <f>SUM(I$4:I16)/G16</f>
        <v>31344.846153846152</v>
      </c>
      <c r="L16" s="10">
        <f t="shared" si="1"/>
        <v>30000</v>
      </c>
    </row>
    <row r="17" spans="1:12" ht="20.100000000000001" customHeight="1" x14ac:dyDescent="0.2">
      <c r="B17" s="19">
        <v>42054</v>
      </c>
      <c r="C17" s="29">
        <v>75904</v>
      </c>
      <c r="D17" s="85">
        <f>(SUM(C$4:C17)-(F17*G17))</f>
        <v>45686</v>
      </c>
      <c r="E17" s="24">
        <f>SUM(C$4:C17)/G17</f>
        <v>61263.285714285717</v>
      </c>
      <c r="F17" s="30">
        <f t="shared" si="0"/>
        <v>58000</v>
      </c>
      <c r="G17" s="20">
        <v>14</v>
      </c>
      <c r="H17" s="19">
        <v>42054</v>
      </c>
      <c r="I17" s="12">
        <v>38483</v>
      </c>
      <c r="J17" s="10">
        <f>SUM(I$4:I17)-(L17*G17)</f>
        <v>25966</v>
      </c>
      <c r="K17" s="10">
        <f>SUM(I$4:I17)/G17</f>
        <v>31854.714285714286</v>
      </c>
      <c r="L17" s="10">
        <f t="shared" si="1"/>
        <v>30000</v>
      </c>
    </row>
    <row r="18" spans="1:12" ht="20.100000000000001" customHeight="1" x14ac:dyDescent="0.2">
      <c r="B18" s="19">
        <v>42055</v>
      </c>
      <c r="C18" s="29">
        <v>53810</v>
      </c>
      <c r="D18" s="85">
        <f>(SUM(C$4:C18)-(F18*G18))</f>
        <v>41496</v>
      </c>
      <c r="E18" s="24">
        <f>SUM(C$4:C18)/G18</f>
        <v>60766.400000000001</v>
      </c>
      <c r="F18" s="30">
        <f t="shared" si="0"/>
        <v>58000</v>
      </c>
      <c r="G18" s="20">
        <v>15</v>
      </c>
      <c r="H18" s="19">
        <v>42055</v>
      </c>
      <c r="I18" s="12">
        <v>38591</v>
      </c>
      <c r="J18" s="10">
        <f>SUM(I$4:I18)-(L18*G18)</f>
        <v>34557</v>
      </c>
      <c r="K18" s="10">
        <f>SUM(I$4:I18)/G18</f>
        <v>32303.8</v>
      </c>
      <c r="L18" s="10">
        <f t="shared" si="1"/>
        <v>30000</v>
      </c>
    </row>
    <row r="19" spans="1:12" ht="20.100000000000001" customHeight="1" x14ac:dyDescent="0.2">
      <c r="B19" s="19">
        <v>42058</v>
      </c>
      <c r="C19" s="29">
        <v>37577</v>
      </c>
      <c r="D19" s="85">
        <f>(SUM(C$4:C19)-(F19*G19))</f>
        <v>21073</v>
      </c>
      <c r="E19" s="24">
        <f>SUM(C$4:C19)/G19</f>
        <v>59317.0625</v>
      </c>
      <c r="F19" s="30">
        <f t="shared" si="0"/>
        <v>58000</v>
      </c>
      <c r="G19" s="20">
        <v>16</v>
      </c>
      <c r="H19" s="19">
        <v>42058</v>
      </c>
      <c r="I19" s="12">
        <v>32145</v>
      </c>
      <c r="J19" s="10">
        <f>SUM(I$4:I19)-(L19*G19)</f>
        <v>36702</v>
      </c>
      <c r="K19" s="10">
        <f>SUM(I$4:I19)/G19</f>
        <v>32293.875</v>
      </c>
      <c r="L19" s="10">
        <f t="shared" si="1"/>
        <v>30000</v>
      </c>
    </row>
    <row r="20" spans="1:12" ht="20.100000000000001" customHeight="1" x14ac:dyDescent="0.2">
      <c r="B20" s="19">
        <v>42059</v>
      </c>
      <c r="C20" s="29">
        <v>56087</v>
      </c>
      <c r="D20" s="85">
        <f>(SUM(C$4:C20)-(F20*G20))</f>
        <v>19160</v>
      </c>
      <c r="E20" s="24">
        <f>SUM(C$4:C20)/G20</f>
        <v>59127.058823529413</v>
      </c>
      <c r="F20" s="30">
        <f t="shared" si="0"/>
        <v>58000</v>
      </c>
      <c r="G20" s="20">
        <v>17</v>
      </c>
      <c r="H20" s="19">
        <v>42059</v>
      </c>
      <c r="I20" s="12">
        <v>49437</v>
      </c>
      <c r="J20" s="10">
        <f>SUM(I$4:I20)-(L20*G20)</f>
        <v>56139</v>
      </c>
      <c r="K20" s="10">
        <f>SUM(I$4:I20)/G20</f>
        <v>33302.294117647056</v>
      </c>
      <c r="L20" s="10">
        <f t="shared" si="1"/>
        <v>30000</v>
      </c>
    </row>
    <row r="21" spans="1:12" ht="20.100000000000001" customHeight="1" x14ac:dyDescent="0.2">
      <c r="B21" s="19">
        <v>42060</v>
      </c>
      <c r="C21" s="29">
        <v>59843</v>
      </c>
      <c r="D21" s="85">
        <f>(SUM(C$4:C21)-(F21*G21))</f>
        <v>21003</v>
      </c>
      <c r="E21" s="24">
        <f>SUM(C$4:C21)/G21</f>
        <v>59166.833333333336</v>
      </c>
      <c r="F21" s="30">
        <f t="shared" si="0"/>
        <v>58000</v>
      </c>
      <c r="G21" s="20">
        <v>18</v>
      </c>
      <c r="H21" s="19">
        <v>42060</v>
      </c>
      <c r="I21" s="12">
        <v>22744</v>
      </c>
      <c r="J21" s="10">
        <f>SUM(I$4:I21)-(L21*G21)</f>
        <v>48883</v>
      </c>
      <c r="K21" s="10">
        <f>SUM(I$4:I21)/G21</f>
        <v>32715.722222222223</v>
      </c>
      <c r="L21" s="10">
        <f t="shared" si="1"/>
        <v>30000</v>
      </c>
    </row>
    <row r="22" spans="1:12" ht="20.100000000000001" customHeight="1" x14ac:dyDescent="0.2">
      <c r="B22" s="19">
        <v>42061</v>
      </c>
      <c r="C22" s="29">
        <v>64267</v>
      </c>
      <c r="D22" s="85">
        <f>(SUM(C$4:C22)-(F22*G22))</f>
        <v>27270</v>
      </c>
      <c r="E22" s="24">
        <f>SUM(C$4:C22)/G22</f>
        <v>59435.26315789474</v>
      </c>
      <c r="F22" s="30">
        <f t="shared" si="0"/>
        <v>58000</v>
      </c>
      <c r="G22" s="20">
        <v>19</v>
      </c>
      <c r="H22" s="19">
        <v>42061</v>
      </c>
      <c r="I22" s="12">
        <v>24154</v>
      </c>
      <c r="J22" s="10">
        <f>SUM(I$4:I22)-(L22*G22)</f>
        <v>43037</v>
      </c>
      <c r="K22" s="10">
        <f>SUM(I$4:I22)/G22</f>
        <v>32265.105263157893</v>
      </c>
      <c r="L22" s="10">
        <f t="shared" si="1"/>
        <v>30000</v>
      </c>
    </row>
    <row r="23" spans="1:12" ht="20.100000000000001" customHeight="1" x14ac:dyDescent="0.2">
      <c r="B23" s="19">
        <v>42062</v>
      </c>
      <c r="C23" s="29">
        <v>36765</v>
      </c>
      <c r="D23" s="85">
        <f>(SUM(C$4:C23)-(F23*G23))</f>
        <v>6035</v>
      </c>
      <c r="E23" s="24">
        <f>SUM(C$4:C23)/G23</f>
        <v>58301.75</v>
      </c>
      <c r="F23" s="30">
        <f t="shared" si="0"/>
        <v>58000</v>
      </c>
      <c r="G23" s="20">
        <v>20</v>
      </c>
      <c r="H23" s="19">
        <v>42062</v>
      </c>
      <c r="I23" s="12">
        <v>12846</v>
      </c>
      <c r="J23" s="10">
        <f>SUM(I$4:I23)-(L23*G23)</f>
        <v>25883</v>
      </c>
      <c r="K23" s="10">
        <f>SUM(I$4:I23)/G23</f>
        <v>31294.15</v>
      </c>
      <c r="L23" s="10">
        <f t="shared" si="1"/>
        <v>30000</v>
      </c>
    </row>
    <row r="24" spans="1:12" ht="20.100000000000001" customHeight="1" x14ac:dyDescent="0.2">
      <c r="B24" s="19" t="s">
        <v>8</v>
      </c>
      <c r="C24" s="12">
        <f>SUM(C4:C23)</f>
        <v>1166035</v>
      </c>
      <c r="D24" s="86"/>
      <c r="E24" s="23"/>
      <c r="F24" s="30">
        <v>1160000</v>
      </c>
      <c r="G24" s="18"/>
      <c r="H24" s="11" t="s">
        <v>8</v>
      </c>
      <c r="I24" s="12">
        <f>SUM(I4:I23)</f>
        <v>625883</v>
      </c>
      <c r="J24" s="8"/>
      <c r="K24" s="8"/>
      <c r="L24" s="10">
        <v>600000</v>
      </c>
    </row>
    <row r="25" spans="1:12" ht="19.5" customHeight="1" x14ac:dyDescent="0.2"/>
    <row r="26" spans="1:12" ht="19.5" customHeight="1" x14ac:dyDescent="0.2"/>
    <row r="28" spans="1:12" x14ac:dyDescent="0.2">
      <c r="A28" s="156"/>
      <c r="B28" s="156"/>
      <c r="C28" s="156"/>
      <c r="D28" s="156"/>
      <c r="I28" s="34"/>
      <c r="J28" s="32"/>
    </row>
    <row r="29" spans="1:12" x14ac:dyDescent="0.2">
      <c r="L29" s="33"/>
    </row>
  </sheetData>
  <mergeCells count="5">
    <mergeCell ref="B1:F1"/>
    <mergeCell ref="H1:L1"/>
    <mergeCell ref="B2:F2"/>
    <mergeCell ref="H2:L2"/>
    <mergeCell ref="A28:D28"/>
  </mergeCells>
  <conditionalFormatting sqref="D4:D23 J4:J24">
    <cfRule type="cellIs" dxfId="189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Plan90">
    <tabColor rgb="FF92D050"/>
  </sheetPr>
  <dimension ref="A1:L34"/>
  <sheetViews>
    <sheetView topLeftCell="A10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42065</v>
      </c>
      <c r="C4" s="24">
        <v>28806</v>
      </c>
      <c r="D4" s="85">
        <f>(SUM(C4:C4)-(F4*1))</f>
        <v>-25739.454545454544</v>
      </c>
      <c r="E4" s="24">
        <f>C4/1</f>
        <v>28806</v>
      </c>
      <c r="F4" s="30">
        <f t="shared" ref="F4:F25" si="0">$F$26/$G$25</f>
        <v>54545.454545454544</v>
      </c>
      <c r="G4" s="20">
        <v>1</v>
      </c>
      <c r="H4" s="19">
        <v>42065</v>
      </c>
      <c r="I4" s="12">
        <v>17107</v>
      </c>
      <c r="J4" s="10">
        <f>(SUM(I4:I4)-(L4*1))</f>
        <v>-10165.727272727272</v>
      </c>
      <c r="K4" s="10">
        <f>I4/1</f>
        <v>17107</v>
      </c>
      <c r="L4" s="10">
        <f t="shared" ref="L4:L25" si="1">$L$26/$G$25</f>
        <v>27272.727272727272</v>
      </c>
    </row>
    <row r="5" spans="2:12" ht="20.100000000000001" customHeight="1" x14ac:dyDescent="0.2">
      <c r="B5" s="19">
        <v>42066</v>
      </c>
      <c r="C5" s="26">
        <v>43479</v>
      </c>
      <c r="D5" s="85">
        <f>(SUM(C$4:C5)-(F5*G5))</f>
        <v>-36805.909090909088</v>
      </c>
      <c r="E5" s="24">
        <f>SUM(C$4:C5)/G5</f>
        <v>36142.5</v>
      </c>
      <c r="F5" s="30">
        <f t="shared" si="0"/>
        <v>54545.454545454544</v>
      </c>
      <c r="G5" s="20">
        <f>G4+1</f>
        <v>2</v>
      </c>
      <c r="H5" s="19">
        <v>42066</v>
      </c>
      <c r="I5" s="21">
        <v>24130</v>
      </c>
      <c r="J5" s="10">
        <f>SUM(I$4:I5)-(L5*G5)</f>
        <v>-13308.454545454544</v>
      </c>
      <c r="K5" s="10">
        <f>SUM(I$4:I5)/G5</f>
        <v>20618.5</v>
      </c>
      <c r="L5" s="10">
        <f t="shared" si="1"/>
        <v>27272.727272727272</v>
      </c>
    </row>
    <row r="6" spans="2:12" ht="20.100000000000001" customHeight="1" x14ac:dyDescent="0.2">
      <c r="B6" s="19">
        <v>42067</v>
      </c>
      <c r="C6" s="24">
        <v>21391</v>
      </c>
      <c r="D6" s="85">
        <f>(SUM(C$4:C6)-(F6*G6))</f>
        <v>-69960.363636363647</v>
      </c>
      <c r="E6" s="24">
        <f>SUM(C$4:C6)/G6</f>
        <v>31225.333333333332</v>
      </c>
      <c r="F6" s="30">
        <f t="shared" si="0"/>
        <v>54545.454545454544</v>
      </c>
      <c r="G6" s="20">
        <f t="shared" ref="G6:G11" si="2">G5+1</f>
        <v>3</v>
      </c>
      <c r="H6" s="19">
        <v>42067</v>
      </c>
      <c r="I6" s="21">
        <v>17843</v>
      </c>
      <c r="J6" s="10">
        <f>SUM(I$4:I6)-(L6*G6)</f>
        <v>-22738.181818181823</v>
      </c>
      <c r="K6" s="10">
        <f>SUM(I$4:I6)/G6</f>
        <v>19693.333333333332</v>
      </c>
      <c r="L6" s="10">
        <f t="shared" si="1"/>
        <v>27272.727272727272</v>
      </c>
    </row>
    <row r="7" spans="2:12" ht="19.5" customHeight="1" x14ac:dyDescent="0.2">
      <c r="B7" s="19">
        <v>42068</v>
      </c>
      <c r="C7" s="24">
        <v>60389</v>
      </c>
      <c r="D7" s="85">
        <f>(SUM(C$4:C7)-(F7*G7))</f>
        <v>-64116.818181818177</v>
      </c>
      <c r="E7" s="24">
        <f>SUM(C$4:C7)/G7</f>
        <v>38516.25</v>
      </c>
      <c r="F7" s="30">
        <f t="shared" si="0"/>
        <v>54545.454545454544</v>
      </c>
      <c r="G7" s="20">
        <f t="shared" si="2"/>
        <v>4</v>
      </c>
      <c r="H7" s="19">
        <v>42068</v>
      </c>
      <c r="I7" s="21">
        <v>41881</v>
      </c>
      <c r="J7" s="10">
        <f>SUM(I$4:I7)-(L7*G7)</f>
        <v>-8129.9090909090883</v>
      </c>
      <c r="K7" s="10">
        <f>SUM(I$4:I7)/G7</f>
        <v>25240.25</v>
      </c>
      <c r="L7" s="10">
        <f t="shared" si="1"/>
        <v>27272.727272727272</v>
      </c>
    </row>
    <row r="8" spans="2:12" ht="20.100000000000001" customHeight="1" x14ac:dyDescent="0.2">
      <c r="B8" s="19">
        <v>42069</v>
      </c>
      <c r="C8" s="27">
        <v>39718</v>
      </c>
      <c r="D8" s="85">
        <f>(SUM(C$4:C8)-(F8*G8))</f>
        <v>-78944.272727272706</v>
      </c>
      <c r="E8" s="24">
        <f>SUM(C$4:C8)/G8</f>
        <v>38756.6</v>
      </c>
      <c r="F8" s="30">
        <f t="shared" si="0"/>
        <v>54545.454545454544</v>
      </c>
      <c r="G8" s="20">
        <f t="shared" si="2"/>
        <v>5</v>
      </c>
      <c r="H8" s="19">
        <v>42069</v>
      </c>
      <c r="I8" s="22">
        <v>17139</v>
      </c>
      <c r="J8" s="10">
        <f>SUM(I$4:I8)-(L8*G8)</f>
        <v>-18263.636363636353</v>
      </c>
      <c r="K8" s="10">
        <f>SUM(I$4:I8)/G8</f>
        <v>23620</v>
      </c>
      <c r="L8" s="10">
        <f t="shared" si="1"/>
        <v>27272.727272727272</v>
      </c>
    </row>
    <row r="9" spans="2:12" ht="20.100000000000001" customHeight="1" x14ac:dyDescent="0.2">
      <c r="B9" s="19">
        <v>42072</v>
      </c>
      <c r="C9" s="27">
        <v>51872</v>
      </c>
      <c r="D9" s="85">
        <f>(SUM(C$4:C9)-(F9*G9))</f>
        <v>-81617.727272727294</v>
      </c>
      <c r="E9" s="24">
        <f>SUM(C$4:C9)/G9</f>
        <v>40942.5</v>
      </c>
      <c r="F9" s="30">
        <f t="shared" si="0"/>
        <v>54545.454545454544</v>
      </c>
      <c r="G9" s="20">
        <f t="shared" si="2"/>
        <v>6</v>
      </c>
      <c r="H9" s="19">
        <v>42072</v>
      </c>
      <c r="I9" s="22">
        <v>39591</v>
      </c>
      <c r="J9" s="10">
        <f>SUM(I$4:I9)-(L9*G9)</f>
        <v>-5945.3636363636469</v>
      </c>
      <c r="K9" s="10">
        <f>SUM(I$4:I9)/G9</f>
        <v>26281.833333333332</v>
      </c>
      <c r="L9" s="10">
        <f t="shared" si="1"/>
        <v>27272.727272727272</v>
      </c>
    </row>
    <row r="10" spans="2:12" ht="20.100000000000001" customHeight="1" x14ac:dyDescent="0.2">
      <c r="B10" s="19">
        <v>42073</v>
      </c>
      <c r="C10" s="24">
        <v>21129</v>
      </c>
      <c r="D10" s="85">
        <f>(SUM(C$4:C10)-(F10*G10))</f>
        <v>-115034.18181818182</v>
      </c>
      <c r="E10" s="24">
        <f>SUM(C$4:C10)/G10</f>
        <v>38112</v>
      </c>
      <c r="F10" s="30">
        <f t="shared" si="0"/>
        <v>54545.454545454544</v>
      </c>
      <c r="G10" s="20">
        <v>7</v>
      </c>
      <c r="H10" s="19">
        <v>42073</v>
      </c>
      <c r="I10" s="21">
        <v>41336</v>
      </c>
      <c r="J10" s="10">
        <f>SUM(I$4:I10)-(L10*G10)</f>
        <v>8117.9090909090883</v>
      </c>
      <c r="K10" s="10">
        <f>SUM(I$4:I10)/G10</f>
        <v>28432.428571428572</v>
      </c>
      <c r="L10" s="10">
        <f t="shared" si="1"/>
        <v>27272.727272727272</v>
      </c>
    </row>
    <row r="11" spans="2:12" ht="20.100000000000001" customHeight="1" x14ac:dyDescent="0.2">
      <c r="B11" s="19">
        <v>42074</v>
      </c>
      <c r="C11" s="24">
        <v>54086</v>
      </c>
      <c r="D11" s="85">
        <f>(SUM(C$4:C11)-(F11*G11))</f>
        <v>-115493.63636363635</v>
      </c>
      <c r="E11" s="24">
        <f>SUM(C$4:C11)/G11</f>
        <v>40108.75</v>
      </c>
      <c r="F11" s="30">
        <f t="shared" si="0"/>
        <v>54545.454545454544</v>
      </c>
      <c r="G11" s="20">
        <f t="shared" si="2"/>
        <v>8</v>
      </c>
      <c r="H11" s="19">
        <v>42074</v>
      </c>
      <c r="I11" s="21">
        <v>52644</v>
      </c>
      <c r="J11" s="10">
        <f>SUM(I$4:I11)-(L11*G11)</f>
        <v>33489.181818181823</v>
      </c>
      <c r="K11" s="10">
        <f>SUM(I$4:I11)/G11</f>
        <v>31458.875</v>
      </c>
      <c r="L11" s="10">
        <f t="shared" si="1"/>
        <v>27272.727272727272</v>
      </c>
    </row>
    <row r="12" spans="2:12" ht="20.100000000000001" customHeight="1" x14ac:dyDescent="0.2">
      <c r="B12" s="19">
        <v>42075</v>
      </c>
      <c r="C12" s="29">
        <v>72549</v>
      </c>
      <c r="D12" s="85">
        <f>(SUM(C$4:C12)-(F12*G12))</f>
        <v>-97490.090909090883</v>
      </c>
      <c r="E12" s="24">
        <f>SUM(C$4:C12)/G12</f>
        <v>43713.222222222219</v>
      </c>
      <c r="F12" s="30">
        <f t="shared" si="0"/>
        <v>54545.454545454544</v>
      </c>
      <c r="G12" s="20">
        <v>9</v>
      </c>
      <c r="H12" s="19">
        <v>42075</v>
      </c>
      <c r="I12" s="13">
        <v>32647</v>
      </c>
      <c r="J12" s="10">
        <f>SUM(I$4:I12)-(L12*G12)</f>
        <v>38863.454545454559</v>
      </c>
      <c r="K12" s="10">
        <f>SUM(I$4:I12)/G12</f>
        <v>31590.888888888891</v>
      </c>
      <c r="L12" s="10">
        <f t="shared" si="1"/>
        <v>27272.727272727272</v>
      </c>
    </row>
    <row r="13" spans="2:12" ht="20.100000000000001" customHeight="1" x14ac:dyDescent="0.2">
      <c r="B13" s="19">
        <v>42076</v>
      </c>
      <c r="C13" s="29">
        <v>78058</v>
      </c>
      <c r="D13" s="85">
        <f>(SUM(C$4:C13)-(F13*G13))</f>
        <v>-73977.545454545412</v>
      </c>
      <c r="E13" s="24">
        <f>SUM(C$4:C13)/G13</f>
        <v>47147.7</v>
      </c>
      <c r="F13" s="30">
        <f t="shared" si="0"/>
        <v>54545.454545454544</v>
      </c>
      <c r="G13" s="20">
        <v>10</v>
      </c>
      <c r="H13" s="19">
        <v>42076</v>
      </c>
      <c r="I13" s="12">
        <v>8453</v>
      </c>
      <c r="J13" s="10">
        <f>SUM(I$4:I13)-(L13*G13)</f>
        <v>20043.727272727294</v>
      </c>
      <c r="K13" s="10">
        <f>SUM(I$4:I13)/G13</f>
        <v>29277.1</v>
      </c>
      <c r="L13" s="10">
        <f t="shared" si="1"/>
        <v>27272.727272727272</v>
      </c>
    </row>
    <row r="14" spans="2:12" ht="20.100000000000001" customHeight="1" x14ac:dyDescent="0.2">
      <c r="B14" s="19">
        <v>42079</v>
      </c>
      <c r="C14" s="29">
        <v>57112</v>
      </c>
      <c r="D14" s="85">
        <f>(SUM(C$4:C14)-(F14*G14))</f>
        <v>-71411</v>
      </c>
      <c r="E14" s="24">
        <f>SUM(C$4:C14)/G14</f>
        <v>48053.545454545456</v>
      </c>
      <c r="F14" s="30">
        <f t="shared" si="0"/>
        <v>54545.454545454544</v>
      </c>
      <c r="G14" s="20">
        <v>11</v>
      </c>
      <c r="H14" s="19">
        <v>42079</v>
      </c>
      <c r="I14" s="12">
        <v>34220</v>
      </c>
      <c r="J14" s="10">
        <f>SUM(I$4:I14)-(L14*G14)</f>
        <v>26991</v>
      </c>
      <c r="K14" s="10">
        <f>SUM(I$4:I14)/G14</f>
        <v>29726.454545454544</v>
      </c>
      <c r="L14" s="10">
        <f t="shared" si="1"/>
        <v>27272.727272727272</v>
      </c>
    </row>
    <row r="15" spans="2:12" ht="20.100000000000001" customHeight="1" x14ac:dyDescent="0.2">
      <c r="B15" s="19">
        <v>42080</v>
      </c>
      <c r="C15" s="29">
        <v>59413</v>
      </c>
      <c r="D15" s="85">
        <f>(SUM(C$4:C15)-(F15*G15))</f>
        <v>-66543.454545454588</v>
      </c>
      <c r="E15" s="24">
        <f>SUM(C$4:C15)/G15</f>
        <v>49000.166666666664</v>
      </c>
      <c r="F15" s="30">
        <f t="shared" si="0"/>
        <v>54545.454545454544</v>
      </c>
      <c r="G15" s="20">
        <v>12</v>
      </c>
      <c r="H15" s="19">
        <v>42080</v>
      </c>
      <c r="I15" s="12">
        <v>30249</v>
      </c>
      <c r="J15" s="10">
        <f>SUM(I$4:I15)-(L15*G15)</f>
        <v>29967.272727272706</v>
      </c>
      <c r="K15" s="10">
        <f>SUM(I$4:I15)/G15</f>
        <v>29770</v>
      </c>
      <c r="L15" s="10">
        <f t="shared" si="1"/>
        <v>27272.727272727272</v>
      </c>
    </row>
    <row r="16" spans="2:12" ht="20.100000000000001" customHeight="1" x14ac:dyDescent="0.2">
      <c r="B16" s="19">
        <v>42081</v>
      </c>
      <c r="C16" s="29">
        <v>65788</v>
      </c>
      <c r="D16" s="85">
        <f>(SUM(C$4:C16)-(F16*G16))</f>
        <v>-55300.909090909059</v>
      </c>
      <c r="E16" s="24">
        <f>SUM(C$4:C16)/G16</f>
        <v>50291.538461538461</v>
      </c>
      <c r="F16" s="30">
        <f t="shared" si="0"/>
        <v>54545.454545454544</v>
      </c>
      <c r="G16" s="20">
        <v>13</v>
      </c>
      <c r="H16" s="19">
        <v>42081</v>
      </c>
      <c r="I16" s="12">
        <v>30657</v>
      </c>
      <c r="J16" s="10">
        <f>SUM(I$4:I16)-(L16*G16)</f>
        <v>33351.54545454547</v>
      </c>
      <c r="K16" s="10">
        <f>SUM(I$4:I16)/G16</f>
        <v>29838.23076923077</v>
      </c>
      <c r="L16" s="10">
        <f t="shared" si="1"/>
        <v>27272.727272727272</v>
      </c>
    </row>
    <row r="17" spans="1:12" ht="20.100000000000001" customHeight="1" x14ac:dyDescent="0.2">
      <c r="B17" s="19">
        <v>42082</v>
      </c>
      <c r="C17" s="29">
        <v>55710</v>
      </c>
      <c r="D17" s="85">
        <f>(SUM(C$4:C17)-(F17*G17))</f>
        <v>-54136.363636363647</v>
      </c>
      <c r="E17" s="24">
        <f>SUM(C$4:C17)/G17</f>
        <v>50678.571428571428</v>
      </c>
      <c r="F17" s="30">
        <f t="shared" si="0"/>
        <v>54545.454545454544</v>
      </c>
      <c r="G17" s="20">
        <v>14</v>
      </c>
      <c r="H17" s="19">
        <v>42082</v>
      </c>
      <c r="I17" s="12">
        <v>53052</v>
      </c>
      <c r="J17" s="10">
        <f>SUM(I$4:I17)-(L17*G17)</f>
        <v>59130.818181818177</v>
      </c>
      <c r="K17" s="10">
        <f>SUM(I$4:I17)/G17</f>
        <v>31496.357142857141</v>
      </c>
      <c r="L17" s="10">
        <f t="shared" si="1"/>
        <v>27272.727272727272</v>
      </c>
    </row>
    <row r="18" spans="1:12" ht="20.100000000000001" customHeight="1" x14ac:dyDescent="0.2">
      <c r="B18" s="19">
        <v>42083</v>
      </c>
      <c r="C18" s="29">
        <v>52614</v>
      </c>
      <c r="D18" s="85">
        <f>(SUM(C$4:C18)-(F18*G18))</f>
        <v>-56067.818181818118</v>
      </c>
      <c r="E18" s="24">
        <f>SUM(C$4:C18)/G18</f>
        <v>50807.6</v>
      </c>
      <c r="F18" s="30">
        <f t="shared" si="0"/>
        <v>54545.454545454544</v>
      </c>
      <c r="G18" s="20">
        <v>15</v>
      </c>
      <c r="H18" s="19">
        <v>42083</v>
      </c>
      <c r="I18" s="12">
        <v>26203</v>
      </c>
      <c r="J18" s="10">
        <f>SUM(I$4:I18)-(L18*G18)</f>
        <v>58061.090909090941</v>
      </c>
      <c r="K18" s="10">
        <f>SUM(I$4:I18)/G18</f>
        <v>31143.466666666667</v>
      </c>
      <c r="L18" s="10">
        <f t="shared" si="1"/>
        <v>27272.727272727272</v>
      </c>
    </row>
    <row r="19" spans="1:12" ht="20.100000000000001" customHeight="1" x14ac:dyDescent="0.2">
      <c r="B19" s="19">
        <v>42086</v>
      </c>
      <c r="C19" s="29">
        <v>51430</v>
      </c>
      <c r="D19" s="85">
        <f>(SUM(C$4:C19)-(F19*G19))</f>
        <v>-59183.272727272706</v>
      </c>
      <c r="E19" s="24">
        <f>SUM(C$4:C19)/G19</f>
        <v>50846.5</v>
      </c>
      <c r="F19" s="30">
        <f t="shared" si="0"/>
        <v>54545.454545454544</v>
      </c>
      <c r="G19" s="20">
        <v>16</v>
      </c>
      <c r="H19" s="19">
        <v>42086</v>
      </c>
      <c r="I19" s="12">
        <v>14683</v>
      </c>
      <c r="J19" s="10">
        <f>SUM(I$4:I19)-(L19*G19)</f>
        <v>45471.363636363647</v>
      </c>
      <c r="K19" s="10">
        <f>SUM(I$4:I19)/G19</f>
        <v>30114.6875</v>
      </c>
      <c r="L19" s="10">
        <f t="shared" si="1"/>
        <v>27272.727272727272</v>
      </c>
    </row>
    <row r="20" spans="1:12" ht="20.100000000000001" customHeight="1" x14ac:dyDescent="0.2">
      <c r="B20" s="19">
        <v>42087</v>
      </c>
      <c r="C20" s="29">
        <v>64617</v>
      </c>
      <c r="D20" s="85">
        <f>(SUM(C$4:C20)-(F20*G20))</f>
        <v>-49111.727272727294</v>
      </c>
      <c r="E20" s="24">
        <f>SUM(C$4:C20)/G20</f>
        <v>51656.529411764706</v>
      </c>
      <c r="F20" s="30">
        <f t="shared" si="0"/>
        <v>54545.454545454544</v>
      </c>
      <c r="G20" s="20">
        <v>17</v>
      </c>
      <c r="H20" s="19">
        <v>42087</v>
      </c>
      <c r="I20" s="12">
        <v>34644</v>
      </c>
      <c r="J20" s="10">
        <f>SUM(I$4:I20)-(L20*G20)</f>
        <v>52842.636363636353</v>
      </c>
      <c r="K20" s="10">
        <f>SUM(I$4:I20)/G20</f>
        <v>30381.117647058825</v>
      </c>
      <c r="L20" s="10">
        <f t="shared" si="1"/>
        <v>27272.727272727272</v>
      </c>
    </row>
    <row r="21" spans="1:12" ht="20.100000000000001" customHeight="1" x14ac:dyDescent="0.2">
      <c r="B21" s="19">
        <v>42088</v>
      </c>
      <c r="C21" s="29">
        <v>48711</v>
      </c>
      <c r="D21" s="85">
        <f>(SUM(C$4:C21)-(F21*G21))</f>
        <v>-54946.181818181765</v>
      </c>
      <c r="E21" s="24">
        <f>SUM(C$4:C21)/G21</f>
        <v>51492.888888888891</v>
      </c>
      <c r="F21" s="30">
        <f t="shared" si="0"/>
        <v>54545.454545454544</v>
      </c>
      <c r="G21" s="20">
        <v>18</v>
      </c>
      <c r="H21" s="19">
        <v>42088</v>
      </c>
      <c r="I21" s="12">
        <v>45945</v>
      </c>
      <c r="J21" s="10">
        <f>SUM(I$4:I21)-(L21*G21)</f>
        <v>71514.909090909117</v>
      </c>
      <c r="K21" s="10">
        <f>SUM(I$4:I21)/G21</f>
        <v>31245.777777777777</v>
      </c>
      <c r="L21" s="10">
        <f t="shared" si="1"/>
        <v>27272.727272727272</v>
      </c>
    </row>
    <row r="22" spans="1:12" ht="20.100000000000001" customHeight="1" x14ac:dyDescent="0.2">
      <c r="B22" s="19">
        <v>42089</v>
      </c>
      <c r="C22" s="29">
        <v>41585</v>
      </c>
      <c r="D22" s="85">
        <f>(SUM(C$4:C22)-(F22*G22))</f>
        <v>-67906.636363636353</v>
      </c>
      <c r="E22" s="24">
        <f>SUM(C$4:C22)/G22</f>
        <v>50971.42105263158</v>
      </c>
      <c r="F22" s="30">
        <f t="shared" si="0"/>
        <v>54545.454545454544</v>
      </c>
      <c r="G22" s="20">
        <v>19</v>
      </c>
      <c r="H22" s="19">
        <v>42089</v>
      </c>
      <c r="I22" s="12">
        <v>40494</v>
      </c>
      <c r="J22" s="10">
        <f>SUM(I$4:I22)-(L22*G22)</f>
        <v>84736.181818181823</v>
      </c>
      <c r="K22" s="10">
        <f>SUM(I$4:I22)/G22</f>
        <v>31732.526315789473</v>
      </c>
      <c r="L22" s="10">
        <f t="shared" si="1"/>
        <v>27272.727272727272</v>
      </c>
    </row>
    <row r="23" spans="1:12" ht="20.100000000000001" customHeight="1" x14ac:dyDescent="0.2">
      <c r="B23" s="19">
        <v>42090</v>
      </c>
      <c r="C23" s="29">
        <v>56607</v>
      </c>
      <c r="D23" s="85">
        <f>(SUM(C$4:C23)-(F23*G23))</f>
        <v>-65845.090909090824</v>
      </c>
      <c r="E23" s="24">
        <f>SUM(C$4:C23)/G23</f>
        <v>51253.2</v>
      </c>
      <c r="F23" s="30">
        <f t="shared" si="0"/>
        <v>54545.454545454544</v>
      </c>
      <c r="G23" s="20">
        <v>20</v>
      </c>
      <c r="H23" s="19">
        <v>42090</v>
      </c>
      <c r="I23" s="12">
        <v>38633</v>
      </c>
      <c r="J23" s="10">
        <f>SUM(I$4:I23)-(L23*G23)</f>
        <v>96096.454545454588</v>
      </c>
      <c r="K23" s="10">
        <f>SUM(I$4:I23)/G23</f>
        <v>32077.55</v>
      </c>
      <c r="L23" s="10">
        <f t="shared" si="1"/>
        <v>27272.727272727272</v>
      </c>
    </row>
    <row r="24" spans="1:12" ht="20.100000000000001" customHeight="1" x14ac:dyDescent="0.2">
      <c r="B24" s="19">
        <v>42093</v>
      </c>
      <c r="C24" s="29">
        <v>65564</v>
      </c>
      <c r="D24" s="85">
        <f>(SUM(C$4:C24)-(F24*G24))</f>
        <v>-54826.545454545412</v>
      </c>
      <c r="E24" s="24">
        <f>SUM(C$4:C24)/G24</f>
        <v>51934.666666666664</v>
      </c>
      <c r="F24" s="30">
        <f t="shared" si="0"/>
        <v>54545.454545454544</v>
      </c>
      <c r="G24" s="20">
        <v>21</v>
      </c>
      <c r="H24" s="19">
        <v>42093</v>
      </c>
      <c r="I24" s="12">
        <v>29426</v>
      </c>
      <c r="J24" s="10">
        <f>SUM(I$4:I24)-(L24*G24)</f>
        <v>98249.727272727294</v>
      </c>
      <c r="K24" s="10">
        <f>SUM(I$4:I24)/G24</f>
        <v>31951.285714285714</v>
      </c>
      <c r="L24" s="10">
        <f t="shared" si="1"/>
        <v>27272.727272727272</v>
      </c>
    </row>
    <row r="25" spans="1:12" ht="20.100000000000001" customHeight="1" x14ac:dyDescent="0.2">
      <c r="B25" s="19">
        <v>42093</v>
      </c>
      <c r="C25" s="29">
        <v>24063</v>
      </c>
      <c r="D25" s="85">
        <f>(SUM(C$4:C25)-(F25*G25))</f>
        <v>-85309</v>
      </c>
      <c r="E25" s="24">
        <f>SUM(C$4:C25)/G25</f>
        <v>50667.772727272728</v>
      </c>
      <c r="F25" s="30">
        <f t="shared" si="0"/>
        <v>54545.454545454544</v>
      </c>
      <c r="G25" s="20">
        <v>22</v>
      </c>
      <c r="H25" s="19">
        <v>42093</v>
      </c>
      <c r="I25" s="12">
        <v>12476</v>
      </c>
      <c r="J25" s="10">
        <f>SUM(I$4:I25)-(L25*G25)</f>
        <v>83453</v>
      </c>
      <c r="K25" s="10">
        <f>SUM(I$4:I25)/G25</f>
        <v>31066.045454545456</v>
      </c>
      <c r="L25" s="10">
        <f t="shared" si="1"/>
        <v>27272.727272727272</v>
      </c>
    </row>
    <row r="26" spans="1:12" ht="20.100000000000001" customHeight="1" x14ac:dyDescent="0.2">
      <c r="B26" s="19" t="s">
        <v>8</v>
      </c>
      <c r="C26" s="12">
        <f>SUM(C4:C25)</f>
        <v>1114691</v>
      </c>
      <c r="D26" s="86"/>
      <c r="E26" s="23"/>
      <c r="F26" s="30">
        <v>1200000</v>
      </c>
      <c r="G26" s="18"/>
      <c r="H26" s="11" t="s">
        <v>8</v>
      </c>
      <c r="I26" s="12">
        <f>SUM(I4:I25)</f>
        <v>683453</v>
      </c>
      <c r="J26" s="8"/>
      <c r="K26" s="8"/>
      <c r="L26" s="10">
        <v>600000</v>
      </c>
    </row>
    <row r="27" spans="1:12" ht="19.5" customHeight="1" x14ac:dyDescent="0.2"/>
    <row r="28" spans="1:12" ht="19.5" customHeight="1" x14ac:dyDescent="0.2"/>
    <row r="30" spans="1:12" x14ac:dyDescent="0.2">
      <c r="A30" s="156"/>
      <c r="B30" s="156"/>
      <c r="C30" s="156"/>
      <c r="D30" s="156"/>
      <c r="I30" s="34"/>
      <c r="J30" s="32"/>
    </row>
    <row r="31" spans="1:12" x14ac:dyDescent="0.2">
      <c r="F31" s="88"/>
      <c r="L31" s="33"/>
    </row>
    <row r="32" spans="1:12" x14ac:dyDescent="0.2">
      <c r="F32" s="88"/>
    </row>
    <row r="34" spans="6:6" x14ac:dyDescent="0.2">
      <c r="F34" s="88"/>
    </row>
  </sheetData>
  <mergeCells count="5">
    <mergeCell ref="B1:F1"/>
    <mergeCell ref="H1:L1"/>
    <mergeCell ref="B2:F2"/>
    <mergeCell ref="H2:L2"/>
    <mergeCell ref="A30:D30"/>
  </mergeCells>
  <conditionalFormatting sqref="D4:D25 J4:J26">
    <cfRule type="cellIs" dxfId="188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Plan95">
    <tabColor rgb="FF92D050"/>
  </sheetPr>
  <dimension ref="A1:CD41"/>
  <sheetViews>
    <sheetView topLeftCell="AU1" zoomScale="80" zoomScaleNormal="80" workbookViewId="0">
      <selection activeCell="D5" sqref="D5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7.140625" style="6" customWidth="1"/>
    <col min="11" max="11" width="8" style="6" customWidth="1"/>
    <col min="12" max="12" width="8.7109375" style="6" customWidth="1"/>
    <col min="13" max="13" width="9.28515625" style="6" customWidth="1"/>
    <col min="14" max="14" width="6.28515625" style="6" customWidth="1"/>
    <col min="15" max="15" width="10.28515625" style="6" customWidth="1"/>
    <col min="16" max="16" width="9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5" width="8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8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1" width="9.140625" style="6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80" width="9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34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47" t="s">
        <v>36</v>
      </c>
      <c r="BZ1" s="157"/>
      <c r="CA1" s="157"/>
      <c r="CB1" s="157"/>
      <c r="CC1" s="157"/>
      <c r="CD1" s="158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59"/>
      <c r="BZ2" s="160"/>
      <c r="CA2" s="160"/>
      <c r="CB2" s="160"/>
      <c r="CC2" s="160"/>
      <c r="CD2" s="161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62"/>
      <c r="BZ3" s="163"/>
      <c r="CA3" s="163"/>
      <c r="CB3" s="163"/>
      <c r="CC3" s="163"/>
      <c r="CD3" s="164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41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">
        <v>41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">
        <v>41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">
        <v>41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">
        <v>41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24</v>
      </c>
      <c r="C7" s="75"/>
      <c r="D7" s="75"/>
      <c r="E7" s="75">
        <f>IF(D7&gt;0,SUM(D$7:D7)-SUM(C$7:C7),0)</f>
        <v>0</v>
      </c>
      <c r="F7" s="45">
        <f>IF(D7&gt;0,IF(C7&gt;0,D7/C7,0),0)</f>
        <v>0</v>
      </c>
      <c r="G7" s="80"/>
      <c r="H7" s="75"/>
      <c r="I7" s="75">
        <f>IF(H7&gt;0,SUM(H$7:H7)-SUM(G$7:G7),0)</f>
        <v>0</v>
      </c>
      <c r="J7" s="45">
        <f t="shared" ref="J7:J14" si="0">IF(H7&gt;0,IF(G7&gt;0,H7/G7,0),0)</f>
        <v>0</v>
      </c>
      <c r="K7" s="75"/>
      <c r="L7" s="75"/>
      <c r="M7" s="75">
        <f>IF(L7&gt;0,SUM(L$7:L7)-SUM(K$7:K7),0)</f>
        <v>0</v>
      </c>
      <c r="N7" s="45">
        <f t="shared" ref="N7:N17" si="1">IF(L7&gt;0,IF(K7&gt;0,L7/K7,0),0)</f>
        <v>0</v>
      </c>
      <c r="O7" s="35">
        <f t="shared" ref="O7:P38" si="2">IF(SUM(C7,G7,K7)&gt;0,SUM(C7,G7,K7),0)</f>
        <v>0</v>
      </c>
      <c r="P7" s="35">
        <f>IF(SUM(D7,H7,L7)&gt;0,SUM(D7,H7,L7),0)</f>
        <v>0</v>
      </c>
      <c r="Q7" s="35">
        <f>IF(P7&gt;0,SUM(P$7:P7)-SUM(O$7:O7),0)</f>
        <v>0</v>
      </c>
      <c r="R7" s="45">
        <f>IF(P7&gt;0,IF(O7&gt;0,P7/O7,0),0)</f>
        <v>0</v>
      </c>
      <c r="T7" s="47">
        <v>40817</v>
      </c>
      <c r="U7" s="54" t="s">
        <v>24</v>
      </c>
      <c r="V7" s="75"/>
      <c r="W7" s="75"/>
      <c r="X7" s="76">
        <f>IF(W7&gt;0,SUM(W$7:W7)-SUM(V$7:V7),0)</f>
        <v>0</v>
      </c>
      <c r="Y7" s="60">
        <f>IF(W7&gt;0,IF(V7&gt;0,W7/V7,0),0)</f>
        <v>0</v>
      </c>
      <c r="Z7" s="75"/>
      <c r="AA7" s="75"/>
      <c r="AB7" s="76">
        <f>IF(AA7&gt;0,SUM(AA$7:AA7)-SUM(Z$7:Z7),0)</f>
        <v>0</v>
      </c>
      <c r="AC7" s="60">
        <f>IF(AA7&gt;0,IF(Z7&gt;0,AA7/Z7,0),0)</f>
        <v>0</v>
      </c>
      <c r="AD7" s="75"/>
      <c r="AE7" s="75"/>
      <c r="AF7" s="76">
        <f>IF(AE7&gt;0,SUM(AE$7:AE7)-SUM(AD$7:AD7),0)</f>
        <v>0</v>
      </c>
      <c r="AG7" s="60">
        <f>IF(AE7&gt;0,IF(AD7&gt;0,AE7/AD7,0),0)</f>
        <v>0</v>
      </c>
      <c r="AH7" s="41">
        <f t="shared" ref="AH7:AI38" si="3">IF(SUM(V7,Z7,AD7)&gt;0,SUM(V7,Z7,AD7),0)</f>
        <v>0</v>
      </c>
      <c r="AI7" s="41">
        <f t="shared" si="3"/>
        <v>0</v>
      </c>
      <c r="AJ7" s="41">
        <f>IF(AI7&gt;0,SUM(AI$7:AI7)-SUM(AH$7:AH7),0)</f>
        <v>0</v>
      </c>
      <c r="AK7" s="60">
        <f>IF(AI7&gt;0,IF(AH7&gt;0,AI7/AH7,0),0)</f>
        <v>0</v>
      </c>
      <c r="AM7" s="47">
        <v>40817</v>
      </c>
      <c r="AN7" s="54" t="s">
        <v>24</v>
      </c>
      <c r="AO7" s="75"/>
      <c r="AP7" s="75"/>
      <c r="AQ7" s="75">
        <f>IF(AP7&gt;0,SUM(AP$7:AP7)-SUM(AO$7:AO7),0)</f>
        <v>0</v>
      </c>
      <c r="AR7" s="45">
        <f>IF(AP7&gt;0,IF(AO7&gt;0,AP7/AO7,0),0)</f>
        <v>0</v>
      </c>
      <c r="AS7" s="75"/>
      <c r="AT7" s="75"/>
      <c r="AU7" s="75">
        <f>IF(AT7&gt;0,SUM(AT$7:AT7)-SUM(AS$7:AS7),0)</f>
        <v>0</v>
      </c>
      <c r="AV7" s="45">
        <f>IF(AT7&gt;0,IF(AS7&gt;0,AT7/AS7,0),0)</f>
        <v>0</v>
      </c>
      <c r="AW7" s="75"/>
      <c r="AX7" s="75"/>
      <c r="AY7" s="75">
        <f>IF(AX7&gt;0,SUM(AX$7:AX7)-SUM(AW$7:AW7),0)</f>
        <v>0</v>
      </c>
      <c r="AZ7" s="45">
        <f>IF(AX7&gt;0,IF(AW7&gt;0,AX7/AW7,0),0)</f>
        <v>0</v>
      </c>
      <c r="BA7" s="35">
        <f t="shared" ref="BA7:BB38" si="4">IF(SUM(AO7,AS7,AW7)&gt;0,SUM(AO7,AS7,AW7),0)</f>
        <v>0</v>
      </c>
      <c r="BB7" s="35">
        <f t="shared" si="4"/>
        <v>0</v>
      </c>
      <c r="BC7" s="35">
        <f>IF(BB7&gt;0,SUM(BB$7:BB7)-SUM(BA$7:BA7),0)</f>
        <v>0</v>
      </c>
      <c r="BD7" s="45">
        <f>IF(BB7&gt;0,IF(BA7&gt;0,BB7/BA7,0),0)</f>
        <v>0</v>
      </c>
      <c r="BF7" s="47">
        <v>40817</v>
      </c>
      <c r="BG7" s="54" t="s">
        <v>24</v>
      </c>
      <c r="BH7" s="75"/>
      <c r="BI7" s="75"/>
      <c r="BJ7" s="75">
        <f>IF(BI7&gt;0,SUM(BI$7:BI7)-SUM(BH$7:BH7),0)</f>
        <v>0</v>
      </c>
      <c r="BK7" s="45">
        <f>IF(BI7&gt;0,IF(BH7&gt;0,BI7/BH7,0),0)</f>
        <v>0</v>
      </c>
      <c r="BL7" s="75"/>
      <c r="BM7" s="75"/>
      <c r="BN7" s="75">
        <f>IF(BM7&gt;0,SUM(BM$7:BM7)-SUM(BL$7:BL7),0)</f>
        <v>0</v>
      </c>
      <c r="BO7" s="45">
        <f>IF(BM7&gt;0,IF(BL7&gt;0,BM7/BL7,0),0)</f>
        <v>0</v>
      </c>
      <c r="BP7" s="75"/>
      <c r="BQ7" s="75"/>
      <c r="BR7" s="75">
        <f>IF(BQ7&gt;0,SUM(BQ$7:BQ7)-SUM(BP$7:BP7),0)</f>
        <v>0</v>
      </c>
      <c r="BS7" s="45">
        <f>IF(BQ7&gt;0,IF(BP7&gt;0,BQ7/BP7,0),0)</f>
        <v>0</v>
      </c>
      <c r="BT7" s="35">
        <f t="shared" ref="BT7:BU38" si="5">IF(SUM(BH7,BL7,BP7)&gt;0,SUM(BH7,BL7,BP7),0)</f>
        <v>0</v>
      </c>
      <c r="BU7" s="35">
        <f t="shared" si="5"/>
        <v>0</v>
      </c>
      <c r="BV7" s="35">
        <f>IF(BU7&gt;0,SUM(BU$7:BU7)-SUM(BT$7:BT7),0)</f>
        <v>0</v>
      </c>
      <c r="BW7" s="45">
        <f>IF(BU7&gt;0,IF(BT7&gt;0,BU7/BT7,0),0)</f>
        <v>0</v>
      </c>
      <c r="BY7" s="47">
        <v>40817</v>
      </c>
      <c r="BZ7" s="54" t="s">
        <v>24</v>
      </c>
      <c r="CA7" s="75"/>
      <c r="CB7" s="75"/>
      <c r="CC7" s="75">
        <f>IF(CB7&gt;0,SUM(CB$7:CB7)-SUM(CA7:CA$7),0)</f>
        <v>0</v>
      </c>
      <c r="CD7" s="45">
        <f>IF(CB7&gt;0,IF(CA7&gt;0,CB7/CA7,0),0)</f>
        <v>0</v>
      </c>
    </row>
    <row r="8" spans="1:82" x14ac:dyDescent="0.25">
      <c r="A8" s="47">
        <f>A7+1</f>
        <v>40818</v>
      </c>
      <c r="B8" s="54" t="s">
        <v>25</v>
      </c>
      <c r="C8" s="75"/>
      <c r="D8" s="75"/>
      <c r="E8" s="75">
        <f>IF(D8&gt;0,SUM(D$7:D8)-SUM(C$7:C8),0)</f>
        <v>0</v>
      </c>
      <c r="F8" s="45">
        <f>IF(D8&gt;0,IF(C8&gt;0,D8/C8,0),0)</f>
        <v>0</v>
      </c>
      <c r="G8" s="80"/>
      <c r="H8" s="36"/>
      <c r="I8" s="75">
        <f>IF(H8&gt;0,SUM(H$7:H8)-SUM(G$7:G8),0)</f>
        <v>0</v>
      </c>
      <c r="J8" s="45">
        <f t="shared" si="0"/>
        <v>0</v>
      </c>
      <c r="K8" s="75"/>
      <c r="L8" s="75"/>
      <c r="M8" s="75">
        <f>IF(L8&gt;0,SUM(L$7:L8)-SUM(K$7:K8),0)</f>
        <v>0</v>
      </c>
      <c r="N8" s="45">
        <f t="shared" si="1"/>
        <v>0</v>
      </c>
      <c r="O8" s="35">
        <f t="shared" si="2"/>
        <v>0</v>
      </c>
      <c r="P8" s="35">
        <f t="shared" si="2"/>
        <v>0</v>
      </c>
      <c r="Q8" s="35">
        <f>IF(P8&gt;0,SUM(P$7:P8)-SUM(O$7:O8),0)</f>
        <v>0</v>
      </c>
      <c r="R8" s="45">
        <f>IF(P8&gt;0,IF(O8&gt;0,P8/O8,0),0)</f>
        <v>0</v>
      </c>
      <c r="T8" s="47">
        <f>T7+1</f>
        <v>40818</v>
      </c>
      <c r="U8" s="54" t="s">
        <v>25</v>
      </c>
      <c r="V8" s="75"/>
      <c r="W8" s="75"/>
      <c r="X8" s="76">
        <f>IF(W8&gt;0,SUM(W$7:W8)-SUM(V$7:V8),0)</f>
        <v>0</v>
      </c>
      <c r="Y8" s="60">
        <f>IF(W8&gt;0,IF(V8&gt;0,W8/V8,0),0)</f>
        <v>0</v>
      </c>
      <c r="Z8" s="75"/>
      <c r="AA8" s="75"/>
      <c r="AB8" s="76">
        <f>IF(AA8&gt;0,SUM(AA$7:AA8)-SUM(Z$7:Z8),0)</f>
        <v>0</v>
      </c>
      <c r="AC8" s="60">
        <f>IF(AA8&gt;0,IF(Z8&gt;0,AA8/Z8,0),0)</f>
        <v>0</v>
      </c>
      <c r="AD8" s="75"/>
      <c r="AE8" s="75"/>
      <c r="AF8" s="76">
        <f>IF(AE8&gt;0,SUM(AE$7:AE8)-SUM(AD$7:AD8),0)</f>
        <v>0</v>
      </c>
      <c r="AG8" s="60">
        <f>IF(AE8&gt;0,IF(AD8&gt;0,AE8/AD8,0),0)</f>
        <v>0</v>
      </c>
      <c r="AH8" s="41">
        <f t="shared" si="3"/>
        <v>0</v>
      </c>
      <c r="AI8" s="41">
        <f t="shared" si="3"/>
        <v>0</v>
      </c>
      <c r="AJ8" s="41">
        <f>IF(AI8&gt;0,SUM(AI$7:AI8)-SUM(AH$7:AH8),0)</f>
        <v>0</v>
      </c>
      <c r="AK8" s="60">
        <f>IF(AI8&gt;0,IF(AH8&gt;0,AI8/AH8,0),0)</f>
        <v>0</v>
      </c>
      <c r="AM8" s="47">
        <f>AM7+1</f>
        <v>40818</v>
      </c>
      <c r="AN8" s="54" t="s">
        <v>25</v>
      </c>
      <c r="AO8" s="75"/>
      <c r="AP8" s="75"/>
      <c r="AQ8" s="75">
        <f>IF(AP8&gt;0,SUM(AP$7:AP8)-SUM(AO$7:AO8),0)</f>
        <v>0</v>
      </c>
      <c r="AR8" s="45">
        <f>IF(AP8&gt;0,IF(AO8&gt;0,AP8/AO8,0),0)</f>
        <v>0</v>
      </c>
      <c r="AS8" s="75"/>
      <c r="AT8" s="75"/>
      <c r="AU8" s="75">
        <f>IF(AT8&gt;0,SUM(AT$7:AT8)-SUM(AS$7:AS8),0)</f>
        <v>0</v>
      </c>
      <c r="AV8" s="45">
        <f>IF(AT8&gt;0,IF(AS8&gt;0,AT8/AS8,0),0)</f>
        <v>0</v>
      </c>
      <c r="AW8" s="75"/>
      <c r="AX8" s="75"/>
      <c r="AY8" s="75">
        <f>IF(AX8&gt;0,SUM(AX$7:AX8)-SUM(AW$7:AW8),0)</f>
        <v>0</v>
      </c>
      <c r="AZ8" s="45">
        <f>IF(AX8&gt;0,IF(AW8&gt;0,AX8/AW8,0),0)</f>
        <v>0</v>
      </c>
      <c r="BA8" s="35">
        <f t="shared" si="4"/>
        <v>0</v>
      </c>
      <c r="BB8" s="35">
        <f t="shared" si="4"/>
        <v>0</v>
      </c>
      <c r="BC8" s="35">
        <f>IF(BB8&gt;0,SUM(BB$7:BB8)-SUM(BA$7:BA8),0)</f>
        <v>0</v>
      </c>
      <c r="BD8" s="45">
        <f>IF(BB8&gt;0,IF(BA8&gt;0,BB8/BA8,0),0)</f>
        <v>0</v>
      </c>
      <c r="BF8" s="47">
        <f>BF7+1</f>
        <v>40818</v>
      </c>
      <c r="BG8" s="54" t="s">
        <v>25</v>
      </c>
      <c r="BH8" s="75"/>
      <c r="BI8" s="75"/>
      <c r="BJ8" s="75">
        <f>IF(BI8&gt;0,SUM(BI$7:BI8)-SUM(BH$7:BH8),0)</f>
        <v>0</v>
      </c>
      <c r="BK8" s="45">
        <f>IF(BI8&gt;0,IF(BH8&gt;0,BI8/BH8,0),0)</f>
        <v>0</v>
      </c>
      <c r="BL8" s="75"/>
      <c r="BM8" s="75"/>
      <c r="BN8" s="75">
        <f>IF(BM8&gt;0,SUM(BM$7:BM8)-SUM(BL$7:BL8),0)</f>
        <v>0</v>
      </c>
      <c r="BO8" s="45">
        <f>IF(BM8&gt;0,IF(BL8&gt;0,BM8/BL8,0),0)</f>
        <v>0</v>
      </c>
      <c r="BP8" s="75"/>
      <c r="BQ8" s="75"/>
      <c r="BR8" s="75">
        <f>IF(BQ8&gt;0,SUM(BQ$7:BQ8)-SUM(BP$7:BP8),0)</f>
        <v>0</v>
      </c>
      <c r="BS8" s="45">
        <f>IF(BQ8&gt;0,IF(BP8&gt;0,BQ8/BP8,0),0)</f>
        <v>0</v>
      </c>
      <c r="BT8" s="35">
        <f t="shared" si="5"/>
        <v>0</v>
      </c>
      <c r="BU8" s="35">
        <f t="shared" si="5"/>
        <v>0</v>
      </c>
      <c r="BV8" s="35">
        <f>IF(BU8&gt;0,SUM(BU$7:BU8)-SUM(BT$7:BT8),0)</f>
        <v>0</v>
      </c>
      <c r="BW8" s="45">
        <f>IF(BU8&gt;0,IF(BT8&gt;0,BU8/BT8,0),0)</f>
        <v>0</v>
      </c>
      <c r="BY8" s="47">
        <f>BY7+1</f>
        <v>40818</v>
      </c>
      <c r="BZ8" s="54" t="s">
        <v>25</v>
      </c>
      <c r="CA8" s="75"/>
      <c r="CB8" s="75"/>
      <c r="CC8" s="75">
        <f>IF(CB8&gt;0,SUM(CB$7:CB8)-SUM(CA$7:CA8),0)</f>
        <v>0</v>
      </c>
      <c r="CD8" s="45">
        <f>IF(CB8&gt;0,IF(CA8&gt;0,CB8/CA8,0),0)</f>
        <v>0</v>
      </c>
    </row>
    <row r="9" spans="1:82" x14ac:dyDescent="0.25">
      <c r="A9" s="47">
        <f t="shared" ref="A9:A36" si="6">A8+1</f>
        <v>40819</v>
      </c>
      <c r="B9" s="54" t="s">
        <v>26</v>
      </c>
      <c r="C9" s="75"/>
      <c r="D9" s="75"/>
      <c r="E9" s="75">
        <f>IF(D9&gt;0,SUM(D$7:D9)-SUM(C$7:C9),0)</f>
        <v>0</v>
      </c>
      <c r="F9" s="45">
        <f t="shared" ref="F9:F38" si="7">IF(D9&gt;0,IF(C9&gt;0,D9/C9,0),0)</f>
        <v>0</v>
      </c>
      <c r="G9" s="80"/>
      <c r="H9" s="75"/>
      <c r="I9" s="75">
        <f>IF(H9&gt;0,SUM(H$7:H9)-SUM(G$7:G9),0)</f>
        <v>0</v>
      </c>
      <c r="J9" s="45">
        <f t="shared" si="0"/>
        <v>0</v>
      </c>
      <c r="K9" s="75"/>
      <c r="L9" s="75"/>
      <c r="M9" s="75">
        <f>IF(L9&gt;0,SUM(L$7:L9)-SUM(K$7:K9),0)</f>
        <v>0</v>
      </c>
      <c r="N9" s="45">
        <f t="shared" si="1"/>
        <v>0</v>
      </c>
      <c r="O9" s="35">
        <f t="shared" si="2"/>
        <v>0</v>
      </c>
      <c r="P9" s="35">
        <f t="shared" si="2"/>
        <v>0</v>
      </c>
      <c r="Q9" s="35">
        <f>IF(P9&gt;0,SUM(P$7:P9)-SUM(O$7:O9),0)</f>
        <v>0</v>
      </c>
      <c r="R9" s="45">
        <f t="shared" ref="R9:R38" si="8">IF(P9&gt;0,IF(O9&gt;0,P9/O9,0),0)</f>
        <v>0</v>
      </c>
      <c r="T9" s="47">
        <f t="shared" ref="T9:T36" si="9">T8+1</f>
        <v>40819</v>
      </c>
      <c r="U9" s="54" t="s">
        <v>26</v>
      </c>
      <c r="V9" s="75"/>
      <c r="W9" s="75"/>
      <c r="X9" s="76">
        <f>IF(W9&gt;0,SUM(W$7:W9)-SUM(V$7:V9),0)</f>
        <v>0</v>
      </c>
      <c r="Y9" s="60">
        <f t="shared" ref="Y9:Y38" si="10">IF(W9&gt;0,IF(V9&gt;0,W9/V9,0),0)</f>
        <v>0</v>
      </c>
      <c r="Z9" s="75"/>
      <c r="AA9" s="75"/>
      <c r="AB9" s="76">
        <f>IF(AA9&gt;0,SUM(AA$7:AA9)-SUM(Z$7:Z9),0)</f>
        <v>0</v>
      </c>
      <c r="AC9" s="60">
        <f t="shared" ref="AC9:AC38" si="11">IF(AA9&gt;0,IF(Z9&gt;0,AA9/Z9,0),0)</f>
        <v>0</v>
      </c>
      <c r="AD9" s="75"/>
      <c r="AE9" s="75"/>
      <c r="AF9" s="76">
        <f>IF(AE9&gt;0,SUM(AE$7:AE9)-SUM(AD$7:AD9),0)</f>
        <v>0</v>
      </c>
      <c r="AG9" s="60">
        <f t="shared" ref="AG9:AG38" si="12">IF(AE9&gt;0,IF(AD9&gt;0,AE9/AD9,0),0)</f>
        <v>0</v>
      </c>
      <c r="AH9" s="41">
        <f t="shared" si="3"/>
        <v>0</v>
      </c>
      <c r="AI9" s="41">
        <f t="shared" si="3"/>
        <v>0</v>
      </c>
      <c r="AJ9" s="41">
        <f>IF(AI9&gt;0,SUM(AI$7:AI9)-SUM(AH$7:AH9),0)</f>
        <v>0</v>
      </c>
      <c r="AK9" s="60">
        <f t="shared" ref="AK9:AK38" si="13">IF(AI9&gt;0,IF(AH9&gt;0,AI9/AH9,0),0)</f>
        <v>0</v>
      </c>
      <c r="AM9" s="47">
        <f t="shared" ref="AM9:AM36" si="14">AM8+1</f>
        <v>40819</v>
      </c>
      <c r="AN9" s="54" t="s">
        <v>26</v>
      </c>
      <c r="AO9" s="75"/>
      <c r="AP9" s="75"/>
      <c r="AQ9" s="75">
        <f>IF(AP9&gt;0,SUM(AP$7:AP9)-SUM(AO$7:AO9),0)</f>
        <v>0</v>
      </c>
      <c r="AR9" s="45">
        <f t="shared" ref="AR9:AR38" si="15">IF(AP9&gt;0,IF(AO9&gt;0,AP9/AO9,0),0)</f>
        <v>0</v>
      </c>
      <c r="AS9" s="75"/>
      <c r="AT9" s="75"/>
      <c r="AU9" s="75">
        <f>IF(AT9&gt;0,SUM(AT$7:AT9)-SUM(AS$7:AS9),0)</f>
        <v>0</v>
      </c>
      <c r="AV9" s="45">
        <f t="shared" ref="AV9:AV38" si="16">IF(AT9&gt;0,IF(AS9&gt;0,AT9/AS9,0),0)</f>
        <v>0</v>
      </c>
      <c r="AW9" s="75"/>
      <c r="AX9" s="75"/>
      <c r="AY9" s="75">
        <f>IF(AX9&gt;0,SUM(AX$7:AX9)-SUM(AW$7:AW9),0)</f>
        <v>0</v>
      </c>
      <c r="AZ9" s="45">
        <f>IF(AX9&gt;0,IF(AW9&gt;0,AX9/AW9,0),0)</f>
        <v>0</v>
      </c>
      <c r="BA9" s="35">
        <f>IF(SUM(AO9,AS9,AW9)&gt;0,SUM(AO9,AS9,AW9),0)</f>
        <v>0</v>
      </c>
      <c r="BB9" s="35">
        <f t="shared" si="4"/>
        <v>0</v>
      </c>
      <c r="BC9" s="35">
        <f>IF(BB9&gt;0,SUM(BB$7:BB9)-SUM(BA$7:BA9),0)</f>
        <v>0</v>
      </c>
      <c r="BD9" s="45">
        <f t="shared" ref="BD9:BD38" si="17">IF(BB9&gt;0,IF(BA9&gt;0,BB9/BA9,0),0)</f>
        <v>0</v>
      </c>
      <c r="BF9" s="47">
        <f t="shared" ref="BF9:BF36" si="18">BF8+1</f>
        <v>40819</v>
      </c>
      <c r="BG9" s="54" t="s">
        <v>26</v>
      </c>
      <c r="BH9" s="75"/>
      <c r="BI9" s="75"/>
      <c r="BJ9" s="75">
        <f>IF(BI9&gt;0,SUM(BI$7:BI9)-SUM(BH$7:BH9),0)</f>
        <v>0</v>
      </c>
      <c r="BK9" s="45">
        <f t="shared" ref="BK9:BK38" si="19">IF(BI9&gt;0,IF(BH9&gt;0,BI9/BH9,0),0)</f>
        <v>0</v>
      </c>
      <c r="BL9" s="75"/>
      <c r="BM9" s="75"/>
      <c r="BN9" s="75">
        <f>IF(BM9&gt;0,SUM(BM$7:BM9)-SUM(BL$7:BL9),0)</f>
        <v>0</v>
      </c>
      <c r="BO9" s="45">
        <f t="shared" ref="BO9:BO38" si="20">IF(BM9&gt;0,IF(BL9&gt;0,BM9/BL9,0),0)</f>
        <v>0</v>
      </c>
      <c r="BP9" s="75"/>
      <c r="BQ9" s="75"/>
      <c r="BR9" s="75">
        <f>IF(BQ9&gt;0,SUM(BQ$7:BQ9)-SUM(BP$7:BP9),0)</f>
        <v>0</v>
      </c>
      <c r="BS9" s="45">
        <f>IF(BQ9&gt;0,IF(BP9&gt;0,BQ9/BP9,0),0)</f>
        <v>0</v>
      </c>
      <c r="BT9" s="35">
        <f>IF(SUM(BH9,BL9,BP9)&gt;0,SUM(BH9,BL9,BP9),0)</f>
        <v>0</v>
      </c>
      <c r="BU9" s="35">
        <f t="shared" si="5"/>
        <v>0</v>
      </c>
      <c r="BV9" s="35">
        <f>IF(BU9&gt;0,SUM(BU$7:BU9)-SUM(BT$7:BT9),0)</f>
        <v>0</v>
      </c>
      <c r="BW9" s="45">
        <f t="shared" ref="BW9:BW38" si="21">IF(BU9&gt;0,IF(BT9&gt;0,BU9/BT9,0),0)</f>
        <v>0</v>
      </c>
      <c r="BY9" s="47">
        <f t="shared" ref="BY9:BY36" si="22">BY8+1</f>
        <v>40819</v>
      </c>
      <c r="BZ9" s="54" t="s">
        <v>26</v>
      </c>
      <c r="CA9" s="75"/>
      <c r="CB9" s="75"/>
      <c r="CC9" s="75">
        <f>IF(CB9&gt;0,SUM(CB$7:CB9)-SUM(CA$7:CA9),0)</f>
        <v>0</v>
      </c>
      <c r="CD9" s="45">
        <f t="shared" ref="CD9:CD38" si="23">IF(CB9&gt;0,IF(CA9&gt;0,CB9/CA9,0),0)</f>
        <v>0</v>
      </c>
    </row>
    <row r="10" spans="1:82" x14ac:dyDescent="0.25">
      <c r="A10" s="47">
        <f t="shared" si="6"/>
        <v>40820</v>
      </c>
      <c r="B10" s="54" t="s">
        <v>27</v>
      </c>
      <c r="C10" s="75">
        <v>15000</v>
      </c>
      <c r="D10" s="75">
        <v>4699</v>
      </c>
      <c r="E10" s="75">
        <f>IF(D10&gt;0,SUM(D$7:D10)-SUM(C$7:C10),0)</f>
        <v>-10301</v>
      </c>
      <c r="F10" s="45">
        <f t="shared" si="7"/>
        <v>0.31326666666666669</v>
      </c>
      <c r="G10" s="80"/>
      <c r="H10" s="75"/>
      <c r="I10" s="75">
        <f>IF(H10&gt;0,SUM(H$7:H10)-SUM(G$7:G10),0)</f>
        <v>0</v>
      </c>
      <c r="J10" s="45">
        <f t="shared" si="0"/>
        <v>0</v>
      </c>
      <c r="K10" s="75">
        <v>15000</v>
      </c>
      <c r="L10" s="75">
        <v>4699</v>
      </c>
      <c r="M10" s="75">
        <f>IF(L10&gt;0,SUM(L$7:L10)-SUM(K$7:K10),0)</f>
        <v>-10301</v>
      </c>
      <c r="N10" s="45">
        <f t="shared" si="1"/>
        <v>0.31326666666666669</v>
      </c>
      <c r="O10" s="35">
        <f t="shared" si="2"/>
        <v>30000</v>
      </c>
      <c r="P10" s="35">
        <f t="shared" si="2"/>
        <v>9398</v>
      </c>
      <c r="Q10" s="35">
        <f>IF(P10&gt;0,SUM(P$7:P10)-SUM(O$7:O10),0)</f>
        <v>-20602</v>
      </c>
      <c r="R10" s="45">
        <f t="shared" si="8"/>
        <v>0.31326666666666669</v>
      </c>
      <c r="T10" s="47">
        <f t="shared" si="9"/>
        <v>40820</v>
      </c>
      <c r="U10" s="54" t="s">
        <v>27</v>
      </c>
      <c r="V10" s="75">
        <v>14000</v>
      </c>
      <c r="W10" s="75">
        <v>7884</v>
      </c>
      <c r="X10" s="76">
        <f>IF(W10&gt;0,SUM(W$7:W10)-SUM(V$7:V10),0)</f>
        <v>-6116</v>
      </c>
      <c r="Y10" s="60">
        <f t="shared" si="10"/>
        <v>0.56314285714285717</v>
      </c>
      <c r="Z10" s="75">
        <v>14000</v>
      </c>
      <c r="AA10" s="75">
        <v>8395</v>
      </c>
      <c r="AB10" s="76">
        <f>IF(AA10&gt;0,SUM(AA$7:AA10)-SUM(Z$7:Z10),0)</f>
        <v>-5605</v>
      </c>
      <c r="AC10" s="60">
        <f t="shared" si="11"/>
        <v>0.59964285714285714</v>
      </c>
      <c r="AD10" s="75">
        <v>14000</v>
      </c>
      <c r="AE10" s="75">
        <v>7998</v>
      </c>
      <c r="AF10" s="76">
        <f>IF(AE10&gt;0,SUM(AE$7:AE10)-SUM(AD$7:AD10),0)</f>
        <v>-6002</v>
      </c>
      <c r="AG10" s="60">
        <f t="shared" si="12"/>
        <v>0.57128571428571429</v>
      </c>
      <c r="AH10" s="41">
        <f t="shared" si="3"/>
        <v>42000</v>
      </c>
      <c r="AI10" s="41">
        <f t="shared" si="3"/>
        <v>24277</v>
      </c>
      <c r="AJ10" s="41">
        <f>IF(AI10&gt;0,SUM(AI$7:AI10)-SUM(AH$7:AH10),0)</f>
        <v>-17723</v>
      </c>
      <c r="AK10" s="60">
        <f t="shared" si="13"/>
        <v>0.5780238095238095</v>
      </c>
      <c r="AM10" s="47">
        <f t="shared" si="14"/>
        <v>40820</v>
      </c>
      <c r="AN10" s="54" t="s">
        <v>27</v>
      </c>
      <c r="AO10" s="75">
        <v>7000</v>
      </c>
      <c r="AP10" s="75">
        <v>5843</v>
      </c>
      <c r="AQ10" s="75">
        <f>IF(AP10&gt;0,SUM(AP$7:AP10)-SUM(AO$7:AO10),0)</f>
        <v>-1157</v>
      </c>
      <c r="AR10" s="45">
        <f t="shared" si="15"/>
        <v>0.83471428571428574</v>
      </c>
      <c r="AS10" s="75">
        <v>7000</v>
      </c>
      <c r="AT10" s="75">
        <v>7302</v>
      </c>
      <c r="AU10" s="75">
        <f>IF(AT10&gt;0,SUM(AT$7:AT10)-SUM(AS$7:AS10),0)</f>
        <v>302</v>
      </c>
      <c r="AV10" s="45">
        <f t="shared" si="16"/>
        <v>1.0431428571428571</v>
      </c>
      <c r="AW10" s="75">
        <v>7000</v>
      </c>
      <c r="AX10" s="75">
        <v>5201</v>
      </c>
      <c r="AY10" s="75">
        <f>IF(AX10&gt;0,SUM(AX$7:AX10)-SUM(AW$7:AW10),0)</f>
        <v>-1799</v>
      </c>
      <c r="AZ10" s="45">
        <f>IF(AX10&gt;0,IF(AW10&gt;0,AX10/AW10,0),0)</f>
        <v>0.74299999999999999</v>
      </c>
      <c r="BA10" s="35">
        <f>IF(SUM(AO10,AS10,AW10)&gt;0,SUM(AO10,AS10,AW10),0)</f>
        <v>21000</v>
      </c>
      <c r="BB10" s="35">
        <f t="shared" si="4"/>
        <v>18346</v>
      </c>
      <c r="BC10" s="35">
        <f>IF(BB10&gt;0,SUM(BB$7:BB10)-SUM(BA$7:BA10),0)</f>
        <v>-2654</v>
      </c>
      <c r="BD10" s="45">
        <f t="shared" si="17"/>
        <v>0.87361904761904763</v>
      </c>
      <c r="BF10" s="47">
        <f t="shared" si="18"/>
        <v>40820</v>
      </c>
      <c r="BG10" s="54" t="s">
        <v>27</v>
      </c>
      <c r="BH10" s="75">
        <v>22000</v>
      </c>
      <c r="BI10" s="75">
        <v>15128</v>
      </c>
      <c r="BJ10" s="75">
        <f>IF(BI10&gt;0,SUM(BI$7:BI10)-SUM(BH$7:BH10),0)</f>
        <v>-6872</v>
      </c>
      <c r="BK10" s="45">
        <f t="shared" si="19"/>
        <v>0.6876363636363636</v>
      </c>
      <c r="BL10" s="75">
        <v>8000</v>
      </c>
      <c r="BM10" s="75">
        <v>3222</v>
      </c>
      <c r="BN10" s="75">
        <f>IF(BM10&gt;0,SUM(BM$7:BM10)-SUM(BL$7:BL10),0)</f>
        <v>-4778</v>
      </c>
      <c r="BO10" s="45">
        <f t="shared" si="20"/>
        <v>0.40275</v>
      </c>
      <c r="BP10" s="75">
        <v>12000</v>
      </c>
      <c r="BQ10" s="75">
        <v>6436</v>
      </c>
      <c r="BR10" s="75">
        <f>IF(BQ10&gt;0,SUM(BQ$7:BQ10)-SUM(BP$7:BP10),0)</f>
        <v>-5564</v>
      </c>
      <c r="BS10" s="45">
        <f>IF(BQ10&gt;0,IF(BP10&gt;0,BQ10/BP10,0),0)</f>
        <v>0.53633333333333333</v>
      </c>
      <c r="BT10" s="35">
        <f>IF(SUM(BH10,BL10,BP10)&gt;0,SUM(BH10,BL10,BP10),0)</f>
        <v>42000</v>
      </c>
      <c r="BU10" s="35">
        <f t="shared" si="5"/>
        <v>24786</v>
      </c>
      <c r="BV10" s="35">
        <f>IF(BU10&gt;0,SUM(BU$7:BU10)-SUM(BT$7:BT10),0)</f>
        <v>-17214</v>
      </c>
      <c r="BW10" s="45">
        <f t="shared" si="21"/>
        <v>0.59014285714285719</v>
      </c>
      <c r="BY10" s="47">
        <f t="shared" si="22"/>
        <v>40820</v>
      </c>
      <c r="BZ10" s="54" t="s">
        <v>27</v>
      </c>
      <c r="CA10" s="75">
        <v>5000</v>
      </c>
      <c r="CB10" s="75">
        <v>9398</v>
      </c>
      <c r="CC10" s="75">
        <f>IF(CB10&gt;0,SUM(CB$7:CB10)-SUM(CA$7:CA10),0)</f>
        <v>4398</v>
      </c>
      <c r="CD10" s="45">
        <f t="shared" si="23"/>
        <v>1.8795999999999999</v>
      </c>
    </row>
    <row r="11" spans="1:82" x14ac:dyDescent="0.25">
      <c r="A11" s="47">
        <f t="shared" si="6"/>
        <v>40821</v>
      </c>
      <c r="B11" s="54" t="s">
        <v>28</v>
      </c>
      <c r="C11" s="75">
        <v>15000</v>
      </c>
      <c r="D11" s="75">
        <v>13022</v>
      </c>
      <c r="E11" s="75">
        <f>IF(D11&gt;0,SUM(D$7:D11)-SUM(C$7:C11),0)</f>
        <v>-12279</v>
      </c>
      <c r="F11" s="45">
        <f t="shared" si="7"/>
        <v>0.86813333333333331</v>
      </c>
      <c r="G11" s="80"/>
      <c r="H11" s="75"/>
      <c r="I11" s="75">
        <f>IF(H11&gt;0,SUM(H$7:H11)-SUM(G$7:G11),0)</f>
        <v>0</v>
      </c>
      <c r="J11" s="45">
        <f t="shared" si="0"/>
        <v>0</v>
      </c>
      <c r="K11" s="75">
        <v>15000</v>
      </c>
      <c r="L11" s="75">
        <v>12620</v>
      </c>
      <c r="M11" s="75">
        <f>IF(L11&gt;0,SUM(L$7:L11)-SUM(K$7:K11),0)</f>
        <v>-12681</v>
      </c>
      <c r="N11" s="45">
        <f t="shared" si="1"/>
        <v>0.84133333333333338</v>
      </c>
      <c r="O11" s="35">
        <f t="shared" si="2"/>
        <v>30000</v>
      </c>
      <c r="P11" s="35">
        <f t="shared" si="2"/>
        <v>25642</v>
      </c>
      <c r="Q11" s="35">
        <f>IF(P11&gt;0,SUM(P$7:P11)-SUM(O$7:O11),0)</f>
        <v>-24960</v>
      </c>
      <c r="R11" s="45">
        <f t="shared" si="8"/>
        <v>0.85473333333333334</v>
      </c>
      <c r="T11" s="47">
        <f t="shared" si="9"/>
        <v>40821</v>
      </c>
      <c r="U11" s="54" t="s">
        <v>28</v>
      </c>
      <c r="V11" s="75">
        <v>14000</v>
      </c>
      <c r="W11" s="75">
        <v>8061</v>
      </c>
      <c r="X11" s="76">
        <f>IF(W11&gt;0,SUM(W$7:W11)-SUM(V$7:V11),0)</f>
        <v>-12055</v>
      </c>
      <c r="Y11" s="81">
        <f t="shared" si="10"/>
        <v>0.57578571428571423</v>
      </c>
      <c r="Z11" s="75">
        <v>14000</v>
      </c>
      <c r="AA11" s="75">
        <v>11447</v>
      </c>
      <c r="AB11" s="76">
        <f>IF(AA11&gt;0,SUM(AA$7:AA11)-SUM(Z$7:Z11),0)</f>
        <v>-8158</v>
      </c>
      <c r="AC11" s="60">
        <f t="shared" si="11"/>
        <v>0.81764285714285712</v>
      </c>
      <c r="AD11" s="75">
        <v>14000</v>
      </c>
      <c r="AE11" s="75">
        <v>14518</v>
      </c>
      <c r="AF11" s="76">
        <f>IF(AE11&gt;0,SUM(AE$7:AE11)-SUM(AD$7:AD11),0)</f>
        <v>-5484</v>
      </c>
      <c r="AG11" s="60">
        <f t="shared" si="12"/>
        <v>1.0369999999999999</v>
      </c>
      <c r="AH11" s="41">
        <f t="shared" si="3"/>
        <v>42000</v>
      </c>
      <c r="AI11" s="41">
        <f t="shared" si="3"/>
        <v>34026</v>
      </c>
      <c r="AJ11" s="41">
        <f>IF(AI11&gt;0,SUM(AI$7:AI11)-SUM(AH$7:AH11),0)</f>
        <v>-25697</v>
      </c>
      <c r="AK11" s="60">
        <f t="shared" si="13"/>
        <v>0.81014285714285716</v>
      </c>
      <c r="AM11" s="47">
        <f t="shared" si="14"/>
        <v>40821</v>
      </c>
      <c r="AN11" s="54" t="s">
        <v>28</v>
      </c>
      <c r="AO11" s="75">
        <v>7000</v>
      </c>
      <c r="AP11" s="75">
        <v>5150</v>
      </c>
      <c r="AQ11" s="75">
        <f>IF(AP11&gt;0,SUM(AP$7:AP11)-SUM(AO$7:AO11),0)</f>
        <v>-3007</v>
      </c>
      <c r="AR11" s="45">
        <f t="shared" si="15"/>
        <v>0.73571428571428577</v>
      </c>
      <c r="AS11" s="75">
        <v>7000</v>
      </c>
      <c r="AT11" s="75">
        <v>7701</v>
      </c>
      <c r="AU11" s="75">
        <f>IF(AT11&gt;0,SUM(AT$7:AT11)-SUM(AS$7:AS11),0)</f>
        <v>1003</v>
      </c>
      <c r="AV11" s="45">
        <f t="shared" si="16"/>
        <v>1.1001428571428571</v>
      </c>
      <c r="AW11" s="75">
        <v>7000</v>
      </c>
      <c r="AX11" s="75">
        <v>9031</v>
      </c>
      <c r="AY11" s="75">
        <f>IF(AX11&gt;0,SUM(AX$7:AX11)-SUM(AW$7:AW11),0)</f>
        <v>232</v>
      </c>
      <c r="AZ11" s="45">
        <f t="shared" ref="AZ11:AZ38" si="24">IF(AX11&gt;0,IF(AW11&gt;0,AX11/AW11,0),0)</f>
        <v>1.290142857142857</v>
      </c>
      <c r="BA11" s="35">
        <f t="shared" si="4"/>
        <v>21000</v>
      </c>
      <c r="BB11" s="35">
        <f t="shared" si="4"/>
        <v>21882</v>
      </c>
      <c r="BC11" s="35">
        <f>IF(BB11&gt;0,SUM(BB$7:BB11)-SUM(BA$7:BA11),0)</f>
        <v>-1772</v>
      </c>
      <c r="BD11" s="45">
        <f t="shared" si="17"/>
        <v>1.042</v>
      </c>
      <c r="BF11" s="47">
        <f t="shared" si="18"/>
        <v>40821</v>
      </c>
      <c r="BG11" s="54" t="s">
        <v>28</v>
      </c>
      <c r="BH11" s="75">
        <v>22000</v>
      </c>
      <c r="BI11" s="75">
        <v>12974</v>
      </c>
      <c r="BJ11" s="75">
        <f>IF(BI11&gt;0,SUM(BI$7:BI11)-SUM(BH$7:BH11),0)</f>
        <v>-15898</v>
      </c>
      <c r="BK11" s="45">
        <f t="shared" si="19"/>
        <v>0.58972727272727277</v>
      </c>
      <c r="BL11" s="75">
        <v>8000</v>
      </c>
      <c r="BM11" s="75">
        <v>8908</v>
      </c>
      <c r="BN11" s="75">
        <f>IF(BM11&gt;0,SUM(BM$7:BM11)-SUM(BL$7:BL11),0)</f>
        <v>-3870</v>
      </c>
      <c r="BO11" s="45">
        <f t="shared" si="20"/>
        <v>1.1134999999999999</v>
      </c>
      <c r="BP11" s="75">
        <v>12000</v>
      </c>
      <c r="BQ11" s="75">
        <v>5228</v>
      </c>
      <c r="BR11" s="75">
        <f>IF(BQ11&gt;0,SUM(BQ$7:BQ11)-SUM(BP$7:BP11),0)</f>
        <v>-12336</v>
      </c>
      <c r="BS11" s="45">
        <f t="shared" ref="BS11:BS38" si="25">IF(BQ11&gt;0,IF(BP11&gt;0,BQ11/BP11,0),0)</f>
        <v>0.43566666666666665</v>
      </c>
      <c r="BT11" s="35">
        <f t="shared" si="5"/>
        <v>42000</v>
      </c>
      <c r="BU11" s="35">
        <f t="shared" si="5"/>
        <v>27110</v>
      </c>
      <c r="BV11" s="35">
        <f>IF(BU11&gt;0,SUM(BU$7:BU11)-SUM(BT$7:BT11),0)</f>
        <v>-32104</v>
      </c>
      <c r="BW11" s="45">
        <f t="shared" si="21"/>
        <v>0.64547619047619043</v>
      </c>
      <c r="BY11" s="47">
        <f t="shared" si="22"/>
        <v>40821</v>
      </c>
      <c r="BZ11" s="54" t="s">
        <v>28</v>
      </c>
      <c r="CA11" s="75">
        <v>5000</v>
      </c>
      <c r="CB11" s="75">
        <v>5774</v>
      </c>
      <c r="CC11" s="75">
        <f>IF(CB11&gt;0,SUM(CB$7:CB11)-SUM(CA$7:CA11),0)</f>
        <v>5172</v>
      </c>
      <c r="CD11" s="45">
        <f t="shared" si="23"/>
        <v>1.1548</v>
      </c>
    </row>
    <row r="12" spans="1:82" x14ac:dyDescent="0.25">
      <c r="A12" s="47">
        <f t="shared" si="6"/>
        <v>40822</v>
      </c>
      <c r="B12" s="54" t="s">
        <v>22</v>
      </c>
      <c r="C12" s="75">
        <v>15000</v>
      </c>
      <c r="D12" s="75">
        <v>16400</v>
      </c>
      <c r="E12" s="75">
        <f>IF(D12&gt;0,SUM(D$7:D12)-SUM(C$7:C12),0)</f>
        <v>-10879</v>
      </c>
      <c r="F12" s="45">
        <f t="shared" si="7"/>
        <v>1.0933333333333333</v>
      </c>
      <c r="G12" s="80"/>
      <c r="H12" s="75"/>
      <c r="I12" s="75">
        <f>IF(H12&gt;0,SUM(H$7:H12)-SUM(G$7:G12),0)</f>
        <v>0</v>
      </c>
      <c r="J12" s="45">
        <f t="shared" si="0"/>
        <v>0</v>
      </c>
      <c r="K12" s="75">
        <v>15000</v>
      </c>
      <c r="L12" s="75">
        <v>12713</v>
      </c>
      <c r="M12" s="75">
        <f>IF(L12&gt;0,SUM(L$7:L12)-SUM(K$7:K12),0)</f>
        <v>-14968</v>
      </c>
      <c r="N12" s="45">
        <f t="shared" si="1"/>
        <v>0.84753333333333336</v>
      </c>
      <c r="O12" s="35">
        <f t="shared" si="2"/>
        <v>30000</v>
      </c>
      <c r="P12" s="35">
        <f t="shared" si="2"/>
        <v>29113</v>
      </c>
      <c r="Q12" s="35">
        <f>IF(P12&gt;0,SUM(P$7:P12)-SUM(O$7:O12),0)</f>
        <v>-25847</v>
      </c>
      <c r="R12" s="45">
        <f t="shared" si="8"/>
        <v>0.97043333333333337</v>
      </c>
      <c r="T12" s="47">
        <f t="shared" si="9"/>
        <v>40822</v>
      </c>
      <c r="U12" s="54" t="s">
        <v>22</v>
      </c>
      <c r="V12" s="75">
        <v>14000</v>
      </c>
      <c r="W12" s="75">
        <v>14935</v>
      </c>
      <c r="X12" s="76">
        <f>IF(W12&gt;0,SUM(W$7:W12)-SUM(V$7:V12),0)</f>
        <v>-11120</v>
      </c>
      <c r="Y12" s="60">
        <f t="shared" si="10"/>
        <v>1.0667857142857142</v>
      </c>
      <c r="Z12" s="75">
        <v>14000</v>
      </c>
      <c r="AA12" s="75">
        <v>9267</v>
      </c>
      <c r="AB12" s="76">
        <f>IF(AA12&gt;0,SUM(AA$7:AA12)-SUM(Z$7:Z12),0)</f>
        <v>-12891</v>
      </c>
      <c r="AC12" s="60">
        <f t="shared" si="11"/>
        <v>0.66192857142857142</v>
      </c>
      <c r="AD12" s="75">
        <v>14000</v>
      </c>
      <c r="AE12" s="75">
        <v>14247</v>
      </c>
      <c r="AF12" s="76">
        <f>IF(AE12&gt;0,SUM(AE$7:AE12)-SUM(AD$7:AD12),0)</f>
        <v>-5237</v>
      </c>
      <c r="AG12" s="60">
        <f t="shared" si="12"/>
        <v>1.0176428571428571</v>
      </c>
      <c r="AH12" s="41">
        <f t="shared" si="3"/>
        <v>42000</v>
      </c>
      <c r="AI12" s="41">
        <f t="shared" si="3"/>
        <v>38449</v>
      </c>
      <c r="AJ12" s="41">
        <f>IF(AI12&gt;0,SUM(AI$7:AI12)-SUM(AH$7:AH12),0)</f>
        <v>-29248</v>
      </c>
      <c r="AK12" s="60">
        <f t="shared" si="13"/>
        <v>0.91545238095238091</v>
      </c>
      <c r="AM12" s="47">
        <f t="shared" si="14"/>
        <v>40822</v>
      </c>
      <c r="AN12" s="54" t="s">
        <v>22</v>
      </c>
      <c r="AO12" s="75">
        <v>7000</v>
      </c>
      <c r="AP12" s="75">
        <v>8752</v>
      </c>
      <c r="AQ12" s="75">
        <f>IF(AP12&gt;0,SUM(AP$7:AP12)-SUM(AO$7:AO12),0)</f>
        <v>-1255</v>
      </c>
      <c r="AR12" s="45">
        <f t="shared" si="15"/>
        <v>1.2502857142857142</v>
      </c>
      <c r="AS12" s="75">
        <v>7000</v>
      </c>
      <c r="AT12" s="75">
        <v>11358</v>
      </c>
      <c r="AU12" s="75">
        <f>IF(AT12&gt;0,SUM(AT$7:AT12)-SUM(AS$7:AS12),0)</f>
        <v>5361</v>
      </c>
      <c r="AV12" s="45">
        <f t="shared" si="16"/>
        <v>1.6225714285714286</v>
      </c>
      <c r="AW12" s="75">
        <v>7000</v>
      </c>
      <c r="AX12" s="75">
        <v>9902</v>
      </c>
      <c r="AY12" s="75">
        <f>IF(AX12&gt;0,SUM(AX$7:AX12)-SUM(AW$7:AW12),0)</f>
        <v>3134</v>
      </c>
      <c r="AZ12" s="45">
        <f t="shared" si="24"/>
        <v>1.4145714285714286</v>
      </c>
      <c r="BA12" s="35">
        <f t="shared" si="4"/>
        <v>21000</v>
      </c>
      <c r="BB12" s="35">
        <f t="shared" si="4"/>
        <v>30012</v>
      </c>
      <c r="BC12" s="35">
        <f>IF(BB12&gt;0,SUM(BB$7:BB12)-SUM(BA$7:BA12),0)</f>
        <v>7240</v>
      </c>
      <c r="BD12" s="45">
        <f t="shared" si="17"/>
        <v>1.429142857142857</v>
      </c>
      <c r="BF12" s="47">
        <f t="shared" si="18"/>
        <v>40822</v>
      </c>
      <c r="BG12" s="54" t="s">
        <v>22</v>
      </c>
      <c r="BH12" s="75">
        <v>22000</v>
      </c>
      <c r="BI12" s="75">
        <v>19615</v>
      </c>
      <c r="BJ12" s="75">
        <f>IF(BI12&gt;0,SUM(BI$7:BI12)-SUM(BH$7:BH12),0)</f>
        <v>-18283</v>
      </c>
      <c r="BK12" s="45">
        <f t="shared" si="19"/>
        <v>0.8915909090909091</v>
      </c>
      <c r="BL12" s="75">
        <v>8000</v>
      </c>
      <c r="BM12" s="75">
        <v>10398</v>
      </c>
      <c r="BN12" s="75">
        <f>IF(BM12&gt;0,SUM(BM$7:BM12)-SUM(BL$7:BL12),0)</f>
        <v>-1472</v>
      </c>
      <c r="BO12" s="45">
        <f t="shared" si="20"/>
        <v>1.29975</v>
      </c>
      <c r="BP12" s="75">
        <v>12000</v>
      </c>
      <c r="BQ12" s="75">
        <v>8392</v>
      </c>
      <c r="BR12" s="75">
        <f>IF(BQ12&gt;0,SUM(BQ$7:BQ12)-SUM(BP$7:BP12),0)</f>
        <v>-15944</v>
      </c>
      <c r="BS12" s="45">
        <f t="shared" si="25"/>
        <v>0.69933333333333336</v>
      </c>
      <c r="BT12" s="35">
        <f t="shared" si="5"/>
        <v>42000</v>
      </c>
      <c r="BU12" s="35">
        <f t="shared" si="5"/>
        <v>38405</v>
      </c>
      <c r="BV12" s="35">
        <f>IF(BU12&gt;0,SUM(BU$7:BU12)-SUM(BT$7:BT12),0)</f>
        <v>-35699</v>
      </c>
      <c r="BW12" s="45">
        <f t="shared" si="21"/>
        <v>0.91440476190476194</v>
      </c>
      <c r="BY12" s="47">
        <f t="shared" si="22"/>
        <v>40822</v>
      </c>
      <c r="BZ12" s="54" t="s">
        <v>22</v>
      </c>
      <c r="CA12" s="75">
        <v>5000</v>
      </c>
      <c r="CB12" s="75">
        <v>7216</v>
      </c>
      <c r="CC12" s="75">
        <f>IF(CB12&gt;0,SUM(CB$7:CB12)-SUM(CA$7:CA12),0)</f>
        <v>7388</v>
      </c>
      <c r="CD12" s="45">
        <f t="shared" si="23"/>
        <v>1.4432</v>
      </c>
    </row>
    <row r="13" spans="1:82" x14ac:dyDescent="0.25">
      <c r="A13" s="47">
        <f t="shared" si="6"/>
        <v>40823</v>
      </c>
      <c r="B13" s="54" t="s">
        <v>23</v>
      </c>
      <c r="C13" s="75">
        <v>15000</v>
      </c>
      <c r="D13" s="75">
        <v>13007</v>
      </c>
      <c r="E13" s="75">
        <f>IF(D13&gt;0,SUM(D$7:D13)-SUM(C$7:C13),0)</f>
        <v>-12872</v>
      </c>
      <c r="F13" s="45">
        <f t="shared" si="7"/>
        <v>0.86713333333333331</v>
      </c>
      <c r="G13" s="80"/>
      <c r="H13" s="75"/>
      <c r="I13" s="75">
        <f>IF(H13&gt;0,SUM(H$7:H13)-SUM(G$7:G13),0)</f>
        <v>0</v>
      </c>
      <c r="J13" s="45">
        <f t="shared" si="0"/>
        <v>0</v>
      </c>
      <c r="K13" s="75">
        <v>15000</v>
      </c>
      <c r="L13" s="75">
        <v>6665</v>
      </c>
      <c r="M13" s="75">
        <f>IF(L13&gt;0,SUM(L$7:L13)-SUM(K$7:K13),0)</f>
        <v>-23303</v>
      </c>
      <c r="N13" s="45">
        <f t="shared" si="1"/>
        <v>0.44433333333333336</v>
      </c>
      <c r="O13" s="35">
        <f t="shared" si="2"/>
        <v>30000</v>
      </c>
      <c r="P13" s="35">
        <f t="shared" si="2"/>
        <v>19672</v>
      </c>
      <c r="Q13" s="35">
        <f>IF(P13&gt;0,SUM(P$7:P13)-SUM(O$7:O13),0)</f>
        <v>-36175</v>
      </c>
      <c r="R13" s="45">
        <f t="shared" si="8"/>
        <v>0.65573333333333328</v>
      </c>
      <c r="T13" s="47">
        <f t="shared" si="9"/>
        <v>40823</v>
      </c>
      <c r="U13" s="54" t="s">
        <v>23</v>
      </c>
      <c r="V13" s="75">
        <v>14000</v>
      </c>
      <c r="W13" s="75">
        <v>14254</v>
      </c>
      <c r="X13" s="76">
        <f>IF(W13&gt;0,SUM(W$7:W13)-SUM(V$7:V13),0)</f>
        <v>-10866</v>
      </c>
      <c r="Y13" s="60">
        <f t="shared" si="10"/>
        <v>1.0181428571428572</v>
      </c>
      <c r="Z13" s="75">
        <v>14000</v>
      </c>
      <c r="AA13" s="75">
        <v>12947</v>
      </c>
      <c r="AB13" s="76">
        <f>IF(AA13&gt;0,SUM(AA$7:AA13)-SUM(Z$7:Z13),0)</f>
        <v>-13944</v>
      </c>
      <c r="AC13" s="60">
        <f t="shared" si="11"/>
        <v>0.92478571428571432</v>
      </c>
      <c r="AD13" s="75">
        <v>14000</v>
      </c>
      <c r="AE13" s="75">
        <v>16188</v>
      </c>
      <c r="AF13" s="76">
        <f>IF(AE13&gt;0,SUM(AE$7:AE13)-SUM(AD$7:AD13),0)</f>
        <v>-3049</v>
      </c>
      <c r="AG13" s="60">
        <f t="shared" si="12"/>
        <v>1.1562857142857144</v>
      </c>
      <c r="AH13" s="41">
        <f t="shared" si="3"/>
        <v>42000</v>
      </c>
      <c r="AI13" s="41">
        <f t="shared" si="3"/>
        <v>43389</v>
      </c>
      <c r="AJ13" s="41">
        <f>IF(AI13&gt;0,SUM(AI$7:AI13)-SUM(AH$7:AH13),0)</f>
        <v>-27859</v>
      </c>
      <c r="AK13" s="60">
        <f t="shared" si="13"/>
        <v>1.0330714285714286</v>
      </c>
      <c r="AM13" s="47">
        <f t="shared" si="14"/>
        <v>40823</v>
      </c>
      <c r="AN13" s="54" t="s">
        <v>23</v>
      </c>
      <c r="AO13" s="75">
        <v>7000</v>
      </c>
      <c r="AP13" s="75">
        <v>8462</v>
      </c>
      <c r="AQ13" s="75">
        <f>IF(AP13&gt;0,SUM(AP$7:AP13)-SUM(AO$7:AO13),0)</f>
        <v>207</v>
      </c>
      <c r="AR13" s="45">
        <f t="shared" si="15"/>
        <v>1.2088571428571429</v>
      </c>
      <c r="AS13" s="75">
        <v>7000</v>
      </c>
      <c r="AT13" s="75">
        <v>11168</v>
      </c>
      <c r="AU13" s="75">
        <f>IF(AT13&gt;0,SUM(AT$7:AT13)-SUM(AS$7:AS13),0)</f>
        <v>9529</v>
      </c>
      <c r="AV13" s="45">
        <f t="shared" si="16"/>
        <v>1.5954285714285714</v>
      </c>
      <c r="AW13" s="75">
        <v>7000</v>
      </c>
      <c r="AX13" s="75">
        <v>9969</v>
      </c>
      <c r="AY13" s="75">
        <f>IF(AX13&gt;0,SUM(AX$7:AX13)-SUM(AW$7:AW13),0)</f>
        <v>6103</v>
      </c>
      <c r="AZ13" s="45">
        <f t="shared" si="24"/>
        <v>1.4241428571428572</v>
      </c>
      <c r="BA13" s="35">
        <f t="shared" si="4"/>
        <v>21000</v>
      </c>
      <c r="BB13" s="35">
        <f t="shared" si="4"/>
        <v>29599</v>
      </c>
      <c r="BC13" s="35">
        <f>IF(BB13&gt;0,SUM(BB$7:BB13)-SUM(BA$7:BA13),0)</f>
        <v>15839</v>
      </c>
      <c r="BD13" s="45">
        <f t="shared" si="17"/>
        <v>1.4094761904761905</v>
      </c>
      <c r="BF13" s="47">
        <f t="shared" si="18"/>
        <v>40823</v>
      </c>
      <c r="BG13" s="54" t="s">
        <v>23</v>
      </c>
      <c r="BH13" s="75">
        <v>22000</v>
      </c>
      <c r="BI13" s="75">
        <v>18422</v>
      </c>
      <c r="BJ13" s="75">
        <f>IF(BI13&gt;0,SUM(BI$7:BI13)-SUM(BH$7:BH13),0)</f>
        <v>-21861</v>
      </c>
      <c r="BK13" s="45">
        <f t="shared" si="19"/>
        <v>0.83736363636363631</v>
      </c>
      <c r="BL13" s="75">
        <v>8000</v>
      </c>
      <c r="BM13" s="75">
        <v>11174</v>
      </c>
      <c r="BN13" s="75">
        <f>IF(BM13&gt;0,SUM(BM$7:BM13)-SUM(BL$7:BL13),0)</f>
        <v>1702</v>
      </c>
      <c r="BO13" s="45">
        <f t="shared" si="20"/>
        <v>1.3967499999999999</v>
      </c>
      <c r="BP13" s="75">
        <v>12000</v>
      </c>
      <c r="BQ13" s="75">
        <v>7136</v>
      </c>
      <c r="BR13" s="75">
        <f>IF(BQ13&gt;0,SUM(BQ$7:BQ13)-SUM(BP$7:BP13),0)</f>
        <v>-20808</v>
      </c>
      <c r="BS13" s="45">
        <f t="shared" si="25"/>
        <v>0.59466666666666668</v>
      </c>
      <c r="BT13" s="35">
        <f t="shared" si="5"/>
        <v>42000</v>
      </c>
      <c r="BU13" s="35">
        <f t="shared" si="5"/>
        <v>36732</v>
      </c>
      <c r="BV13" s="35">
        <f>IF(BU13&gt;0,SUM(BU$7:BU13)-SUM(BT$7:BT13),0)</f>
        <v>-40967</v>
      </c>
      <c r="BW13" s="45">
        <f t="shared" si="21"/>
        <v>0.87457142857142856</v>
      </c>
      <c r="BY13" s="47">
        <f t="shared" si="22"/>
        <v>40823</v>
      </c>
      <c r="BZ13" s="54" t="s">
        <v>23</v>
      </c>
      <c r="CA13" s="75">
        <v>5000</v>
      </c>
      <c r="CB13" s="75">
        <v>2644</v>
      </c>
      <c r="CC13" s="75">
        <f>IF(CB13&gt;0,SUM(CB$7:CB13)-SUM(CA$7:CA13),0)</f>
        <v>5032</v>
      </c>
      <c r="CD13" s="45">
        <f t="shared" si="23"/>
        <v>0.52880000000000005</v>
      </c>
    </row>
    <row r="14" spans="1:82" x14ac:dyDescent="0.25">
      <c r="A14" s="47">
        <f t="shared" si="6"/>
        <v>40824</v>
      </c>
      <c r="B14" s="54" t="s">
        <v>24</v>
      </c>
      <c r="C14" s="75">
        <v>15000</v>
      </c>
      <c r="D14" s="75">
        <v>11158</v>
      </c>
      <c r="E14" s="75">
        <f>IF(D14&gt;0,SUM(D$7:D14)-SUM(C$7:C14),0)</f>
        <v>-16714</v>
      </c>
      <c r="F14" s="45">
        <f>IF(D14&gt;0,IF(C14&gt;0,D14/C14,0),0)</f>
        <v>0.74386666666666668</v>
      </c>
      <c r="G14" s="80"/>
      <c r="H14" s="75"/>
      <c r="I14" s="75">
        <f>IF(H14&gt;0,SUM(H$7:H14)-SUM(G$7:G14),0)</f>
        <v>0</v>
      </c>
      <c r="J14" s="45">
        <f t="shared" si="0"/>
        <v>0</v>
      </c>
      <c r="K14" s="75">
        <v>15000</v>
      </c>
      <c r="L14" s="75">
        <v>12860</v>
      </c>
      <c r="M14" s="75">
        <f>IF(L14&gt;0,SUM(L$7:L14)-SUM(K$7:K14),0)</f>
        <v>-25443</v>
      </c>
      <c r="N14" s="45">
        <f t="shared" si="1"/>
        <v>0.85733333333333328</v>
      </c>
      <c r="O14" s="35">
        <f>IF(SUM(C14,G14,K14)&gt;0,SUM(C14,G14,K14),0)</f>
        <v>30000</v>
      </c>
      <c r="P14" s="35">
        <f t="shared" si="2"/>
        <v>24018</v>
      </c>
      <c r="Q14" s="35">
        <f>IF(P14&gt;0,SUM(P$7:P14)-SUM(O$7:O14),0)</f>
        <v>-42157</v>
      </c>
      <c r="R14" s="45">
        <f t="shared" si="8"/>
        <v>0.80059999999999998</v>
      </c>
      <c r="T14" s="47">
        <f t="shared" si="9"/>
        <v>40824</v>
      </c>
      <c r="U14" s="54" t="s">
        <v>24</v>
      </c>
      <c r="V14" s="75">
        <v>14000</v>
      </c>
      <c r="W14" s="75">
        <v>15969</v>
      </c>
      <c r="X14" s="76">
        <f>IF(W14&gt;0,SUM(W$7:W14)-SUM(V$7:V14),0)</f>
        <v>-8897</v>
      </c>
      <c r="Y14" s="60">
        <f t="shared" si="10"/>
        <v>1.1406428571428571</v>
      </c>
      <c r="Z14" s="75">
        <v>14000</v>
      </c>
      <c r="AA14" s="75">
        <v>13650</v>
      </c>
      <c r="AB14" s="76">
        <f>IF(AA14&gt;0,SUM(AA$7:AA14)-SUM(Z$7:Z14),0)</f>
        <v>-14294</v>
      </c>
      <c r="AC14" s="60">
        <f t="shared" si="11"/>
        <v>0.97499999999999998</v>
      </c>
      <c r="AD14" s="75">
        <v>14000</v>
      </c>
      <c r="AE14" s="75">
        <v>16909</v>
      </c>
      <c r="AF14" s="76">
        <f>IF(AE14&gt;0,SUM(AE$7:AE14)-SUM(AD$7:AD14),0)</f>
        <v>-140</v>
      </c>
      <c r="AG14" s="60">
        <f t="shared" si="12"/>
        <v>1.2077857142857142</v>
      </c>
      <c r="AH14" s="41">
        <f t="shared" si="3"/>
        <v>42000</v>
      </c>
      <c r="AI14" s="41">
        <f t="shared" si="3"/>
        <v>46528</v>
      </c>
      <c r="AJ14" s="41">
        <f>IF(AI14&gt;0,SUM(AI$7:AI14)-SUM(AH$7:AH14),0)</f>
        <v>-23331</v>
      </c>
      <c r="AK14" s="60">
        <f t="shared" si="13"/>
        <v>1.1078095238095238</v>
      </c>
      <c r="AM14" s="47">
        <f t="shared" si="14"/>
        <v>40824</v>
      </c>
      <c r="AN14" s="54" t="s">
        <v>24</v>
      </c>
      <c r="AO14" s="75">
        <v>7000</v>
      </c>
      <c r="AP14" s="75">
        <v>11393</v>
      </c>
      <c r="AQ14" s="75">
        <f>IF(AP14&gt;0,SUM(AP$7:AP15)-SUM(AO$7:AO14),0)</f>
        <v>10557</v>
      </c>
      <c r="AR14" s="45">
        <f t="shared" si="15"/>
        <v>1.6275714285714287</v>
      </c>
      <c r="AS14" s="75">
        <v>7000</v>
      </c>
      <c r="AT14" s="75">
        <v>9840</v>
      </c>
      <c r="AU14" s="75">
        <f>IF(AT14&gt;0,SUM(AT$7:AT14)-SUM(AS$7:AS14),0)</f>
        <v>12369</v>
      </c>
      <c r="AV14" s="45">
        <f t="shared" si="16"/>
        <v>1.4057142857142857</v>
      </c>
      <c r="AW14" s="75">
        <v>7000</v>
      </c>
      <c r="AX14" s="75">
        <v>13908</v>
      </c>
      <c r="AY14" s="75">
        <f>IF(AX14&gt;0,SUM(AX$7:AX14)-SUM(AW$7:AW14),0)</f>
        <v>13011</v>
      </c>
      <c r="AZ14" s="45">
        <f t="shared" si="24"/>
        <v>1.9868571428571429</v>
      </c>
      <c r="BA14" s="35">
        <f t="shared" si="4"/>
        <v>21000</v>
      </c>
      <c r="BB14" s="35">
        <f t="shared" si="4"/>
        <v>35141</v>
      </c>
      <c r="BC14" s="35">
        <f>IF(BB14&gt;0,SUM(BB$7:BB14)-SUM(BA$7:BA14),0)</f>
        <v>29980</v>
      </c>
      <c r="BD14" s="45">
        <f t="shared" si="17"/>
        <v>1.6733809523809524</v>
      </c>
      <c r="BF14" s="47">
        <f t="shared" si="18"/>
        <v>40824</v>
      </c>
      <c r="BG14" s="54" t="s">
        <v>24</v>
      </c>
      <c r="BH14" s="75">
        <v>22000</v>
      </c>
      <c r="BI14" s="75">
        <v>26839</v>
      </c>
      <c r="BJ14" s="75">
        <f>IF(BI14&gt;0,SUM(BI$7:BI14)-SUM(BH$7:BH14),0)</f>
        <v>-17022</v>
      </c>
      <c r="BK14" s="45">
        <f t="shared" si="19"/>
        <v>1.2199545454545455</v>
      </c>
      <c r="BL14" s="75">
        <v>8000</v>
      </c>
      <c r="BM14" s="75">
        <v>10866</v>
      </c>
      <c r="BN14" s="75">
        <f>IF(BM14&gt;0,SUM(BM$7:BM14)-SUM(BL$7:BL14),0)</f>
        <v>4568</v>
      </c>
      <c r="BO14" s="45">
        <f t="shared" si="20"/>
        <v>1.35825</v>
      </c>
      <c r="BP14" s="75">
        <v>12000</v>
      </c>
      <c r="BQ14" s="75">
        <v>11241</v>
      </c>
      <c r="BR14" s="75">
        <f>IF(BQ14&gt;0,SUM(BQ$7:BQ14)-SUM(BP$7:BP14),0)</f>
        <v>-21567</v>
      </c>
      <c r="BS14" s="45">
        <f t="shared" si="25"/>
        <v>0.93674999999999997</v>
      </c>
      <c r="BT14" s="35">
        <f t="shared" si="5"/>
        <v>42000</v>
      </c>
      <c r="BU14" s="35">
        <f t="shared" si="5"/>
        <v>48946</v>
      </c>
      <c r="BV14" s="35">
        <f>IF(BU14&gt;0,SUM(BU$7:BU14)-SUM(BT$7:BT14),0)</f>
        <v>-34021</v>
      </c>
      <c r="BW14" s="45">
        <f t="shared" si="21"/>
        <v>1.1653809523809524</v>
      </c>
      <c r="BY14" s="47">
        <f t="shared" si="22"/>
        <v>40824</v>
      </c>
      <c r="BZ14" s="54" t="s">
        <v>24</v>
      </c>
      <c r="CA14" s="75">
        <v>5000</v>
      </c>
      <c r="CB14" s="75">
        <v>1714</v>
      </c>
      <c r="CC14" s="75">
        <f>IF(CB14&gt;0,SUM(CB$7:CB14)-SUM(CA$7:CA14),0)</f>
        <v>1746</v>
      </c>
      <c r="CD14" s="45">
        <f t="shared" si="23"/>
        <v>0.34279999999999999</v>
      </c>
    </row>
    <row r="15" spans="1:82" x14ac:dyDescent="0.25">
      <c r="A15" s="47">
        <f t="shared" si="6"/>
        <v>40825</v>
      </c>
      <c r="B15" s="54" t="s">
        <v>25</v>
      </c>
      <c r="C15" s="75"/>
      <c r="D15" s="75"/>
      <c r="E15" s="75">
        <f>IF(D15&gt;0,SUM(D$7:D15)-SUM(C$7:C15),0)</f>
        <v>0</v>
      </c>
      <c r="F15" s="45">
        <f t="shared" si="7"/>
        <v>0</v>
      </c>
      <c r="G15" s="7"/>
      <c r="H15" s="75"/>
      <c r="I15" s="75">
        <f>IF(H15&gt;0,SUM(H$7:H15)-SUM(G$7:G15),0)</f>
        <v>0</v>
      </c>
      <c r="J15" s="45">
        <f t="shared" ref="J15:J36" si="26">IF(H15&gt;0,IF(K15&gt;0,H15/K15,0),0)</f>
        <v>0</v>
      </c>
      <c r="K15" s="75"/>
      <c r="L15" s="75"/>
      <c r="M15" s="75">
        <f>IF(L15&gt;0,SUM(L$7:L15)-SUM(K$7:K15),0)</f>
        <v>0</v>
      </c>
      <c r="N15" s="45">
        <f t="shared" si="1"/>
        <v>0</v>
      </c>
      <c r="O15" s="35">
        <f t="shared" ref="O15:O36" si="27">IF(SUM(C15,G15,K15)&gt;0,SUM(C15,G15,K15),0)</f>
        <v>0</v>
      </c>
      <c r="P15" s="35">
        <f t="shared" si="2"/>
        <v>0</v>
      </c>
      <c r="Q15" s="35">
        <f>IF(P15&gt;0,SUM(P$7:P15)-SUM(O$7:O15),0)</f>
        <v>0</v>
      </c>
      <c r="R15" s="45">
        <f t="shared" si="8"/>
        <v>0</v>
      </c>
      <c r="T15" s="47">
        <f t="shared" si="9"/>
        <v>40825</v>
      </c>
      <c r="U15" s="54" t="s">
        <v>25</v>
      </c>
      <c r="V15" s="75"/>
      <c r="W15" s="75">
        <v>10223</v>
      </c>
      <c r="X15" s="76">
        <f>IF(W15&gt;0,SUM(W$7:W15)-SUM(V$7:V15),0)</f>
        <v>1326</v>
      </c>
      <c r="Y15" s="60">
        <f t="shared" si="10"/>
        <v>0</v>
      </c>
      <c r="Z15" s="75"/>
      <c r="AA15" s="75"/>
      <c r="AB15" s="76">
        <f>IF(AA15&gt;0,SUM(AA$7:AA15)-SUM(Z$7:Z15),0)</f>
        <v>0</v>
      </c>
      <c r="AC15" s="60">
        <f t="shared" si="11"/>
        <v>0</v>
      </c>
      <c r="AD15" s="75"/>
      <c r="AE15" s="75"/>
      <c r="AF15" s="76">
        <f>IF(AE15&gt;0,SUM(AE$7:AE15)-SUM(AD$7:AD15),0)</f>
        <v>0</v>
      </c>
      <c r="AG15" s="60">
        <f t="shared" si="12"/>
        <v>0</v>
      </c>
      <c r="AH15" s="41">
        <f t="shared" si="3"/>
        <v>0</v>
      </c>
      <c r="AI15" s="41">
        <f t="shared" si="3"/>
        <v>10223</v>
      </c>
      <c r="AJ15" s="41">
        <f>IF(AI15&gt;0,SUM(AI$7:AI15)-SUM(AH$7:AH15),0)</f>
        <v>-13108</v>
      </c>
      <c r="AK15" s="60">
        <f t="shared" si="13"/>
        <v>0</v>
      </c>
      <c r="AM15" s="47">
        <f t="shared" si="14"/>
        <v>40825</v>
      </c>
      <c r="AN15" s="54" t="s">
        <v>25</v>
      </c>
      <c r="AO15" s="75"/>
      <c r="AP15" s="75">
        <v>5957</v>
      </c>
      <c r="AQ15" s="75">
        <f>IF(AP15&gt;0,SUM(AP$7:AP15)-SUM(AO$7:AO15),0)</f>
        <v>10557</v>
      </c>
      <c r="AR15" s="45">
        <f t="shared" si="15"/>
        <v>0</v>
      </c>
      <c r="AS15" s="75"/>
      <c r="AT15" s="75"/>
      <c r="AU15" s="75">
        <f>IF(AT15&gt;0,SUM(AT$7:AT15)-SUM(AS$7:AS15),0)</f>
        <v>0</v>
      </c>
      <c r="AV15" s="45">
        <f t="shared" si="16"/>
        <v>0</v>
      </c>
      <c r="AW15" s="75"/>
      <c r="AX15" s="75"/>
      <c r="AY15" s="75">
        <f>IF(AX15&gt;0,SUM(AX$7:AX15)-SUM(AW$7:AW15),0)</f>
        <v>0</v>
      </c>
      <c r="AZ15" s="45">
        <f t="shared" si="24"/>
        <v>0</v>
      </c>
      <c r="BA15" s="35">
        <f t="shared" si="4"/>
        <v>0</v>
      </c>
      <c r="BB15" s="35">
        <f t="shared" si="4"/>
        <v>5957</v>
      </c>
      <c r="BC15" s="35">
        <f>IF(BB15&gt;0,SUM(BB$7:BB15)-SUM(BA$7:BA15),0)</f>
        <v>35937</v>
      </c>
      <c r="BD15" s="45">
        <f t="shared" si="17"/>
        <v>0</v>
      </c>
      <c r="BF15" s="47">
        <f t="shared" si="18"/>
        <v>40825</v>
      </c>
      <c r="BG15" s="54" t="s">
        <v>25</v>
      </c>
      <c r="BH15" s="75"/>
      <c r="BI15" s="75"/>
      <c r="BJ15" s="75">
        <f>IF(BI15&gt;0,SUM(BI$7:BI15)-SUM(BH$7:BH15),0)</f>
        <v>0</v>
      </c>
      <c r="BK15" s="45">
        <f t="shared" si="19"/>
        <v>0</v>
      </c>
      <c r="BL15" s="75"/>
      <c r="BM15" s="75"/>
      <c r="BN15" s="75">
        <f>IF(BM15&gt;0,SUM(BM$7:BM15)-SUM(BL$7:BL15),0)</f>
        <v>0</v>
      </c>
      <c r="BO15" s="45">
        <f t="shared" si="20"/>
        <v>0</v>
      </c>
      <c r="BP15" s="75"/>
      <c r="BQ15" s="75"/>
      <c r="BR15" s="75">
        <f>IF(BQ15&gt;0,SUM(BQ$7:BQ15)-SUM(BP$7:BP15),0)</f>
        <v>0</v>
      </c>
      <c r="BS15" s="45">
        <f t="shared" si="25"/>
        <v>0</v>
      </c>
      <c r="BT15" s="35">
        <f t="shared" si="5"/>
        <v>0</v>
      </c>
      <c r="BU15" s="35">
        <f t="shared" si="5"/>
        <v>0</v>
      </c>
      <c r="BV15" s="35">
        <f>IF(BU15&gt;0,SUM(BU$7:BU15)-SUM(BT$7:BT15),0)</f>
        <v>0</v>
      </c>
      <c r="BW15" s="45">
        <f t="shared" si="21"/>
        <v>0</v>
      </c>
      <c r="BY15" s="47">
        <f t="shared" si="22"/>
        <v>40825</v>
      </c>
      <c r="BZ15" s="54" t="s">
        <v>25</v>
      </c>
      <c r="CA15" s="75"/>
      <c r="CB15" s="75"/>
      <c r="CC15" s="75">
        <f>IF(CB15&gt;0,SUM(CB$7:CB15)-SUM(CA$7:CA15),0)</f>
        <v>0</v>
      </c>
      <c r="CD15" s="45">
        <f t="shared" si="23"/>
        <v>0</v>
      </c>
    </row>
    <row r="16" spans="1:82" x14ac:dyDescent="0.25">
      <c r="A16" s="47">
        <f t="shared" si="6"/>
        <v>40826</v>
      </c>
      <c r="B16" s="54" t="s">
        <v>26</v>
      </c>
      <c r="C16" s="75"/>
      <c r="D16" s="75"/>
      <c r="E16" s="75">
        <f>IF(D16&gt;0,SUM(D$7:D16)-SUM(C$7:C16),0)</f>
        <v>0</v>
      </c>
      <c r="F16" s="45">
        <f>IF(D16&gt;0,IF(C16&gt;0,D16/C16,0),0)</f>
        <v>0</v>
      </c>
      <c r="G16" s="7"/>
      <c r="H16" s="75"/>
      <c r="I16" s="75">
        <f>IF(H16&gt;0,SUM(H$7:H16)-SUM(G$7:G16),0)</f>
        <v>0</v>
      </c>
      <c r="J16" s="45">
        <f t="shared" si="26"/>
        <v>0</v>
      </c>
      <c r="K16" s="75"/>
      <c r="L16" s="75"/>
      <c r="M16" s="75">
        <f>IF(L16&gt;0,SUM(L$7:L16)-SUM(K$7:K16),0)</f>
        <v>0</v>
      </c>
      <c r="N16" s="45">
        <f t="shared" si="1"/>
        <v>0</v>
      </c>
      <c r="O16" s="35">
        <f t="shared" si="27"/>
        <v>0</v>
      </c>
      <c r="P16" s="35">
        <f>IF(SUM(D16,H16,L16)&gt;0,SUM(D16,H16,L16),0)</f>
        <v>0</v>
      </c>
      <c r="Q16" s="35">
        <f>IF(P16&gt;0,SUM(P$7:P16)-SUM(O$7:O16),0)</f>
        <v>0</v>
      </c>
      <c r="R16" s="45">
        <f t="shared" si="8"/>
        <v>0</v>
      </c>
      <c r="T16" s="47">
        <f t="shared" si="9"/>
        <v>40826</v>
      </c>
      <c r="U16" s="54" t="s">
        <v>26</v>
      </c>
      <c r="V16" s="75"/>
      <c r="W16" s="75"/>
      <c r="X16" s="76">
        <f>IF(W16&gt;0,SUM(W$7:W16)-SUM(V$7:V16),0)</f>
        <v>0</v>
      </c>
      <c r="Y16" s="60">
        <f>IF(W16&gt;0,IF(V16&gt;0,W16/V16,0),0)</f>
        <v>0</v>
      </c>
      <c r="Z16" s="75"/>
      <c r="AA16" s="75"/>
      <c r="AB16" s="76">
        <f>IF(AA16&gt;0,SUM(AA$7:AA16)-SUM(Z$7:Z16),0)</f>
        <v>0</v>
      </c>
      <c r="AC16" s="60">
        <f>IF(AA16&gt;0,IF(Z16&gt;0,AA16/Z16,0),0)</f>
        <v>0</v>
      </c>
      <c r="AD16" s="75"/>
      <c r="AE16" s="75"/>
      <c r="AF16" s="76">
        <f>IF(AE16&gt;0,SUM(AE$7:AE16)-SUM(AD$7:AD16),0)</f>
        <v>0</v>
      </c>
      <c r="AG16" s="60">
        <f>IF(AE16&gt;0,IF(AD16&gt;0,AE16/AD16,0),0)</f>
        <v>0</v>
      </c>
      <c r="AH16" s="41">
        <f t="shared" si="3"/>
        <v>0</v>
      </c>
      <c r="AI16" s="41">
        <f>IF(SUM(W16,AA16,AE16)&gt;0,SUM(W16,AA16,AE16),0)</f>
        <v>0</v>
      </c>
      <c r="AJ16" s="41">
        <f>IF(AI16&gt;0,SUM(AI$7:AI16)-SUM(AH$7:AH16),0)</f>
        <v>0</v>
      </c>
      <c r="AK16" s="60">
        <f t="shared" si="13"/>
        <v>0</v>
      </c>
      <c r="AM16" s="47">
        <f t="shared" si="14"/>
        <v>40826</v>
      </c>
      <c r="AN16" s="54" t="s">
        <v>26</v>
      </c>
      <c r="AO16" s="75"/>
      <c r="AP16" s="75"/>
      <c r="AQ16" s="75">
        <f>IF(AP16&gt;0,SUM(AP$7:AP16)-SUM(AO$7:AO16),0)</f>
        <v>0</v>
      </c>
      <c r="AR16" s="45">
        <f t="shared" si="15"/>
        <v>0</v>
      </c>
      <c r="AS16" s="75"/>
      <c r="AT16" s="75"/>
      <c r="AU16" s="75">
        <f>IF(AT16&gt;0,SUM(AT$7:AT16)-SUM(AS$7:AS16),0)</f>
        <v>0</v>
      </c>
      <c r="AV16" s="45">
        <f t="shared" si="16"/>
        <v>0</v>
      </c>
      <c r="AW16" s="75"/>
      <c r="AX16" s="75"/>
      <c r="AY16" s="75">
        <f>IF(AX16&gt;0,SUM(AX$7:AX16)-SUM(AW$7:AW16),0)</f>
        <v>0</v>
      </c>
      <c r="AZ16" s="45">
        <f t="shared" si="24"/>
        <v>0</v>
      </c>
      <c r="BA16" s="35">
        <f t="shared" si="4"/>
        <v>0</v>
      </c>
      <c r="BB16" s="35">
        <f t="shared" si="4"/>
        <v>0</v>
      </c>
      <c r="BC16" s="35">
        <f>IF(BB16&gt;0,SUM(BB$7:BB16)-SUM(BA$7:BA16),0)</f>
        <v>0</v>
      </c>
      <c r="BD16" s="45">
        <f t="shared" si="17"/>
        <v>0</v>
      </c>
      <c r="BF16" s="47">
        <f t="shared" si="18"/>
        <v>40826</v>
      </c>
      <c r="BG16" s="54" t="s">
        <v>26</v>
      </c>
      <c r="BH16" s="75"/>
      <c r="BI16" s="75"/>
      <c r="BJ16" s="75">
        <f>IF(BI16&gt;0,SUM(BI$7:BI16)-SUM(BH$7:BH16),0)</f>
        <v>0</v>
      </c>
      <c r="BK16" s="45">
        <f t="shared" si="19"/>
        <v>0</v>
      </c>
      <c r="BL16" s="75"/>
      <c r="BM16" s="75"/>
      <c r="BN16" s="75">
        <f>IF(BM16&gt;0,SUM(BM$7:BM16)-SUM(BL$7:BL16),0)</f>
        <v>0</v>
      </c>
      <c r="BO16" s="45">
        <f t="shared" si="20"/>
        <v>0</v>
      </c>
      <c r="BP16" s="75"/>
      <c r="BQ16" s="75"/>
      <c r="BR16" s="75">
        <f>IF(BQ16&gt;0,SUM(BQ$7:BQ16)-SUM(BP$7:BP16),0)</f>
        <v>0</v>
      </c>
      <c r="BS16" s="45">
        <f t="shared" si="25"/>
        <v>0</v>
      </c>
      <c r="BT16" s="35">
        <f t="shared" si="5"/>
        <v>0</v>
      </c>
      <c r="BU16" s="35">
        <f t="shared" si="5"/>
        <v>0</v>
      </c>
      <c r="BV16" s="35">
        <f>IF(BU16&gt;0,SUM(BU$7:BU16)-SUM(BT$7:BT16),0)</f>
        <v>0</v>
      </c>
      <c r="BW16" s="45">
        <f t="shared" si="21"/>
        <v>0</v>
      </c>
      <c r="BY16" s="47">
        <f t="shared" si="22"/>
        <v>40826</v>
      </c>
      <c r="BZ16" s="54" t="s">
        <v>26</v>
      </c>
      <c r="CA16" s="75"/>
      <c r="CB16" s="75"/>
      <c r="CC16" s="75">
        <f>IF(CB16&gt;0,SUM(CB$7:CB16)-SUM(CA$7:CA16),0)</f>
        <v>0</v>
      </c>
      <c r="CD16" s="45">
        <f t="shared" si="23"/>
        <v>0</v>
      </c>
    </row>
    <row r="17" spans="1:82" x14ac:dyDescent="0.25">
      <c r="A17" s="47">
        <f t="shared" si="6"/>
        <v>40827</v>
      </c>
      <c r="B17" s="54" t="s">
        <v>27</v>
      </c>
      <c r="C17" s="75">
        <v>15000</v>
      </c>
      <c r="D17" s="75">
        <v>13653</v>
      </c>
      <c r="E17" s="75">
        <f>IF(D17&gt;0,SUM(D$7:D17)-SUM(C$7:C17),0)</f>
        <v>-18061</v>
      </c>
      <c r="F17" s="45">
        <f>IF(D17&gt;0,IF(C17&gt;0,D17/C17,0),0)</f>
        <v>0.91020000000000001</v>
      </c>
      <c r="G17" s="7"/>
      <c r="H17" s="75"/>
      <c r="I17" s="75">
        <f>IF(H17&gt;0,SUM(H$7:H17)-SUM(G$7:G17),0)</f>
        <v>0</v>
      </c>
      <c r="J17" s="45">
        <f t="shared" si="26"/>
        <v>0</v>
      </c>
      <c r="K17" s="75">
        <v>15000</v>
      </c>
      <c r="L17" s="75">
        <v>7683</v>
      </c>
      <c r="M17" s="75">
        <f>IF(L17&gt;0,SUM(L$7:L17)-SUM(K$7:K17),0)</f>
        <v>-32760</v>
      </c>
      <c r="N17" s="45">
        <f t="shared" si="1"/>
        <v>0.51219999999999999</v>
      </c>
      <c r="O17" s="35">
        <f t="shared" si="27"/>
        <v>30000</v>
      </c>
      <c r="P17" s="35">
        <f>IF(SUM(D17,H17,L17)&gt;0,SUM(D17,H17,L17),0)</f>
        <v>21336</v>
      </c>
      <c r="Q17" s="35">
        <f>IF(P17&gt;0,SUM(P$7:P17)-SUM(O$7:O17),0)</f>
        <v>-50821</v>
      </c>
      <c r="R17" s="45">
        <f t="shared" si="8"/>
        <v>0.71120000000000005</v>
      </c>
      <c r="T17" s="47">
        <f t="shared" si="9"/>
        <v>40827</v>
      </c>
      <c r="U17" s="54" t="s">
        <v>27</v>
      </c>
      <c r="V17" s="75">
        <v>14000</v>
      </c>
      <c r="W17" s="75">
        <v>13328</v>
      </c>
      <c r="X17" s="76">
        <f>IF(W17&gt;0,SUM(W$7:W17)-SUM(V$7:V17),0)</f>
        <v>654</v>
      </c>
      <c r="Y17" s="60">
        <f>IF(W17&gt;0,IF(V17&gt;0,W17/V17,0),0)</f>
        <v>0.95199999999999996</v>
      </c>
      <c r="Z17" s="75">
        <v>14000</v>
      </c>
      <c r="AA17" s="75">
        <v>12727</v>
      </c>
      <c r="AB17" s="76">
        <f>IF(AA17&gt;0,SUM(AA$7:AA17)-SUM(Z$7:Z17),0)</f>
        <v>-15567</v>
      </c>
      <c r="AC17" s="60">
        <f>IF(AA17&gt;0,IF(Z17&gt;0,AA17/Z17,0),0)</f>
        <v>0.90907142857142853</v>
      </c>
      <c r="AD17" s="75">
        <v>14000</v>
      </c>
      <c r="AE17" s="75">
        <v>15200</v>
      </c>
      <c r="AF17" s="76">
        <f>IF(AE17&gt;0,SUM(AE$7:AE17)-SUM(AD$7:AD17),0)</f>
        <v>1060</v>
      </c>
      <c r="AG17" s="60">
        <f>IF(AE17&gt;0,IF(AD17&gt;0,AE17/AD17,0),0)</f>
        <v>1.0857142857142856</v>
      </c>
      <c r="AH17" s="41">
        <f t="shared" si="3"/>
        <v>42000</v>
      </c>
      <c r="AI17" s="41">
        <f>IF(SUM(W17,AA17,AE17)&gt;0,SUM(W17,AA17,AE17),0)</f>
        <v>41255</v>
      </c>
      <c r="AJ17" s="41">
        <f>IF(AI17&gt;0,SUM(AI$7:AI17)-SUM(AH$7:AH17),0)</f>
        <v>-13853</v>
      </c>
      <c r="AK17" s="60">
        <f t="shared" si="13"/>
        <v>0.98226190476190478</v>
      </c>
      <c r="AM17" s="47">
        <f t="shared" si="14"/>
        <v>40827</v>
      </c>
      <c r="AN17" s="54" t="s">
        <v>27</v>
      </c>
      <c r="AO17" s="75">
        <v>7000</v>
      </c>
      <c r="AP17" s="75">
        <v>9262</v>
      </c>
      <c r="AQ17" s="75">
        <f>IF(AP17&gt;0,SUM(AP$7:AP17)-SUM(AO$7:AO17),0)</f>
        <v>12819</v>
      </c>
      <c r="AR17" s="45">
        <f t="shared" si="15"/>
        <v>1.3231428571428572</v>
      </c>
      <c r="AS17" s="75">
        <v>7000</v>
      </c>
      <c r="AT17" s="75">
        <v>13000</v>
      </c>
      <c r="AU17" s="75">
        <f>IF(AT17&gt;0,SUM(AT$7:AT17)-SUM(AS$7:AS17),0)</f>
        <v>18369</v>
      </c>
      <c r="AV17" s="45">
        <f t="shared" si="16"/>
        <v>1.8571428571428572</v>
      </c>
      <c r="AW17" s="75">
        <v>7000</v>
      </c>
      <c r="AX17" s="75">
        <v>13735</v>
      </c>
      <c r="AY17" s="75">
        <f>IF(AX17&gt;0,SUM(AX$7:AX17)-SUM(AW$7:AW17),0)</f>
        <v>19746</v>
      </c>
      <c r="AZ17" s="45">
        <f t="shared" si="24"/>
        <v>1.9621428571428572</v>
      </c>
      <c r="BA17" s="35">
        <f t="shared" si="4"/>
        <v>21000</v>
      </c>
      <c r="BB17" s="35">
        <f t="shared" si="4"/>
        <v>35997</v>
      </c>
      <c r="BC17" s="35">
        <f>IF(BB17&gt;0,SUM(BB$7:BB17)-SUM(BA$7:BA17),0)</f>
        <v>50934</v>
      </c>
      <c r="BD17" s="45">
        <f t="shared" si="17"/>
        <v>1.7141428571428572</v>
      </c>
      <c r="BF17" s="47">
        <f t="shared" si="18"/>
        <v>40827</v>
      </c>
      <c r="BG17" s="54" t="s">
        <v>27</v>
      </c>
      <c r="BH17" s="75">
        <v>22000</v>
      </c>
      <c r="BI17" s="75">
        <v>25433</v>
      </c>
      <c r="BJ17" s="75">
        <f>IF(BI17&gt;0,SUM(BI$7:BI17)-SUM(BH$7:BH17),0)</f>
        <v>-13589</v>
      </c>
      <c r="BK17" s="45">
        <f t="shared" si="19"/>
        <v>1.1560454545454546</v>
      </c>
      <c r="BL17" s="75">
        <v>8000</v>
      </c>
      <c r="BM17" s="75">
        <v>10567</v>
      </c>
      <c r="BN17" s="75">
        <f>IF(BM17&gt;0,SUM(BM$7:BM17)-SUM(BL$7:BL17),0)</f>
        <v>7135</v>
      </c>
      <c r="BO17" s="45">
        <f t="shared" si="20"/>
        <v>1.320875</v>
      </c>
      <c r="BP17" s="75">
        <v>12000</v>
      </c>
      <c r="BQ17" s="75">
        <v>8818</v>
      </c>
      <c r="BR17" s="75">
        <f>IF(BQ17&gt;0,SUM(BQ$7:BQ17)-SUM(BP$7:BP17),0)</f>
        <v>-24749</v>
      </c>
      <c r="BS17" s="45">
        <f t="shared" si="25"/>
        <v>0.73483333333333334</v>
      </c>
      <c r="BT17" s="35">
        <f t="shared" si="5"/>
        <v>42000</v>
      </c>
      <c r="BU17" s="35">
        <f t="shared" si="5"/>
        <v>44818</v>
      </c>
      <c r="BV17" s="35">
        <f>IF(BU17&gt;0,SUM(BU$7:BU17)-SUM(BT$7:BT17),0)</f>
        <v>-31203</v>
      </c>
      <c r="BW17" s="45">
        <f t="shared" si="21"/>
        <v>1.0670952380952381</v>
      </c>
      <c r="BY17" s="47">
        <f t="shared" si="22"/>
        <v>40827</v>
      </c>
      <c r="BZ17" s="54" t="s">
        <v>27</v>
      </c>
      <c r="CA17" s="75">
        <v>5000</v>
      </c>
      <c r="CB17" s="75">
        <v>4526</v>
      </c>
      <c r="CC17" s="75">
        <f>IF(CB17&gt;0,SUM(CB$7:CB17)-SUM(CA$7:CA17),0)</f>
        <v>1272</v>
      </c>
      <c r="CD17" s="45">
        <f t="shared" si="23"/>
        <v>0.9052</v>
      </c>
    </row>
    <row r="18" spans="1:82" x14ac:dyDescent="0.25">
      <c r="A18" s="47">
        <f t="shared" si="6"/>
        <v>40828</v>
      </c>
      <c r="B18" s="54" t="s">
        <v>28</v>
      </c>
      <c r="C18" s="75">
        <v>15000</v>
      </c>
      <c r="D18" s="75">
        <v>15252</v>
      </c>
      <c r="E18" s="75">
        <f>IF(D18&gt;0,SUM(D$7:D18)-SUM(C$7:C18),0)</f>
        <v>-17809</v>
      </c>
      <c r="F18" s="45">
        <f t="shared" si="7"/>
        <v>1.0167999999999999</v>
      </c>
      <c r="G18" s="7"/>
      <c r="H18" s="75"/>
      <c r="I18" s="75">
        <f>IF(H18&gt;0,SUM(H$7:H18)-SUM(G$7:G18),0)</f>
        <v>0</v>
      </c>
      <c r="J18" s="45">
        <f t="shared" si="26"/>
        <v>0</v>
      </c>
      <c r="K18" s="75">
        <v>15000</v>
      </c>
      <c r="L18" s="75">
        <v>12859</v>
      </c>
      <c r="M18" s="75">
        <f>IF(L18&gt;0,SUM(L$7:L18)-SUM(K$7:K18),0)</f>
        <v>-34901</v>
      </c>
      <c r="N18" s="45">
        <f t="shared" ref="N18:N38" si="28">IF(L18&gt;0,IF(K18&gt;0,L18/K18,0),0)</f>
        <v>0.85726666666666662</v>
      </c>
      <c r="O18" s="35">
        <f t="shared" si="27"/>
        <v>30000</v>
      </c>
      <c r="P18" s="35">
        <f t="shared" si="2"/>
        <v>28111</v>
      </c>
      <c r="Q18" s="35">
        <f>IF(P18&gt;0,SUM(P$7:P18)-SUM(O$7:O18),0)</f>
        <v>-52710</v>
      </c>
      <c r="R18" s="45">
        <f t="shared" si="8"/>
        <v>0.93703333333333338</v>
      </c>
      <c r="T18" s="47">
        <f t="shared" si="9"/>
        <v>40828</v>
      </c>
      <c r="U18" s="54" t="s">
        <v>28</v>
      </c>
      <c r="V18" s="75">
        <v>14000</v>
      </c>
      <c r="W18" s="75">
        <v>15342</v>
      </c>
      <c r="X18" s="76">
        <f>IF(W18&gt;0,SUM(W$7:W18)-SUM(V$7:V18),0)</f>
        <v>1996</v>
      </c>
      <c r="Y18" s="60">
        <f t="shared" si="10"/>
        <v>1.0958571428571429</v>
      </c>
      <c r="Z18" s="75">
        <v>14000</v>
      </c>
      <c r="AA18" s="75">
        <v>15933</v>
      </c>
      <c r="AB18" s="76">
        <f>IF(AA18&gt;0,SUM(AA$7:AA18)-SUM(Z$7:Z18),0)</f>
        <v>-13634</v>
      </c>
      <c r="AC18" s="60">
        <f t="shared" si="11"/>
        <v>1.1380714285714286</v>
      </c>
      <c r="AD18" s="75">
        <v>14000</v>
      </c>
      <c r="AE18" s="75">
        <v>15523</v>
      </c>
      <c r="AF18" s="76">
        <f>IF(AE18&gt;0,SUM(AE$7:AE18)-SUM(AD$7:AD18),0)</f>
        <v>2583</v>
      </c>
      <c r="AG18" s="60">
        <f t="shared" si="12"/>
        <v>1.1087857142857143</v>
      </c>
      <c r="AH18" s="41">
        <f t="shared" si="3"/>
        <v>42000</v>
      </c>
      <c r="AI18" s="41">
        <f t="shared" si="3"/>
        <v>46798</v>
      </c>
      <c r="AJ18" s="41">
        <f>IF(AI18&gt;0,SUM(AI$7:AI18)-SUM(AH$7:AH18),0)</f>
        <v>-9055</v>
      </c>
      <c r="AK18" s="60">
        <f t="shared" si="13"/>
        <v>1.1142380952380952</v>
      </c>
      <c r="AM18" s="47">
        <f t="shared" si="14"/>
        <v>40828</v>
      </c>
      <c r="AN18" s="54" t="s">
        <v>28</v>
      </c>
      <c r="AO18" s="75">
        <v>7000</v>
      </c>
      <c r="AP18" s="75">
        <v>12876</v>
      </c>
      <c r="AQ18" s="75">
        <f>IF(AP18&gt;0,SUM(AP$7:AP18)-SUM(AO$7:AO18),0)</f>
        <v>18695</v>
      </c>
      <c r="AR18" s="45">
        <f t="shared" si="15"/>
        <v>1.8394285714285714</v>
      </c>
      <c r="AS18" s="75">
        <v>7000</v>
      </c>
      <c r="AT18" s="75">
        <v>14360</v>
      </c>
      <c r="AU18" s="75">
        <f>IF(AT18&gt;0,SUM(AT$7:AT18)-SUM(AS$7:AS18),0)</f>
        <v>25729</v>
      </c>
      <c r="AV18" s="45">
        <f t="shared" si="16"/>
        <v>2.0514285714285716</v>
      </c>
      <c r="AW18" s="75">
        <v>7000</v>
      </c>
      <c r="AX18" s="75">
        <v>13250</v>
      </c>
      <c r="AY18" s="75">
        <f>IF(AX18&gt;0,SUM(AX$7:AX18)-SUM(AW$7:AW18),0)</f>
        <v>25996</v>
      </c>
      <c r="AZ18" s="45">
        <f t="shared" si="24"/>
        <v>1.8928571428571428</v>
      </c>
      <c r="BA18" s="35">
        <f t="shared" si="4"/>
        <v>21000</v>
      </c>
      <c r="BB18" s="35">
        <f t="shared" si="4"/>
        <v>40486</v>
      </c>
      <c r="BC18" s="35">
        <f>IF(BB18&gt;0,SUM(BB$7:BB18)-SUM(BA$7:BA18),0)</f>
        <v>70420</v>
      </c>
      <c r="BD18" s="45">
        <f t="shared" si="17"/>
        <v>1.927904761904762</v>
      </c>
      <c r="BF18" s="47">
        <f t="shared" si="18"/>
        <v>40828</v>
      </c>
      <c r="BG18" s="54" t="s">
        <v>28</v>
      </c>
      <c r="BH18" s="75">
        <v>22000</v>
      </c>
      <c r="BI18" s="75">
        <v>26803</v>
      </c>
      <c r="BJ18" s="75">
        <f>IF(BI18&gt;0,SUM(BI$7:BI18)-SUM(BH$7:BH18),0)</f>
        <v>-8786</v>
      </c>
      <c r="BK18" s="45">
        <f t="shared" si="19"/>
        <v>1.2183181818181819</v>
      </c>
      <c r="BL18" s="75">
        <v>8000</v>
      </c>
      <c r="BM18" s="75">
        <v>13681</v>
      </c>
      <c r="BN18" s="75">
        <f>IF(BM18&gt;0,SUM(BM$7:BM18)-SUM(BL$7:BL18),0)</f>
        <v>12816</v>
      </c>
      <c r="BO18" s="45">
        <f t="shared" si="20"/>
        <v>1.7101249999999999</v>
      </c>
      <c r="BP18" s="75">
        <v>12000</v>
      </c>
      <c r="BQ18" s="75">
        <v>12147</v>
      </c>
      <c r="BR18" s="75">
        <f>IF(BQ18&gt;0,SUM(BQ$7:BQ18)-SUM(BP$7:BP18),0)</f>
        <v>-24602</v>
      </c>
      <c r="BS18" s="45">
        <f t="shared" si="25"/>
        <v>1.0122500000000001</v>
      </c>
      <c r="BT18" s="35">
        <f t="shared" si="5"/>
        <v>42000</v>
      </c>
      <c r="BU18" s="35">
        <f t="shared" si="5"/>
        <v>52631</v>
      </c>
      <c r="BV18" s="35">
        <f>IF(BU18&gt;0,SUM(BU$7:BU18)-SUM(BT$7:BT18),0)</f>
        <v>-20572</v>
      </c>
      <c r="BW18" s="45">
        <f t="shared" si="21"/>
        <v>1.2531190476190477</v>
      </c>
      <c r="BY18" s="47">
        <f t="shared" si="22"/>
        <v>40828</v>
      </c>
      <c r="BZ18" s="54" t="s">
        <v>28</v>
      </c>
      <c r="CA18" s="75">
        <v>5000</v>
      </c>
      <c r="CB18" s="75">
        <v>5495</v>
      </c>
      <c r="CC18" s="75">
        <f>IF(CB18&gt;0,SUM(CB$7:CB18)-SUM(CA$7:CA18),0)</f>
        <v>1767</v>
      </c>
      <c r="CD18" s="45">
        <f t="shared" si="23"/>
        <v>1.099</v>
      </c>
    </row>
    <row r="19" spans="1:82" x14ac:dyDescent="0.25">
      <c r="A19" s="47">
        <f t="shared" si="6"/>
        <v>40829</v>
      </c>
      <c r="B19" s="54" t="s">
        <v>22</v>
      </c>
      <c r="C19" s="75">
        <v>15000</v>
      </c>
      <c r="D19" s="75">
        <v>9915</v>
      </c>
      <c r="E19" s="75">
        <f>IF(D19&gt;0,SUM(D$7:D19)-SUM(C$7:C19),0)</f>
        <v>-22894</v>
      </c>
      <c r="F19" s="45">
        <f t="shared" si="7"/>
        <v>0.66100000000000003</v>
      </c>
      <c r="G19" s="7"/>
      <c r="H19" s="75"/>
      <c r="I19" s="75">
        <f>IF(H19&gt;0,SUM(H$7:H19)-SUM(G$7:G19),0)</f>
        <v>0</v>
      </c>
      <c r="J19" s="45">
        <f t="shared" si="26"/>
        <v>0</v>
      </c>
      <c r="K19" s="75">
        <v>15000</v>
      </c>
      <c r="L19" s="75">
        <v>13228</v>
      </c>
      <c r="M19" s="75">
        <f>IF(L19&gt;0,SUM(L$7:L19)-SUM(K$7:K19),0)</f>
        <v>-36673</v>
      </c>
      <c r="N19" s="45">
        <f t="shared" si="28"/>
        <v>0.88186666666666669</v>
      </c>
      <c r="O19" s="35">
        <f t="shared" si="27"/>
        <v>30000</v>
      </c>
      <c r="P19" s="35">
        <f t="shared" si="2"/>
        <v>23143</v>
      </c>
      <c r="Q19" s="35">
        <f>IF(P19&gt;0,SUM(P$7:P19)-SUM(O$7:O19),0)</f>
        <v>-59567</v>
      </c>
      <c r="R19" s="45">
        <f t="shared" si="8"/>
        <v>0.7714333333333333</v>
      </c>
      <c r="T19" s="47">
        <f t="shared" si="9"/>
        <v>40829</v>
      </c>
      <c r="U19" s="54" t="s">
        <v>22</v>
      </c>
      <c r="V19" s="75">
        <v>14000</v>
      </c>
      <c r="W19" s="75">
        <v>15766</v>
      </c>
      <c r="X19" s="76">
        <f>IF(W19&gt;0,SUM(W$7:W19)-SUM(V$7:V19),0)</f>
        <v>3762</v>
      </c>
      <c r="Y19" s="60">
        <f t="shared" si="10"/>
        <v>1.1261428571428571</v>
      </c>
      <c r="Z19" s="75">
        <v>14000</v>
      </c>
      <c r="AA19" s="75">
        <v>10880</v>
      </c>
      <c r="AB19" s="76">
        <f>IF(AA19&gt;0,SUM(AA$7:AA19)-SUM(Z$7:Z19),0)</f>
        <v>-16754</v>
      </c>
      <c r="AC19" s="60">
        <f t="shared" si="11"/>
        <v>0.77714285714285714</v>
      </c>
      <c r="AD19" s="75">
        <v>14000</v>
      </c>
      <c r="AE19" s="75">
        <v>16984</v>
      </c>
      <c r="AF19" s="76">
        <f>IF(AE19&gt;0,SUM(AE$7:AE19)-SUM(AD$7:AD19),0)</f>
        <v>5567</v>
      </c>
      <c r="AG19" s="60">
        <f t="shared" si="12"/>
        <v>1.2131428571428571</v>
      </c>
      <c r="AH19" s="41">
        <f t="shared" si="3"/>
        <v>42000</v>
      </c>
      <c r="AI19" s="41">
        <f t="shared" si="3"/>
        <v>43630</v>
      </c>
      <c r="AJ19" s="41">
        <f>IF(AI19&gt;0,SUM(AI$7:AI19)-SUM(AH$7:AH19),0)</f>
        <v>-7425</v>
      </c>
      <c r="AK19" s="60">
        <f t="shared" si="13"/>
        <v>1.0388095238095238</v>
      </c>
      <c r="AM19" s="47">
        <f t="shared" si="14"/>
        <v>40829</v>
      </c>
      <c r="AN19" s="54" t="s">
        <v>22</v>
      </c>
      <c r="AO19" s="75">
        <v>7000</v>
      </c>
      <c r="AP19" s="75">
        <v>12269</v>
      </c>
      <c r="AQ19" s="75">
        <f>IF(AP19&gt;0,SUM(AP$7:AP19)-SUM(AO$7:AO19),0)</f>
        <v>23964</v>
      </c>
      <c r="AR19" s="45">
        <f t="shared" si="15"/>
        <v>1.7527142857142857</v>
      </c>
      <c r="AS19" s="75">
        <v>7000</v>
      </c>
      <c r="AT19" s="75">
        <v>12945</v>
      </c>
      <c r="AU19" s="75">
        <f>IF(AT19&gt;0,SUM(AT$7:AT19)-SUM(AS$7:AS19),0)</f>
        <v>31674</v>
      </c>
      <c r="AV19" s="45">
        <f t="shared" si="16"/>
        <v>1.8492857142857142</v>
      </c>
      <c r="AW19" s="75">
        <v>7000</v>
      </c>
      <c r="AX19" s="75">
        <v>13433</v>
      </c>
      <c r="AY19" s="75">
        <f>IF(AX19&gt;0,SUM(AX$7:AX19)-SUM(AW$7:AW19),0)</f>
        <v>32429</v>
      </c>
      <c r="AZ19" s="45">
        <f t="shared" si="24"/>
        <v>1.919</v>
      </c>
      <c r="BA19" s="35">
        <f t="shared" si="4"/>
        <v>21000</v>
      </c>
      <c r="BB19" s="35">
        <f t="shared" si="4"/>
        <v>38647</v>
      </c>
      <c r="BC19" s="35">
        <f>IF(BB19&gt;0,SUM(BB$7:BB19)-SUM(BA$7:BA19),0)</f>
        <v>88067</v>
      </c>
      <c r="BD19" s="45">
        <f t="shared" si="17"/>
        <v>1.8403333333333334</v>
      </c>
      <c r="BF19" s="47">
        <f t="shared" si="18"/>
        <v>40829</v>
      </c>
      <c r="BG19" s="54" t="s">
        <v>22</v>
      </c>
      <c r="BH19" s="75">
        <v>22000</v>
      </c>
      <c r="BI19" s="75">
        <v>25643</v>
      </c>
      <c r="BJ19" s="75">
        <f>IF(BI19&gt;0,SUM(BI$7:BI19)-SUM(BH$7:BH19),0)</f>
        <v>-5143</v>
      </c>
      <c r="BK19" s="45">
        <f t="shared" si="19"/>
        <v>1.1655909090909091</v>
      </c>
      <c r="BL19" s="75">
        <v>8000</v>
      </c>
      <c r="BM19" s="75">
        <v>1</v>
      </c>
      <c r="BN19" s="75">
        <f>IF(BM19&gt;0,SUM(BM$7:BM19)-SUM(BL$7:BL19),0)</f>
        <v>4817</v>
      </c>
      <c r="BO19" s="45">
        <f t="shared" si="20"/>
        <v>1.25E-4</v>
      </c>
      <c r="BP19" s="75">
        <v>12000</v>
      </c>
      <c r="BQ19" s="75">
        <v>18564</v>
      </c>
      <c r="BR19" s="75">
        <f>IF(BQ19&gt;0,SUM(BQ$7:BQ19)-SUM(BP$7:BP19),0)</f>
        <v>-18038</v>
      </c>
      <c r="BS19" s="45">
        <f t="shared" si="25"/>
        <v>1.5469999999999999</v>
      </c>
      <c r="BT19" s="35">
        <f t="shared" si="5"/>
        <v>42000</v>
      </c>
      <c r="BU19" s="35">
        <f t="shared" si="5"/>
        <v>44208</v>
      </c>
      <c r="BV19" s="35">
        <f>IF(BU19&gt;0,SUM(BU$7:BU19)-SUM(BT$7:BT19),0)</f>
        <v>-18364</v>
      </c>
      <c r="BW19" s="45">
        <f t="shared" si="21"/>
        <v>1.0525714285714285</v>
      </c>
      <c r="BY19" s="47">
        <f t="shared" si="22"/>
        <v>40829</v>
      </c>
      <c r="BZ19" s="54" t="s">
        <v>22</v>
      </c>
      <c r="CA19" s="75">
        <v>5000</v>
      </c>
      <c r="CB19" s="75">
        <v>4009</v>
      </c>
      <c r="CC19" s="75">
        <f>IF(CB19&gt;0,SUM(CB$7:CB19)-SUM(CA$7:CA19),0)</f>
        <v>776</v>
      </c>
      <c r="CD19" s="45">
        <f t="shared" si="23"/>
        <v>0.80179999999999996</v>
      </c>
    </row>
    <row r="20" spans="1:82" x14ac:dyDescent="0.25">
      <c r="A20" s="47">
        <f t="shared" si="6"/>
        <v>40830</v>
      </c>
      <c r="B20" s="54" t="s">
        <v>23</v>
      </c>
      <c r="C20" s="75">
        <v>15000</v>
      </c>
      <c r="D20" s="75">
        <v>14091</v>
      </c>
      <c r="E20" s="75">
        <f>IF(D20&gt;0,SUM(D$7:D20)-SUM(C$7:C20),0)</f>
        <v>-23803</v>
      </c>
      <c r="F20" s="45">
        <f t="shared" si="7"/>
        <v>0.93940000000000001</v>
      </c>
      <c r="G20" s="83"/>
      <c r="H20" s="75"/>
      <c r="I20" s="75">
        <f>IF(H20&gt;0,SUM(H$7:H20)-SUM(G$7:G20),0)</f>
        <v>0</v>
      </c>
      <c r="J20" s="45">
        <f t="shared" si="26"/>
        <v>0</v>
      </c>
      <c r="K20" s="75">
        <v>15000</v>
      </c>
      <c r="L20" s="75">
        <v>15445</v>
      </c>
      <c r="M20" s="75">
        <f>IF(L20&gt;0,SUM(L$7:L20)-SUM(K$7:K20),0)</f>
        <v>-36228</v>
      </c>
      <c r="N20" s="45">
        <f t="shared" si="28"/>
        <v>1.0296666666666667</v>
      </c>
      <c r="O20" s="35">
        <f t="shared" si="27"/>
        <v>30000</v>
      </c>
      <c r="P20" s="35">
        <f t="shared" si="2"/>
        <v>29536</v>
      </c>
      <c r="Q20" s="35">
        <f>IF(P20&gt;0,SUM(P$7:P20)-SUM(O$7:O20),0)</f>
        <v>-60031</v>
      </c>
      <c r="R20" s="45">
        <f t="shared" si="8"/>
        <v>0.98453333333333337</v>
      </c>
      <c r="T20" s="47">
        <f t="shared" si="9"/>
        <v>40830</v>
      </c>
      <c r="U20" s="54" t="s">
        <v>23</v>
      </c>
      <c r="V20" s="75">
        <v>14000</v>
      </c>
      <c r="W20" s="75">
        <v>17008</v>
      </c>
      <c r="X20" s="76">
        <f>IF(W20&gt;0,SUM(W$7:W20)-SUM(V$7:V20),0)</f>
        <v>6770</v>
      </c>
      <c r="Y20" s="60">
        <f t="shared" si="10"/>
        <v>1.2148571428571429</v>
      </c>
      <c r="Z20" s="75">
        <v>14000</v>
      </c>
      <c r="AA20" s="75">
        <v>13397</v>
      </c>
      <c r="AB20" s="76">
        <f>IF(AA20&gt;0,SUM(AA$7:AA20)-SUM(Z$7:Z20),0)</f>
        <v>-17357</v>
      </c>
      <c r="AC20" s="60">
        <f t="shared" si="11"/>
        <v>0.95692857142857146</v>
      </c>
      <c r="AD20" s="75">
        <v>14000</v>
      </c>
      <c r="AE20" s="75">
        <v>15698</v>
      </c>
      <c r="AF20" s="76">
        <f>IF(AE20&gt;0,SUM(AE$7:AE20)-SUM(AD$7:AD20),0)</f>
        <v>7265</v>
      </c>
      <c r="AG20" s="60">
        <f t="shared" si="12"/>
        <v>1.1212857142857142</v>
      </c>
      <c r="AH20" s="41">
        <f t="shared" si="3"/>
        <v>42000</v>
      </c>
      <c r="AI20" s="41">
        <f t="shared" si="3"/>
        <v>46103</v>
      </c>
      <c r="AJ20" s="41">
        <f>IF(AI20&gt;0,SUM(AI$7:AI20)-SUM(AH$7:AH20),0)</f>
        <v>-3322</v>
      </c>
      <c r="AK20" s="60">
        <f t="shared" si="13"/>
        <v>1.0976904761904762</v>
      </c>
      <c r="AM20" s="47">
        <f t="shared" si="14"/>
        <v>40830</v>
      </c>
      <c r="AN20" s="54" t="s">
        <v>23</v>
      </c>
      <c r="AO20" s="75">
        <v>7000</v>
      </c>
      <c r="AP20" s="75">
        <v>12408</v>
      </c>
      <c r="AQ20" s="75">
        <f>IF(AP20&gt;0,SUM(AP$7:AP20)-SUM(AO$7:AO20),0)</f>
        <v>29372</v>
      </c>
      <c r="AR20" s="45">
        <f t="shared" si="15"/>
        <v>1.7725714285714285</v>
      </c>
      <c r="AS20" s="75">
        <v>7000</v>
      </c>
      <c r="AT20" s="75">
        <v>12286</v>
      </c>
      <c r="AU20" s="75">
        <f>IF(AT20&gt;0,SUM(AT$7:AT20)-SUM(AS$7:AS20),0)</f>
        <v>36960</v>
      </c>
      <c r="AV20" s="45">
        <f t="shared" si="16"/>
        <v>1.7551428571428571</v>
      </c>
      <c r="AW20" s="75">
        <v>7000</v>
      </c>
      <c r="AX20" s="75">
        <v>12447</v>
      </c>
      <c r="AY20" s="75">
        <f>IF(AX20&gt;0,SUM(AX$7:AX20)-SUM(AW$7:AW20),0)</f>
        <v>37876</v>
      </c>
      <c r="AZ20" s="45">
        <f t="shared" si="24"/>
        <v>1.7781428571428572</v>
      </c>
      <c r="BA20" s="35">
        <f t="shared" si="4"/>
        <v>21000</v>
      </c>
      <c r="BB20" s="35">
        <f t="shared" si="4"/>
        <v>37141</v>
      </c>
      <c r="BC20" s="35">
        <f>IF(BB20&gt;0,SUM(BB$7:BB20)-SUM(BA$7:BA20),0)</f>
        <v>104208</v>
      </c>
      <c r="BD20" s="45">
        <f t="shared" si="17"/>
        <v>1.7686190476190475</v>
      </c>
      <c r="BF20" s="47">
        <f t="shared" si="18"/>
        <v>40830</v>
      </c>
      <c r="BG20" s="54" t="s">
        <v>23</v>
      </c>
      <c r="BH20" s="75">
        <v>22000</v>
      </c>
      <c r="BI20" s="75">
        <v>22861</v>
      </c>
      <c r="BJ20" s="75">
        <f>IF(BI20&gt;0,SUM(BI$7:BI20)-SUM(BH$7:BH20),0)</f>
        <v>-4282</v>
      </c>
      <c r="BK20" s="45">
        <f t="shared" si="19"/>
        <v>1.0391363636363637</v>
      </c>
      <c r="BL20" s="75">
        <v>8000</v>
      </c>
      <c r="BM20" s="75">
        <v>3845</v>
      </c>
      <c r="BN20" s="75">
        <f>IF(BM20&gt;0,SUM(BM$7:BM20)-SUM(BL$7:BL20),0)</f>
        <v>662</v>
      </c>
      <c r="BO20" s="45">
        <f t="shared" si="20"/>
        <v>0.48062500000000002</v>
      </c>
      <c r="BP20" s="75">
        <v>12000</v>
      </c>
      <c r="BQ20" s="75">
        <v>15605</v>
      </c>
      <c r="BR20" s="75">
        <f>IF(BQ20&gt;0,SUM(BQ$7:BQ20)-SUM(BP$7:BP20),0)</f>
        <v>-14433</v>
      </c>
      <c r="BS20" s="45">
        <f t="shared" si="25"/>
        <v>1.3004166666666668</v>
      </c>
      <c r="BT20" s="35">
        <f t="shared" si="5"/>
        <v>42000</v>
      </c>
      <c r="BU20" s="35">
        <f t="shared" si="5"/>
        <v>42311</v>
      </c>
      <c r="BV20" s="35">
        <f>IF(BU20&gt;0,SUM(BU$7:BU20)-SUM(BT$7:BT20),0)</f>
        <v>-18053</v>
      </c>
      <c r="BW20" s="45">
        <f t="shared" si="21"/>
        <v>1.0074047619047619</v>
      </c>
      <c r="BY20" s="47">
        <f t="shared" si="22"/>
        <v>40830</v>
      </c>
      <c r="BZ20" s="54" t="s">
        <v>23</v>
      </c>
      <c r="CA20" s="75">
        <v>5000</v>
      </c>
      <c r="CB20" s="75">
        <v>4791</v>
      </c>
      <c r="CC20" s="75">
        <f>IF(CB20&gt;0,SUM(CB$7:CB20)-SUM(CA$7:CA20),0)</f>
        <v>567</v>
      </c>
      <c r="CD20" s="45">
        <f t="shared" si="23"/>
        <v>0.95820000000000005</v>
      </c>
    </row>
    <row r="21" spans="1:82" x14ac:dyDescent="0.25">
      <c r="A21" s="47">
        <f t="shared" si="6"/>
        <v>40831</v>
      </c>
      <c r="B21" s="54" t="s">
        <v>24</v>
      </c>
      <c r="C21" s="75">
        <v>15000</v>
      </c>
      <c r="D21" s="75">
        <v>14009</v>
      </c>
      <c r="E21" s="75">
        <f>IF(D21&gt;0,SUM(D$7:D21)-SUM(C$7:C21),0)</f>
        <v>-24794</v>
      </c>
      <c r="F21" s="45">
        <f t="shared" si="7"/>
        <v>0.93393333333333328</v>
      </c>
      <c r="G21" s="7"/>
      <c r="H21" s="75"/>
      <c r="I21" s="75">
        <f>IF(H21&gt;0,SUM(H$7:H21)-SUM(G$7:G21),0)</f>
        <v>0</v>
      </c>
      <c r="J21" s="45">
        <f t="shared" si="26"/>
        <v>0</v>
      </c>
      <c r="K21" s="75">
        <v>15000</v>
      </c>
      <c r="L21" s="75">
        <v>18031</v>
      </c>
      <c r="M21" s="75"/>
      <c r="N21" s="45">
        <f t="shared" si="28"/>
        <v>1.2020666666666666</v>
      </c>
      <c r="O21" s="35">
        <f t="shared" si="27"/>
        <v>30000</v>
      </c>
      <c r="P21" s="35">
        <f t="shared" si="2"/>
        <v>32040</v>
      </c>
      <c r="Q21" s="35">
        <f>IF(P21&gt;0,SUM(P$7:P21)-SUM(O$7:O21),0)</f>
        <v>-57991</v>
      </c>
      <c r="R21" s="45">
        <f t="shared" si="8"/>
        <v>1.0680000000000001</v>
      </c>
      <c r="T21" s="47">
        <f t="shared" si="9"/>
        <v>40831</v>
      </c>
      <c r="U21" s="54" t="s">
        <v>24</v>
      </c>
      <c r="V21" s="75">
        <v>14000</v>
      </c>
      <c r="W21" s="75">
        <v>17031</v>
      </c>
      <c r="X21" s="76">
        <f>IF(W21&gt;0,SUM(W$7:W21)-SUM(V$7:V21),0)</f>
        <v>9801</v>
      </c>
      <c r="Y21" s="60">
        <f t="shared" si="10"/>
        <v>1.2164999999999999</v>
      </c>
      <c r="Z21" s="75">
        <v>14000</v>
      </c>
      <c r="AA21" s="75">
        <v>8498</v>
      </c>
      <c r="AB21" s="76">
        <f>IF(AA21&gt;0,SUM(AA$7:AA21)-SUM(Z$7:Z21),0)</f>
        <v>-22859</v>
      </c>
      <c r="AC21" s="60">
        <f t="shared" si="11"/>
        <v>0.60699999999999998</v>
      </c>
      <c r="AD21" s="75">
        <v>14000</v>
      </c>
      <c r="AE21" s="75">
        <v>15656</v>
      </c>
      <c r="AF21" s="76">
        <f>IF(AE21&gt;0,SUM(AE$7:AE21)-SUM(AD$7:AD21),0)</f>
        <v>8921</v>
      </c>
      <c r="AG21" s="60">
        <f t="shared" si="12"/>
        <v>1.1182857142857143</v>
      </c>
      <c r="AH21" s="41">
        <f t="shared" si="3"/>
        <v>42000</v>
      </c>
      <c r="AI21" s="41">
        <f t="shared" si="3"/>
        <v>41185</v>
      </c>
      <c r="AJ21" s="41">
        <f>IF(AI21&gt;0,SUM(AI$7:AI21)-SUM(AH$7:AH21),0)</f>
        <v>-4137</v>
      </c>
      <c r="AK21" s="60">
        <f t="shared" si="13"/>
        <v>0.98059523809523808</v>
      </c>
      <c r="AM21" s="47">
        <f t="shared" si="14"/>
        <v>40831</v>
      </c>
      <c r="AN21" s="54" t="s">
        <v>24</v>
      </c>
      <c r="AO21" s="75">
        <v>7000</v>
      </c>
      <c r="AP21" s="75">
        <v>10551</v>
      </c>
      <c r="AQ21" s="75">
        <f>IF(AP21&gt;0,SUM(AP$7:AP21)-SUM(AO$7:AO21),0)</f>
        <v>32923</v>
      </c>
      <c r="AR21" s="45">
        <f t="shared" si="15"/>
        <v>1.5072857142857143</v>
      </c>
      <c r="AS21" s="75">
        <v>7000</v>
      </c>
      <c r="AT21" s="75">
        <v>10927</v>
      </c>
      <c r="AU21" s="75">
        <f>IF(AT21&gt;0,SUM(AT$7:AT21)-SUM(AS$7:AS21),0)</f>
        <v>40887</v>
      </c>
      <c r="AV21" s="45">
        <f t="shared" si="16"/>
        <v>1.5609999999999999</v>
      </c>
      <c r="AW21" s="75">
        <v>7000</v>
      </c>
      <c r="AX21" s="75">
        <v>12799</v>
      </c>
      <c r="AY21" s="75">
        <f>IF(AX21&gt;0,SUM(AX$7:AX21)-SUM(AW$7:AW21),0)</f>
        <v>43675</v>
      </c>
      <c r="AZ21" s="45">
        <f t="shared" si="24"/>
        <v>1.8284285714285715</v>
      </c>
      <c r="BA21" s="35">
        <f t="shared" si="4"/>
        <v>21000</v>
      </c>
      <c r="BB21" s="35">
        <f t="shared" si="4"/>
        <v>34277</v>
      </c>
      <c r="BC21" s="35">
        <f>IF(BB21&gt;0,SUM(BB$7:BB21)-SUM(BA$7:BA21),0)</f>
        <v>117485</v>
      </c>
      <c r="BD21" s="45">
        <f t="shared" si="17"/>
        <v>1.6322380952380953</v>
      </c>
      <c r="BF21" s="47">
        <f t="shared" si="18"/>
        <v>40831</v>
      </c>
      <c r="BG21" s="54" t="s">
        <v>24</v>
      </c>
      <c r="BH21" s="75">
        <v>22000</v>
      </c>
      <c r="BI21" s="75">
        <v>21821</v>
      </c>
      <c r="BJ21" s="75">
        <f>IF(BI21&gt;0,SUM(BI$7:BI21)-SUM(BH$7:BH21),0)</f>
        <v>-4461</v>
      </c>
      <c r="BK21" s="45">
        <f t="shared" si="19"/>
        <v>0.99186363636363639</v>
      </c>
      <c r="BL21" s="75">
        <v>8000</v>
      </c>
      <c r="BM21" s="75">
        <v>15652</v>
      </c>
      <c r="BN21" s="75">
        <f>IF(BM21&gt;0,SUM(BM$7:BM21)-SUM(BL$7:BL21),0)</f>
        <v>8314</v>
      </c>
      <c r="BO21" s="45">
        <f t="shared" si="20"/>
        <v>1.9564999999999999</v>
      </c>
      <c r="BP21" s="75">
        <v>12000</v>
      </c>
      <c r="BQ21" s="75">
        <v>20413</v>
      </c>
      <c r="BR21" s="75">
        <f>IF(BQ21&gt;0,SUM(BQ$7:BQ21)-SUM(BP$7:BP21),0)</f>
        <v>-6020</v>
      </c>
      <c r="BS21" s="45">
        <f t="shared" si="25"/>
        <v>1.7010833333333333</v>
      </c>
      <c r="BT21" s="35">
        <f t="shared" si="5"/>
        <v>42000</v>
      </c>
      <c r="BU21" s="35">
        <f t="shared" si="5"/>
        <v>57886</v>
      </c>
      <c r="BV21" s="35">
        <f>IF(BU21&gt;0,SUM(BU$7:BU21)-SUM(BT$7:BT21),0)</f>
        <v>-2167</v>
      </c>
      <c r="BW21" s="45">
        <f t="shared" si="21"/>
        <v>1.3782380952380953</v>
      </c>
      <c r="BY21" s="47">
        <f t="shared" si="22"/>
        <v>40831</v>
      </c>
      <c r="BZ21" s="54" t="s">
        <v>24</v>
      </c>
      <c r="CA21" s="75">
        <v>5000</v>
      </c>
      <c r="CB21" s="75">
        <v>5474</v>
      </c>
      <c r="CC21" s="75">
        <f>IF(CB21&gt;0,SUM(CB$7:CB21)-SUM(CA$7:CA21),0)</f>
        <v>1041</v>
      </c>
      <c r="CD21" s="45">
        <f t="shared" si="23"/>
        <v>1.0948</v>
      </c>
    </row>
    <row r="22" spans="1:82" x14ac:dyDescent="0.25">
      <c r="A22" s="47">
        <f t="shared" si="6"/>
        <v>40832</v>
      </c>
      <c r="B22" s="54" t="s">
        <v>25</v>
      </c>
      <c r="C22" s="75"/>
      <c r="D22" s="75"/>
      <c r="E22" s="75">
        <f>IF(D22&gt;0,SUM(D$7:D22)-SUM(C$7:C22),0)</f>
        <v>0</v>
      </c>
      <c r="F22" s="45">
        <f t="shared" si="7"/>
        <v>0</v>
      </c>
      <c r="G22" s="7"/>
      <c r="H22" s="75"/>
      <c r="I22" s="75">
        <f>IF(H22&gt;0,SUM(H$7:H22)-SUM(G$7:G22),0)</f>
        <v>0</v>
      </c>
      <c r="J22" s="45">
        <f t="shared" si="26"/>
        <v>0</v>
      </c>
      <c r="K22" s="75"/>
      <c r="L22" s="75"/>
      <c r="M22" s="75">
        <f>IF(L22&gt;0,SUM(L$7:L22)-SUM(K$7:K22),0)</f>
        <v>0</v>
      </c>
      <c r="N22" s="45">
        <f t="shared" si="28"/>
        <v>0</v>
      </c>
      <c r="O22" s="35">
        <f t="shared" si="27"/>
        <v>0</v>
      </c>
      <c r="P22" s="35">
        <f t="shared" si="2"/>
        <v>0</v>
      </c>
      <c r="Q22" s="35">
        <f>IF(P22&gt;0,SUM(P$7:P22)-SUM(O$7:O22),0)</f>
        <v>0</v>
      </c>
      <c r="R22" s="45">
        <f t="shared" si="8"/>
        <v>0</v>
      </c>
      <c r="T22" s="47">
        <f t="shared" si="9"/>
        <v>40832</v>
      </c>
      <c r="U22" s="54" t="s">
        <v>25</v>
      </c>
      <c r="V22" s="75"/>
      <c r="W22" s="75"/>
      <c r="X22" s="76">
        <f>IF(W22&gt;0,SUM(W$7:W22)-SUM(V$7:V22),0)</f>
        <v>0</v>
      </c>
      <c r="Y22" s="60">
        <f t="shared" si="10"/>
        <v>0</v>
      </c>
      <c r="Z22" s="75"/>
      <c r="AA22" s="75">
        <v>3820</v>
      </c>
      <c r="AB22" s="76">
        <f>IF(AA22&gt;0,SUM(AA$7:AA22)-SUM(Z$7:Z22),0)</f>
        <v>-19039</v>
      </c>
      <c r="AC22" s="60">
        <f t="shared" si="11"/>
        <v>0</v>
      </c>
      <c r="AD22" s="75"/>
      <c r="AE22" s="75"/>
      <c r="AF22" s="76">
        <f>IF(AE22&gt;0,SUM(AE$7:AE22)-SUM(AD$7:AD22),0)</f>
        <v>0</v>
      </c>
      <c r="AG22" s="60">
        <f t="shared" si="12"/>
        <v>0</v>
      </c>
      <c r="AH22" s="41">
        <f t="shared" si="3"/>
        <v>0</v>
      </c>
      <c r="AI22" s="41">
        <f t="shared" si="3"/>
        <v>3820</v>
      </c>
      <c r="AJ22" s="41">
        <f>IF(AI22&gt;0,SUM(AI$7:AI22)-SUM(AH$7:AH22),0)</f>
        <v>-317</v>
      </c>
      <c r="AK22" s="60">
        <f t="shared" si="13"/>
        <v>0</v>
      </c>
      <c r="AM22" s="47">
        <f t="shared" si="14"/>
        <v>40832</v>
      </c>
      <c r="AN22" s="54" t="s">
        <v>25</v>
      </c>
      <c r="AO22" s="75"/>
      <c r="AP22" s="75"/>
      <c r="AQ22" s="75">
        <f>IF(AP22&gt;0,SUM(AP$7:AP22)-SUM(AO$7:AO22),0)</f>
        <v>0</v>
      </c>
      <c r="AR22" s="45">
        <f t="shared" si="15"/>
        <v>0</v>
      </c>
      <c r="AS22" s="75"/>
      <c r="AT22" s="75"/>
      <c r="AU22" s="75">
        <f>IF(AT22&gt;0,SUM(AT$7:AT22)-SUM(AS$7:AS22),0)</f>
        <v>0</v>
      </c>
      <c r="AV22" s="45">
        <f t="shared" si="16"/>
        <v>0</v>
      </c>
      <c r="AW22" s="75"/>
      <c r="AX22" s="75"/>
      <c r="AY22" s="75">
        <f>IF(AX22&gt;0,SUM(AX$7:AX22)-SUM(AW$7:AW22),0)</f>
        <v>0</v>
      </c>
      <c r="AZ22" s="45">
        <f t="shared" si="24"/>
        <v>0</v>
      </c>
      <c r="BA22" s="35">
        <f t="shared" si="4"/>
        <v>0</v>
      </c>
      <c r="BB22" s="35">
        <f t="shared" si="4"/>
        <v>0</v>
      </c>
      <c r="BC22" s="35">
        <f>IF(BB22&gt;0,SUM(BB$7:BB22)-SUM(BA$7:BA22),0)</f>
        <v>0</v>
      </c>
      <c r="BD22" s="45">
        <f t="shared" si="17"/>
        <v>0</v>
      </c>
      <c r="BF22" s="47">
        <f t="shared" si="18"/>
        <v>40832</v>
      </c>
      <c r="BG22" s="54" t="s">
        <v>25</v>
      </c>
      <c r="BH22" s="75"/>
      <c r="BI22" s="75"/>
      <c r="BJ22" s="75">
        <f>IF(BI22&gt;0,SUM(BI$7:BI22)-SUM(BH$7:BH22),0)</f>
        <v>0</v>
      </c>
      <c r="BK22" s="45">
        <f t="shared" si="19"/>
        <v>0</v>
      </c>
      <c r="BL22" s="75"/>
      <c r="BM22" s="75"/>
      <c r="BN22" s="75">
        <f>IF(BM22&gt;0,SUM(BM$7:BM22)-SUM(BL$7:BL22),0)</f>
        <v>0</v>
      </c>
      <c r="BO22" s="45">
        <f t="shared" si="20"/>
        <v>0</v>
      </c>
      <c r="BP22" s="75"/>
      <c r="BQ22" s="75"/>
      <c r="BR22" s="75">
        <f>IF(BQ22&gt;0,SUM(BQ$7:BQ22)-SUM(BP$7:BP22),0)</f>
        <v>0</v>
      </c>
      <c r="BS22" s="45">
        <f t="shared" si="25"/>
        <v>0</v>
      </c>
      <c r="BT22" s="35">
        <f t="shared" si="5"/>
        <v>0</v>
      </c>
      <c r="BU22" s="35">
        <f t="shared" si="5"/>
        <v>0</v>
      </c>
      <c r="BV22" s="35">
        <f>IF(BU22&gt;0,SUM(BU$7:BU22)-SUM(BT$7:BT22),0)</f>
        <v>0</v>
      </c>
      <c r="BW22" s="45">
        <f t="shared" si="21"/>
        <v>0</v>
      </c>
      <c r="BY22" s="47">
        <f t="shared" si="22"/>
        <v>40832</v>
      </c>
      <c r="BZ22" s="54" t="s">
        <v>25</v>
      </c>
      <c r="CA22" s="75"/>
      <c r="CB22" s="75"/>
      <c r="CC22" s="75">
        <f>IF(CB22&gt;0,SUM(CB$7:CB22)-SUM(CA$7:CA22),0)</f>
        <v>0</v>
      </c>
      <c r="CD22" s="45">
        <f t="shared" si="23"/>
        <v>0</v>
      </c>
    </row>
    <row r="23" spans="1:82" x14ac:dyDescent="0.25">
      <c r="A23" s="47">
        <f t="shared" si="6"/>
        <v>40833</v>
      </c>
      <c r="B23" s="54" t="s">
        <v>26</v>
      </c>
      <c r="C23" s="75"/>
      <c r="D23" s="75"/>
      <c r="E23" s="75">
        <f>IF(D23&gt;0,SUM(D$7:D23)-SUM(C$7:C23),0)</f>
        <v>0</v>
      </c>
      <c r="F23" s="45">
        <f t="shared" si="7"/>
        <v>0</v>
      </c>
      <c r="G23" s="7"/>
      <c r="H23" s="75"/>
      <c r="I23" s="75">
        <f>IF(H23&gt;0,SUM(H$7:H23)-SUM(G$7:G23),0)</f>
        <v>0</v>
      </c>
      <c r="J23" s="45">
        <f t="shared" si="26"/>
        <v>0</v>
      </c>
      <c r="K23" s="75"/>
      <c r="L23" s="75"/>
      <c r="M23" s="75">
        <f>IF(L23&gt;0,SUM(L$7:L23)-SUM(K$7:K23),0)</f>
        <v>0</v>
      </c>
      <c r="N23" s="45">
        <f t="shared" si="28"/>
        <v>0</v>
      </c>
      <c r="O23" s="35">
        <f t="shared" si="27"/>
        <v>0</v>
      </c>
      <c r="P23" s="35">
        <f t="shared" si="2"/>
        <v>0</v>
      </c>
      <c r="Q23" s="35">
        <f>IF(P23&gt;0,SUM(P$7:P23)-SUM(O$7:O23),0)</f>
        <v>0</v>
      </c>
      <c r="R23" s="45">
        <f t="shared" si="8"/>
        <v>0</v>
      </c>
      <c r="T23" s="47">
        <f t="shared" si="9"/>
        <v>40833</v>
      </c>
      <c r="U23" s="54" t="s">
        <v>26</v>
      </c>
      <c r="V23" s="75"/>
      <c r="W23" s="75"/>
      <c r="X23" s="76">
        <f>IF(W23&gt;0,SUM(W$7:W23)-SUM(V$7:V23),0)</f>
        <v>0</v>
      </c>
      <c r="Y23" s="60">
        <f t="shared" si="10"/>
        <v>0</v>
      </c>
      <c r="Z23" s="75"/>
      <c r="AA23" s="75"/>
      <c r="AB23" s="76"/>
      <c r="AC23" s="60">
        <f t="shared" si="11"/>
        <v>0</v>
      </c>
      <c r="AD23" s="75"/>
      <c r="AE23" s="75"/>
      <c r="AF23" s="76">
        <f>IF(AE23&gt;0,SUM(AE$7:AE23)-SUM(AD$7:AD23),0)</f>
        <v>0</v>
      </c>
      <c r="AG23" s="60">
        <f t="shared" si="12"/>
        <v>0</v>
      </c>
      <c r="AH23" s="41">
        <f t="shared" si="3"/>
        <v>0</v>
      </c>
      <c r="AI23" s="41">
        <f t="shared" si="3"/>
        <v>0</v>
      </c>
      <c r="AJ23" s="41">
        <f>IF(AI23&gt;0,SUM(AI$7:AI23)-SUM(AH$7:AH23),0)</f>
        <v>0</v>
      </c>
      <c r="AK23" s="60">
        <f t="shared" si="13"/>
        <v>0</v>
      </c>
      <c r="AM23" s="47">
        <f t="shared" si="14"/>
        <v>40833</v>
      </c>
      <c r="AN23" s="54" t="s">
        <v>26</v>
      </c>
      <c r="AO23" s="75"/>
      <c r="AP23" s="75"/>
      <c r="AQ23" s="75">
        <f>IF(AP23&gt;0,SUM(AP$7:AP23)-SUM(AO$7:AO22),0)</f>
        <v>0</v>
      </c>
      <c r="AR23" s="45">
        <f>IF(AP23&gt;0,IF(AO18&gt;0,AP23/AO18,0),0)</f>
        <v>0</v>
      </c>
      <c r="AS23" s="75"/>
      <c r="AT23" s="75"/>
      <c r="AU23" s="75">
        <f>IF(AT23&gt;0,SUM(AT$7:AT23)-SUM(AS$7:AS23),0)</f>
        <v>0</v>
      </c>
      <c r="AV23" s="45">
        <f t="shared" si="16"/>
        <v>0</v>
      </c>
      <c r="AW23" s="75"/>
      <c r="AX23" s="75"/>
      <c r="AY23" s="75">
        <f>IF(AX23&gt;0,SUM(AX$7:AX23)-SUM(AW$7:AW23),0)</f>
        <v>0</v>
      </c>
      <c r="AZ23" s="45">
        <f t="shared" si="24"/>
        <v>0</v>
      </c>
      <c r="BA23" s="35">
        <f t="shared" si="4"/>
        <v>0</v>
      </c>
      <c r="BB23" s="35">
        <f t="shared" si="4"/>
        <v>0</v>
      </c>
      <c r="BC23" s="35">
        <f>IF(BB23&gt;0,SUM(BB$7:BB23)-SUM(BA$7:BA23),0)</f>
        <v>0</v>
      </c>
      <c r="BD23" s="45">
        <f t="shared" si="17"/>
        <v>0</v>
      </c>
      <c r="BF23" s="47">
        <f t="shared" si="18"/>
        <v>40833</v>
      </c>
      <c r="BG23" s="54" t="s">
        <v>26</v>
      </c>
      <c r="BH23" s="75"/>
      <c r="BI23" s="75"/>
      <c r="BJ23" s="75">
        <f>IF(BI23&gt;0,SUM(BI$7:BI23)-SUM(BH$7:BH23),0)</f>
        <v>0</v>
      </c>
      <c r="BK23" s="45">
        <f t="shared" si="19"/>
        <v>0</v>
      </c>
      <c r="BL23" s="75"/>
      <c r="BM23" s="75"/>
      <c r="BN23" s="75">
        <f>IF(BM23&gt;0,SUM(BM$7:BM23)-SUM(BL$7:BL23),0)</f>
        <v>0</v>
      </c>
      <c r="BO23" s="45">
        <f t="shared" si="20"/>
        <v>0</v>
      </c>
      <c r="BP23" s="75"/>
      <c r="BQ23" s="75"/>
      <c r="BR23" s="75">
        <f>IF(BQ23&gt;0,SUM(BQ$7:BQ23)-SUM(BP$7:BP23),0)</f>
        <v>0</v>
      </c>
      <c r="BS23" s="45">
        <f t="shared" si="25"/>
        <v>0</v>
      </c>
      <c r="BT23" s="35">
        <f t="shared" si="5"/>
        <v>0</v>
      </c>
      <c r="BU23" s="35">
        <f t="shared" si="5"/>
        <v>0</v>
      </c>
      <c r="BV23" s="35">
        <f>IF(BU23&gt;0,SUM(BU$7:BU23)-SUM(BT$7:BT23),0)</f>
        <v>0</v>
      </c>
      <c r="BW23" s="45">
        <f t="shared" si="21"/>
        <v>0</v>
      </c>
      <c r="BY23" s="47">
        <f t="shared" si="22"/>
        <v>40833</v>
      </c>
      <c r="BZ23" s="54" t="s">
        <v>26</v>
      </c>
      <c r="CA23" s="75"/>
      <c r="CB23" s="75"/>
      <c r="CC23" s="75">
        <f>IF(CB23&gt;0,SUM(CB$7:CB23)-SUM(CA$7:CA23),0)</f>
        <v>0</v>
      </c>
      <c r="CD23" s="45">
        <f t="shared" si="23"/>
        <v>0</v>
      </c>
    </row>
    <row r="24" spans="1:82" x14ac:dyDescent="0.25">
      <c r="A24" s="47">
        <f t="shared" si="6"/>
        <v>40834</v>
      </c>
      <c r="B24" s="54" t="s">
        <v>27</v>
      </c>
      <c r="C24" s="75">
        <v>15000</v>
      </c>
      <c r="D24" s="75">
        <v>16708</v>
      </c>
      <c r="E24" s="75">
        <f>IF(D24&gt;0,SUM(D$7:D24)-SUM(C$7:C24),0)</f>
        <v>-23086</v>
      </c>
      <c r="F24" s="45">
        <f t="shared" si="7"/>
        <v>1.1138666666666666</v>
      </c>
      <c r="G24" s="7"/>
      <c r="H24" s="75"/>
      <c r="I24" s="75">
        <f>IF(H24&gt;0,SUM(H$7:H24)-SUM(G$7:G24),0)</f>
        <v>0</v>
      </c>
      <c r="J24" s="45">
        <f t="shared" si="26"/>
        <v>0</v>
      </c>
      <c r="K24" s="75">
        <v>15000</v>
      </c>
      <c r="L24" s="75">
        <v>6774</v>
      </c>
      <c r="M24" s="75">
        <f>IF(L24&gt;0,SUM(L$7:L24)-SUM(K$7:K24),0)</f>
        <v>-41423</v>
      </c>
      <c r="N24" s="45">
        <f t="shared" si="28"/>
        <v>0.4516</v>
      </c>
      <c r="O24" s="35">
        <f t="shared" si="27"/>
        <v>30000</v>
      </c>
      <c r="P24" s="35">
        <f t="shared" si="2"/>
        <v>23482</v>
      </c>
      <c r="Q24" s="35">
        <f>IF(P24&gt;0,SUM(P$7:P24)-SUM(O$7:O24),0)</f>
        <v>-64509</v>
      </c>
      <c r="R24" s="45">
        <f t="shared" si="8"/>
        <v>0.78273333333333328</v>
      </c>
      <c r="T24" s="47">
        <f t="shared" si="9"/>
        <v>40834</v>
      </c>
      <c r="U24" s="54" t="s">
        <v>27</v>
      </c>
      <c r="V24" s="75">
        <v>14000</v>
      </c>
      <c r="W24" s="75">
        <v>10301</v>
      </c>
      <c r="X24" s="76">
        <f>IF(W24&gt;0,SUM(W$7:W24)-SUM(V$7:V24),0)</f>
        <v>6102</v>
      </c>
      <c r="Y24" s="60">
        <f t="shared" si="10"/>
        <v>0.73578571428571427</v>
      </c>
      <c r="Z24" s="75">
        <v>14000</v>
      </c>
      <c r="AA24" s="75">
        <v>12038</v>
      </c>
      <c r="AB24" s="76">
        <f>IF(AA24&gt;0,SUM(AA$7:AA24)-SUM(Z$7:Z24),0)</f>
        <v>-21001</v>
      </c>
      <c r="AC24" s="60">
        <f t="shared" si="11"/>
        <v>0.85985714285714288</v>
      </c>
      <c r="AD24" s="75">
        <v>14000</v>
      </c>
      <c r="AE24" s="75">
        <v>8802</v>
      </c>
      <c r="AF24" s="76">
        <f>IF(AE24&gt;0,SUM(AE$7:AE24)-SUM(AD$7:AD24),0)</f>
        <v>3723</v>
      </c>
      <c r="AG24" s="60">
        <f t="shared" si="12"/>
        <v>0.62871428571428567</v>
      </c>
      <c r="AH24" s="41">
        <f t="shared" si="3"/>
        <v>42000</v>
      </c>
      <c r="AI24" s="41">
        <f t="shared" si="3"/>
        <v>31141</v>
      </c>
      <c r="AJ24" s="41">
        <f>IF(AI24&gt;0,SUM(AI$7:AI24)-SUM(AH$7:AH24),0)</f>
        <v>-11176</v>
      </c>
      <c r="AK24" s="60">
        <f t="shared" si="13"/>
        <v>0.74145238095238097</v>
      </c>
      <c r="AM24" s="47">
        <f t="shared" si="14"/>
        <v>40834</v>
      </c>
      <c r="AN24" s="54" t="s">
        <v>27</v>
      </c>
      <c r="AO24" s="75">
        <v>7000</v>
      </c>
      <c r="AP24" s="75">
        <v>5020</v>
      </c>
      <c r="AQ24" s="75">
        <f>IF(AP24&gt;0,SUM(AP$7:AP24)-SUM(AO$7:AO24),0)</f>
        <v>30943</v>
      </c>
      <c r="AR24" s="45">
        <f t="shared" si="15"/>
        <v>0.71714285714285719</v>
      </c>
      <c r="AS24" s="75">
        <v>7000</v>
      </c>
      <c r="AT24" s="75">
        <v>8841</v>
      </c>
      <c r="AU24" s="75">
        <f>IF(AT24&gt;0,SUM(AT$7:AT24)-SUM(AS$7:AS24),0)</f>
        <v>42728</v>
      </c>
      <c r="AV24" s="45">
        <f t="shared" si="16"/>
        <v>1.2629999999999999</v>
      </c>
      <c r="AW24" s="75">
        <v>7000</v>
      </c>
      <c r="AX24" s="75">
        <v>8150</v>
      </c>
      <c r="AY24" s="75"/>
      <c r="AZ24" s="45">
        <f t="shared" si="24"/>
        <v>1.1642857142857144</v>
      </c>
      <c r="BA24" s="35">
        <f t="shared" si="4"/>
        <v>21000</v>
      </c>
      <c r="BB24" s="35">
        <f t="shared" si="4"/>
        <v>22011</v>
      </c>
      <c r="BC24" s="35">
        <f>IF(BB24&gt;0,SUM(BB$7:BB24)-SUM(BA$7:BA24),0)</f>
        <v>118496</v>
      </c>
      <c r="BD24" s="45">
        <f t="shared" si="17"/>
        <v>1.048142857142857</v>
      </c>
      <c r="BF24" s="47">
        <f t="shared" si="18"/>
        <v>40834</v>
      </c>
      <c r="BG24" s="54" t="s">
        <v>27</v>
      </c>
      <c r="BH24" s="75">
        <v>22000</v>
      </c>
      <c r="BI24" s="75">
        <v>13145</v>
      </c>
      <c r="BJ24" s="75">
        <f>IF(BI24&gt;0,SUM(BI$7:BI24)-SUM(BH$7:BH24),0)</f>
        <v>-13316</v>
      </c>
      <c r="BK24" s="45">
        <f t="shared" si="19"/>
        <v>0.59750000000000003</v>
      </c>
      <c r="BL24" s="75">
        <v>8000</v>
      </c>
      <c r="BM24" s="75">
        <v>8867</v>
      </c>
      <c r="BN24" s="75">
        <f>IF(BM24&gt;0,SUM(BM$7:BM24)-SUM(BL$7:BL24),0)</f>
        <v>9181</v>
      </c>
      <c r="BO24" s="45">
        <f t="shared" si="20"/>
        <v>1.1083750000000001</v>
      </c>
      <c r="BP24" s="75">
        <v>12000</v>
      </c>
      <c r="BQ24" s="75">
        <v>13264</v>
      </c>
      <c r="BR24" s="75">
        <f>IF(BQ24&gt;0,SUM(BQ$7:BQ24)-SUM(BP$7:BP24),0)</f>
        <v>-4756</v>
      </c>
      <c r="BS24" s="45">
        <f t="shared" si="25"/>
        <v>1.1053333333333333</v>
      </c>
      <c r="BT24" s="35">
        <f t="shared" si="5"/>
        <v>42000</v>
      </c>
      <c r="BU24" s="35">
        <f t="shared" si="5"/>
        <v>35276</v>
      </c>
      <c r="BV24" s="35">
        <f>IF(BU24&gt;0,SUM(BU$7:BU24)-SUM(BT$7:BT24),0)</f>
        <v>-8891</v>
      </c>
      <c r="BW24" s="45">
        <f t="shared" si="21"/>
        <v>0.83990476190476193</v>
      </c>
      <c r="BY24" s="47">
        <f t="shared" si="22"/>
        <v>40834</v>
      </c>
      <c r="BZ24" s="54" t="s">
        <v>27</v>
      </c>
      <c r="CA24" s="75">
        <v>5000</v>
      </c>
      <c r="CB24" s="75">
        <v>4252</v>
      </c>
      <c r="CC24" s="75">
        <f>IF(CB24&gt;0,SUM(CB$7:CB24)-SUM(CA$7:CA24),0)</f>
        <v>293</v>
      </c>
      <c r="CD24" s="45">
        <f t="shared" si="23"/>
        <v>0.85040000000000004</v>
      </c>
    </row>
    <row r="25" spans="1:82" x14ac:dyDescent="0.25">
      <c r="A25" s="47">
        <f t="shared" si="6"/>
        <v>40835</v>
      </c>
      <c r="B25" s="54" t="s">
        <v>28</v>
      </c>
      <c r="C25" s="75">
        <v>15000</v>
      </c>
      <c r="D25" s="75">
        <v>16310</v>
      </c>
      <c r="E25" s="75">
        <f>IF(D25&gt;0,SUM(D$7:D25)-SUM(C$7:C25),0)</f>
        <v>-21776</v>
      </c>
      <c r="F25" s="45">
        <f t="shared" si="7"/>
        <v>1.0873333333333333</v>
      </c>
      <c r="G25" s="7"/>
      <c r="H25" s="75"/>
      <c r="I25" s="75">
        <f>IF(H25&gt;0,SUM(H$7:H25)-SUM(G$7:G25),0)</f>
        <v>0</v>
      </c>
      <c r="J25" s="45">
        <f t="shared" si="26"/>
        <v>0</v>
      </c>
      <c r="K25" s="75">
        <v>15000</v>
      </c>
      <c r="L25" s="75">
        <v>16393</v>
      </c>
      <c r="M25" s="75">
        <f>IF(L25&gt;0,SUM(L$7:L25)-SUM(K$7:K25),0)</f>
        <v>-40030</v>
      </c>
      <c r="N25" s="45">
        <f t="shared" si="28"/>
        <v>1.0928666666666667</v>
      </c>
      <c r="O25" s="35">
        <f t="shared" si="27"/>
        <v>30000</v>
      </c>
      <c r="P25" s="35">
        <f t="shared" si="2"/>
        <v>32703</v>
      </c>
      <c r="Q25" s="35">
        <f>IF(P25&gt;0,SUM(P$7:P25)-SUM(O$7:O25),0)</f>
        <v>-61806</v>
      </c>
      <c r="R25" s="45">
        <f t="shared" si="8"/>
        <v>1.0901000000000001</v>
      </c>
      <c r="T25" s="47">
        <f t="shared" si="9"/>
        <v>40835</v>
      </c>
      <c r="U25" s="54" t="s">
        <v>28</v>
      </c>
      <c r="V25" s="75">
        <v>14000</v>
      </c>
      <c r="W25" s="75">
        <v>6037</v>
      </c>
      <c r="X25" s="76">
        <f>IF(W25&gt;0,SUM(W$7:W25)-SUM(V$7:V25),0)</f>
        <v>-1861</v>
      </c>
      <c r="Y25" s="60">
        <f t="shared" si="10"/>
        <v>0.43121428571428572</v>
      </c>
      <c r="Z25" s="75">
        <v>14000</v>
      </c>
      <c r="AA25" s="75">
        <v>8631</v>
      </c>
      <c r="AB25" s="76">
        <f>IF(AA25&gt;0,SUM(AA$7:AA25)-SUM(Z$7:Z25),0)</f>
        <v>-26370</v>
      </c>
      <c r="AC25" s="60">
        <f t="shared" si="11"/>
        <v>0.61650000000000005</v>
      </c>
      <c r="AD25" s="75">
        <v>14000</v>
      </c>
      <c r="AE25" s="75">
        <v>8554</v>
      </c>
      <c r="AF25" s="76">
        <f>IF(AE25&gt;0,SUM(AE$7:AE25)-SUM(AD$7:AD25),0)</f>
        <v>-1723</v>
      </c>
      <c r="AG25" s="60">
        <f t="shared" si="12"/>
        <v>0.61099999999999999</v>
      </c>
      <c r="AH25" s="41">
        <f t="shared" si="3"/>
        <v>42000</v>
      </c>
      <c r="AI25" s="41">
        <f t="shared" si="3"/>
        <v>23222</v>
      </c>
      <c r="AJ25" s="41">
        <f>IF(AI25&gt;0,SUM(AI$7:AI25)-SUM(AH$7:AH25),0)</f>
        <v>-29954</v>
      </c>
      <c r="AK25" s="60">
        <f t="shared" si="13"/>
        <v>0.5529047619047619</v>
      </c>
      <c r="AM25" s="47">
        <f t="shared" si="14"/>
        <v>40835</v>
      </c>
      <c r="AN25" s="54" t="s">
        <v>28</v>
      </c>
      <c r="AO25" s="75">
        <v>7000</v>
      </c>
      <c r="AP25" s="75">
        <v>4978</v>
      </c>
      <c r="AQ25" s="75">
        <f>IF(AP25&gt;0,SUM(AP$7:AP25)-SUM(AO$7:AO25),0)</f>
        <v>28921</v>
      </c>
      <c r="AR25" s="45">
        <f t="shared" si="15"/>
        <v>0.71114285714285719</v>
      </c>
      <c r="AS25" s="75">
        <v>7000</v>
      </c>
      <c r="AT25" s="75">
        <v>6569</v>
      </c>
      <c r="AU25" s="75">
        <f>IF(AT25&gt;0,SUM(AT$7:AT25)-SUM(AS$7:AS25),0)</f>
        <v>42297</v>
      </c>
      <c r="AV25" s="45">
        <f t="shared" si="16"/>
        <v>0.93842857142857139</v>
      </c>
      <c r="AW25" s="75">
        <v>7000</v>
      </c>
      <c r="AX25" s="75">
        <v>6469</v>
      </c>
      <c r="AY25" s="75">
        <f>IF(AX25&gt;0,SUM(AX$7:AX25)-SUM(AW$7:AW25),0)</f>
        <v>44294</v>
      </c>
      <c r="AZ25" s="45">
        <f t="shared" si="24"/>
        <v>0.92414285714285715</v>
      </c>
      <c r="BA25" s="35">
        <f t="shared" si="4"/>
        <v>21000</v>
      </c>
      <c r="BB25" s="35">
        <f t="shared" si="4"/>
        <v>18016</v>
      </c>
      <c r="BC25" s="35">
        <f>IF(BB25&gt;0,SUM(BB$7:BB25)-SUM(BA$7:BA25),0)</f>
        <v>115512</v>
      </c>
      <c r="BD25" s="45">
        <f t="shared" si="17"/>
        <v>0.85790476190476195</v>
      </c>
      <c r="BF25" s="47">
        <f t="shared" si="18"/>
        <v>40835</v>
      </c>
      <c r="BG25" s="54" t="s">
        <v>28</v>
      </c>
      <c r="BH25" s="75">
        <v>22000</v>
      </c>
      <c r="BI25" s="75">
        <v>12519</v>
      </c>
      <c r="BJ25" s="75">
        <f>IF(BI25&gt;0,SUM(BI$7:BI25)-SUM(BH$7:BH25),0)</f>
        <v>-22797</v>
      </c>
      <c r="BK25" s="45">
        <f t="shared" si="19"/>
        <v>0.56904545454545452</v>
      </c>
      <c r="BL25" s="75">
        <v>8000</v>
      </c>
      <c r="BM25" s="75">
        <v>5498</v>
      </c>
      <c r="BN25" s="75">
        <f>IF(BM25&gt;0,SUM(BM$7:BM25)-SUM(BL$7:BL25),0)</f>
        <v>6679</v>
      </c>
      <c r="BO25" s="45">
        <f t="shared" si="20"/>
        <v>0.68725000000000003</v>
      </c>
      <c r="BP25" s="75">
        <v>12000</v>
      </c>
      <c r="BQ25" s="75">
        <v>10202</v>
      </c>
      <c r="BR25" s="75">
        <f>IF(BQ25&gt;0,SUM(BQ$7:BQ25)-SUM(BP$7:BP25),0)</f>
        <v>-6554</v>
      </c>
      <c r="BS25" s="45">
        <f t="shared" si="25"/>
        <v>0.85016666666666663</v>
      </c>
      <c r="BT25" s="35">
        <f t="shared" si="5"/>
        <v>42000</v>
      </c>
      <c r="BU25" s="35">
        <f t="shared" si="5"/>
        <v>28219</v>
      </c>
      <c r="BV25" s="35">
        <f>IF(BU25&gt;0,SUM(BU$7:BU25)-SUM(BT$7:BT25),0)</f>
        <v>-22672</v>
      </c>
      <c r="BW25" s="45">
        <f t="shared" si="21"/>
        <v>0.67188095238095236</v>
      </c>
      <c r="BY25" s="47">
        <f t="shared" si="22"/>
        <v>40835</v>
      </c>
      <c r="BZ25" s="54" t="s">
        <v>28</v>
      </c>
      <c r="CA25" s="75">
        <v>5000</v>
      </c>
      <c r="CB25" s="75">
        <v>846</v>
      </c>
      <c r="CC25" s="75">
        <f>IF(CB25&gt;0,SUM(CB$7:CB25)-SUM(CA$7:CA25),0)</f>
        <v>-3861</v>
      </c>
      <c r="CD25" s="45">
        <f t="shared" si="23"/>
        <v>0.16919999999999999</v>
      </c>
    </row>
    <row r="26" spans="1:82" x14ac:dyDescent="0.25">
      <c r="A26" s="47">
        <f t="shared" si="6"/>
        <v>40836</v>
      </c>
      <c r="B26" s="54" t="s">
        <v>22</v>
      </c>
      <c r="C26" s="75">
        <v>15000</v>
      </c>
      <c r="D26" s="75">
        <v>17861</v>
      </c>
      <c r="E26" s="75">
        <f>IF(D26&gt;0,SUM(D$7:D26)-SUM(C$7:C26),0)</f>
        <v>-18915</v>
      </c>
      <c r="F26" s="45">
        <f t="shared" si="7"/>
        <v>1.1907333333333334</v>
      </c>
      <c r="G26" s="7"/>
      <c r="H26" s="75"/>
      <c r="I26" s="75">
        <f>IF(H26&gt;0,SUM(H$7:H26)-SUM(G$7:G26),0)</f>
        <v>0</v>
      </c>
      <c r="J26" s="45">
        <f t="shared" si="26"/>
        <v>0</v>
      </c>
      <c r="K26" s="75">
        <v>15000</v>
      </c>
      <c r="L26" s="75">
        <v>23217</v>
      </c>
      <c r="M26" s="75">
        <f>IF(L26&gt;0,SUM(L$7:L26)-SUM(K$7:K26),0)</f>
        <v>-31813</v>
      </c>
      <c r="N26" s="45">
        <f t="shared" si="28"/>
        <v>1.5478000000000001</v>
      </c>
      <c r="O26" s="35">
        <f t="shared" si="27"/>
        <v>30000</v>
      </c>
      <c r="P26" s="35">
        <f t="shared" si="2"/>
        <v>41078</v>
      </c>
      <c r="Q26" s="35">
        <f>IF(P26&gt;0,SUM(P$7:P26)-SUM(O$7:O26),0)</f>
        <v>-50728</v>
      </c>
      <c r="R26" s="45">
        <f t="shared" si="8"/>
        <v>1.3692666666666666</v>
      </c>
      <c r="T26" s="47">
        <f t="shared" si="9"/>
        <v>40836</v>
      </c>
      <c r="U26" s="54" t="s">
        <v>22</v>
      </c>
      <c r="V26" s="75">
        <v>14000</v>
      </c>
      <c r="W26" s="75">
        <v>7830</v>
      </c>
      <c r="X26" s="76">
        <f>IF(W26&gt;0,SUM(W$7:W26)-SUM(V$7:V26),0)</f>
        <v>-8031</v>
      </c>
      <c r="Y26" s="60">
        <f t="shared" si="10"/>
        <v>0.55928571428571427</v>
      </c>
      <c r="Z26" s="75">
        <v>14000</v>
      </c>
      <c r="AA26" s="75">
        <v>9190</v>
      </c>
      <c r="AB26" s="76">
        <f>IF(AA26&gt;0,SUM(AA$7:AA26)-SUM(Z$7:Z26),0)</f>
        <v>-31180</v>
      </c>
      <c r="AC26" s="60">
        <f t="shared" si="11"/>
        <v>0.65642857142857147</v>
      </c>
      <c r="AD26" s="75">
        <v>14000</v>
      </c>
      <c r="AE26" s="75">
        <v>10318</v>
      </c>
      <c r="AF26" s="76">
        <f>IF(AE26&gt;0,SUM(AE$7:AE26)-SUM(AD$7:AD26),0)</f>
        <v>-5405</v>
      </c>
      <c r="AG26" s="60">
        <f t="shared" si="12"/>
        <v>0.73699999999999999</v>
      </c>
      <c r="AH26" s="41">
        <f t="shared" si="3"/>
        <v>42000</v>
      </c>
      <c r="AI26" s="41">
        <f t="shared" si="3"/>
        <v>27338</v>
      </c>
      <c r="AJ26" s="41">
        <f>IF(AI26&gt;0,SUM(AI$7:AI26)-SUM(AH$7:AH26),0)</f>
        <v>-44616</v>
      </c>
      <c r="AK26" s="60">
        <f t="shared" si="13"/>
        <v>0.65090476190476187</v>
      </c>
      <c r="AM26" s="47">
        <f t="shared" si="14"/>
        <v>40836</v>
      </c>
      <c r="AN26" s="54" t="s">
        <v>22</v>
      </c>
      <c r="AO26" s="75">
        <v>7000</v>
      </c>
      <c r="AP26" s="75">
        <v>4343</v>
      </c>
      <c r="AQ26" s="75">
        <f>IF(AP26&gt;0,SUM(AP$7:AP26)-SUM(AO$7:AO26),0)</f>
        <v>26264</v>
      </c>
      <c r="AR26" s="45">
        <f t="shared" si="15"/>
        <v>0.62042857142857144</v>
      </c>
      <c r="AS26" s="75">
        <v>7000</v>
      </c>
      <c r="AT26" s="75">
        <v>4262</v>
      </c>
      <c r="AU26" s="75">
        <f>IF(AT26&gt;0,SUM(AT$7:AT26)-SUM(AS$7:AS26),0)</f>
        <v>39559</v>
      </c>
      <c r="AV26" s="45">
        <f t="shared" si="16"/>
        <v>0.60885714285714287</v>
      </c>
      <c r="AW26" s="75">
        <v>7000</v>
      </c>
      <c r="AX26" s="75">
        <v>7671</v>
      </c>
      <c r="AY26" s="75">
        <f>IF(AX26&gt;0,SUM(AX$7:AX26)-SUM(AW$7:AW26),0)</f>
        <v>44965</v>
      </c>
      <c r="AZ26" s="45">
        <f t="shared" si="24"/>
        <v>1.0958571428571429</v>
      </c>
      <c r="BA26" s="35">
        <f t="shared" si="4"/>
        <v>21000</v>
      </c>
      <c r="BB26" s="35">
        <f t="shared" si="4"/>
        <v>16276</v>
      </c>
      <c r="BC26" s="35">
        <f>IF(BB26&gt;0,SUM(BB$7:BB26)-SUM(BA$7:BA26),0)</f>
        <v>110788</v>
      </c>
      <c r="BD26" s="45">
        <f t="shared" si="17"/>
        <v>0.7750476190476191</v>
      </c>
      <c r="BF26" s="47">
        <f t="shared" si="18"/>
        <v>40836</v>
      </c>
      <c r="BG26" s="54" t="s">
        <v>22</v>
      </c>
      <c r="BH26" s="75">
        <v>22000</v>
      </c>
      <c r="BI26" s="75">
        <v>9225</v>
      </c>
      <c r="BJ26" s="75">
        <f>IF(BI26&gt;0,SUM(BI$7:BI26)-SUM(BH$7:BH26),0)</f>
        <v>-35572</v>
      </c>
      <c r="BK26" s="45">
        <f t="shared" si="19"/>
        <v>0.41931818181818181</v>
      </c>
      <c r="BL26" s="75">
        <v>8000</v>
      </c>
      <c r="BM26" s="75">
        <v>7049</v>
      </c>
      <c r="BN26" s="75">
        <f>IF(BM26&gt;0,SUM(BM$7:BM26)-SUM(BL$7:BL26),0)</f>
        <v>5728</v>
      </c>
      <c r="BO26" s="45">
        <f t="shared" si="20"/>
        <v>0.88112500000000005</v>
      </c>
      <c r="BP26" s="75">
        <v>12000</v>
      </c>
      <c r="BQ26" s="75">
        <v>8141</v>
      </c>
      <c r="BR26" s="75">
        <f>IF(BQ26&gt;0,SUM(BQ$7:BQ26)-SUM(BP$7:BP26),0)</f>
        <v>-10413</v>
      </c>
      <c r="BS26" s="45">
        <f t="shared" si="25"/>
        <v>0.67841666666666667</v>
      </c>
      <c r="BT26" s="35">
        <f t="shared" si="5"/>
        <v>42000</v>
      </c>
      <c r="BU26" s="35">
        <f t="shared" si="5"/>
        <v>24415</v>
      </c>
      <c r="BV26" s="35">
        <f>IF(BU26&gt;0,SUM(BU$7:BU26)-SUM(BT$7:BT26),0)</f>
        <v>-40257</v>
      </c>
      <c r="BW26" s="45">
        <f t="shared" si="21"/>
        <v>0.58130952380952383</v>
      </c>
      <c r="BY26" s="47">
        <f t="shared" si="22"/>
        <v>40836</v>
      </c>
      <c r="BZ26" s="54" t="s">
        <v>22</v>
      </c>
      <c r="CA26" s="75">
        <v>5000</v>
      </c>
      <c r="CB26" s="75">
        <v>4192</v>
      </c>
      <c r="CC26" s="75">
        <f>IF(CB26&gt;0,SUM(CB$7:CB26)-SUM(CA$7:CA26),0)</f>
        <v>-4669</v>
      </c>
      <c r="CD26" s="45">
        <f t="shared" si="23"/>
        <v>0.83840000000000003</v>
      </c>
    </row>
    <row r="27" spans="1:82" x14ac:dyDescent="0.25">
      <c r="A27" s="47">
        <f t="shared" si="6"/>
        <v>40837</v>
      </c>
      <c r="B27" s="54" t="s">
        <v>23</v>
      </c>
      <c r="C27" s="75">
        <v>15000</v>
      </c>
      <c r="D27" s="75">
        <v>21828</v>
      </c>
      <c r="E27" s="75">
        <f>IF(D27&gt;0,SUM(D$7:D27)-SUM(C$7:C27),0)</f>
        <v>-12087</v>
      </c>
      <c r="F27" s="45">
        <f t="shared" si="7"/>
        <v>1.4552</v>
      </c>
      <c r="G27" s="7"/>
      <c r="H27" s="75"/>
      <c r="I27" s="75">
        <f>IF(H27&gt;0,SUM(H$7:H27)-SUM(G$7:G27),0)</f>
        <v>0</v>
      </c>
      <c r="J27" s="45">
        <f t="shared" si="26"/>
        <v>0</v>
      </c>
      <c r="K27" s="75">
        <v>15000</v>
      </c>
      <c r="L27" s="75">
        <v>13615</v>
      </c>
      <c r="M27" s="75">
        <f>IF(L27&gt;0,SUM(L$7:L27)-SUM(K$7:K27),0)</f>
        <v>-33198</v>
      </c>
      <c r="N27" s="45">
        <f t="shared" si="28"/>
        <v>0.90766666666666662</v>
      </c>
      <c r="O27" s="35">
        <f t="shared" si="27"/>
        <v>30000</v>
      </c>
      <c r="P27" s="35">
        <f t="shared" si="2"/>
        <v>35443</v>
      </c>
      <c r="Q27" s="35">
        <f>IF(P27&gt;0,SUM(P$7:P27)-SUM(O$7:O27),0)</f>
        <v>-45285</v>
      </c>
      <c r="R27" s="45">
        <f t="shared" si="8"/>
        <v>1.1814333333333333</v>
      </c>
      <c r="T27" s="47">
        <f t="shared" si="9"/>
        <v>40837</v>
      </c>
      <c r="U27" s="54" t="s">
        <v>23</v>
      </c>
      <c r="V27" s="75">
        <v>14000</v>
      </c>
      <c r="W27" s="75">
        <v>7728</v>
      </c>
      <c r="X27" s="76">
        <f>IF(W27&gt;0,SUM(W$7:W27)-SUM(V$7:V27),0)</f>
        <v>-14303</v>
      </c>
      <c r="Y27" s="60">
        <f t="shared" si="10"/>
        <v>0.55200000000000005</v>
      </c>
      <c r="Z27" s="75">
        <v>14000</v>
      </c>
      <c r="AA27" s="75">
        <v>13583</v>
      </c>
      <c r="AB27" s="76">
        <f>IF(AA27&gt;0,SUM(AA$7:AA27)-SUM(Z$7:Z27),0)</f>
        <v>-31597</v>
      </c>
      <c r="AC27" s="60">
        <f t="shared" si="11"/>
        <v>0.9702142857142857</v>
      </c>
      <c r="AD27" s="75">
        <v>14000</v>
      </c>
      <c r="AE27" s="75">
        <v>15303</v>
      </c>
      <c r="AF27" s="76">
        <f>IF(AE27&gt;0,SUM(AE$7:AE27)-SUM(AD$7:AD27),0)</f>
        <v>-4102</v>
      </c>
      <c r="AG27" s="60">
        <f t="shared" si="12"/>
        <v>1.0930714285714285</v>
      </c>
      <c r="AH27" s="41">
        <f t="shared" si="3"/>
        <v>42000</v>
      </c>
      <c r="AI27" s="41">
        <f t="shared" si="3"/>
        <v>36614</v>
      </c>
      <c r="AJ27" s="41">
        <f>IF(AI27&gt;0,SUM(AI$7:AI27)-SUM(AH$7:AH27),0)</f>
        <v>-50002</v>
      </c>
      <c r="AK27" s="60">
        <f t="shared" si="13"/>
        <v>0.87176190476190474</v>
      </c>
      <c r="AM27" s="47">
        <f t="shared" si="14"/>
        <v>40837</v>
      </c>
      <c r="AN27" s="54" t="s">
        <v>23</v>
      </c>
      <c r="AO27" s="75">
        <v>7000</v>
      </c>
      <c r="AP27" s="75">
        <v>4458</v>
      </c>
      <c r="AQ27" s="75">
        <f>IF(AP27&gt;0,SUM(AP$7:AP27)-SUM(AO$7:AO27),0)</f>
        <v>23722</v>
      </c>
      <c r="AR27" s="45">
        <f t="shared" si="15"/>
        <v>0.6368571428571429</v>
      </c>
      <c r="AS27" s="75">
        <v>7000</v>
      </c>
      <c r="AT27" s="75">
        <v>5611</v>
      </c>
      <c r="AU27" s="75">
        <f>IF(AT27&gt;0,SUM(AT$7:AT27)-SUM(AS$7:AS27),0)</f>
        <v>38170</v>
      </c>
      <c r="AV27" s="45">
        <f t="shared" si="16"/>
        <v>0.8015714285714286</v>
      </c>
      <c r="AW27" s="75">
        <v>7000</v>
      </c>
      <c r="AX27" s="75">
        <v>10380</v>
      </c>
      <c r="AY27" s="75">
        <f>IF(AX27&gt;0,SUM(AX$7:AX27)-SUM(AW$7:AW27),0)</f>
        <v>48345</v>
      </c>
      <c r="AZ27" s="45">
        <f t="shared" si="24"/>
        <v>1.4828571428571429</v>
      </c>
      <c r="BA27" s="35">
        <f t="shared" si="4"/>
        <v>21000</v>
      </c>
      <c r="BB27" s="35">
        <f t="shared" si="4"/>
        <v>20449</v>
      </c>
      <c r="BC27" s="35">
        <f>IF(BB27&gt;0,SUM(BB$7:BB27)-SUM(BA$7:BA27),0)</f>
        <v>110237</v>
      </c>
      <c r="BD27" s="45">
        <f t="shared" si="17"/>
        <v>0.97376190476190472</v>
      </c>
      <c r="BF27" s="47">
        <f t="shared" si="18"/>
        <v>40837</v>
      </c>
      <c r="BG27" s="54" t="s">
        <v>23</v>
      </c>
      <c r="BH27" s="75">
        <v>22000</v>
      </c>
      <c r="BI27" s="75">
        <v>13507</v>
      </c>
      <c r="BJ27" s="75">
        <f>IF(BI27&gt;0,SUM(BI$7:BI27)-SUM(BH$7:BH27),0)</f>
        <v>-44065</v>
      </c>
      <c r="BK27" s="45">
        <f t="shared" si="19"/>
        <v>0.61395454545454542</v>
      </c>
      <c r="BL27" s="75">
        <v>8000</v>
      </c>
      <c r="BM27" s="75">
        <v>6953</v>
      </c>
      <c r="BN27" s="75">
        <f>IF(BM27&gt;0,SUM(BM$7:BM27)-SUM(BL$7:BL27),0)</f>
        <v>4681</v>
      </c>
      <c r="BO27" s="45">
        <f t="shared" si="20"/>
        <v>0.86912500000000004</v>
      </c>
      <c r="BP27" s="75">
        <v>12000</v>
      </c>
      <c r="BQ27" s="75">
        <v>9996</v>
      </c>
      <c r="BR27" s="75">
        <f>IF(BQ27&gt;0,SUM(BQ$7:BQ27)-SUM(BP$7:BP27),0)</f>
        <v>-12417</v>
      </c>
      <c r="BS27" s="45">
        <f t="shared" si="25"/>
        <v>0.83299999999999996</v>
      </c>
      <c r="BT27" s="35">
        <f t="shared" si="5"/>
        <v>42000</v>
      </c>
      <c r="BU27" s="35">
        <f t="shared" si="5"/>
        <v>30456</v>
      </c>
      <c r="BV27" s="35">
        <f>IF(BU27&gt;0,SUM(BU$7:BU27)-SUM(BT$7:BT27),0)</f>
        <v>-51801</v>
      </c>
      <c r="BW27" s="45">
        <f t="shared" si="21"/>
        <v>0.72514285714285709</v>
      </c>
      <c r="BY27" s="47">
        <f t="shared" si="22"/>
        <v>40837</v>
      </c>
      <c r="BZ27" s="54" t="s">
        <v>23</v>
      </c>
      <c r="CA27" s="75">
        <v>5000</v>
      </c>
      <c r="CB27" s="75">
        <v>1</v>
      </c>
      <c r="CC27" s="75">
        <f>IF(CB27&gt;0,SUM(CB$7:CB27)-SUM(CA$7:CA27),0)</f>
        <v>-9668</v>
      </c>
      <c r="CD27" s="45">
        <f t="shared" si="23"/>
        <v>2.0000000000000001E-4</v>
      </c>
    </row>
    <row r="28" spans="1:82" x14ac:dyDescent="0.25">
      <c r="A28" s="47">
        <f t="shared" si="6"/>
        <v>40838</v>
      </c>
      <c r="B28" s="54" t="s">
        <v>24</v>
      </c>
      <c r="C28" s="75">
        <v>15000</v>
      </c>
      <c r="D28" s="75">
        <v>23583</v>
      </c>
      <c r="E28" s="75">
        <f>IF(D28&gt;0,SUM(D$7:D28)-SUM(C$7:C28),0)</f>
        <v>-3504</v>
      </c>
      <c r="F28" s="45">
        <f t="shared" si="7"/>
        <v>1.5722</v>
      </c>
      <c r="G28" s="7"/>
      <c r="H28" s="75"/>
      <c r="I28" s="75">
        <f>IF(H28&gt;0,SUM(H$7:H28)-SUM(G$7:G28),0)</f>
        <v>0</v>
      </c>
      <c r="J28" s="45">
        <f t="shared" si="26"/>
        <v>0</v>
      </c>
      <c r="K28" s="75">
        <v>15000</v>
      </c>
      <c r="L28" s="75">
        <v>23776</v>
      </c>
      <c r="M28" s="75">
        <f>IF(L28&gt;0,SUM(L$7:L28)-SUM(K$7:K28),0)</f>
        <v>-24422</v>
      </c>
      <c r="N28" s="45">
        <f t="shared" si="28"/>
        <v>1.5850666666666666</v>
      </c>
      <c r="O28" s="35">
        <f t="shared" si="27"/>
        <v>30000</v>
      </c>
      <c r="P28" s="35">
        <f t="shared" si="2"/>
        <v>47359</v>
      </c>
      <c r="Q28" s="35">
        <f>IF(P28&gt;0,SUM(P$7:P28)-SUM(O$7:O28),0)</f>
        <v>-27926</v>
      </c>
      <c r="R28" s="45">
        <f t="shared" si="8"/>
        <v>1.5786333333333333</v>
      </c>
      <c r="T28" s="47">
        <f t="shared" si="9"/>
        <v>40838</v>
      </c>
      <c r="U28" s="54" t="s">
        <v>24</v>
      </c>
      <c r="V28" s="75">
        <v>14000</v>
      </c>
      <c r="W28" s="75">
        <v>10415</v>
      </c>
      <c r="X28" s="76">
        <f>IF(W28&gt;0,SUM(W$7:W28)-SUM(V$7:V28),0)</f>
        <v>-17888</v>
      </c>
      <c r="Y28" s="60">
        <f t="shared" si="10"/>
        <v>0.74392857142857138</v>
      </c>
      <c r="Z28" s="75">
        <v>14000</v>
      </c>
      <c r="AA28" s="75">
        <v>8066</v>
      </c>
      <c r="AB28" s="76">
        <f>IF(AA28&gt;0,SUM(AA$7:AA28)-SUM(Z$7:Z28),0)</f>
        <v>-37531</v>
      </c>
      <c r="AC28" s="60">
        <f t="shared" si="11"/>
        <v>0.57614285714285718</v>
      </c>
      <c r="AD28" s="75">
        <v>14000</v>
      </c>
      <c r="AE28" s="75">
        <v>13155</v>
      </c>
      <c r="AF28" s="76">
        <f>IF(AE28&gt;0,SUM(AE$7:AE28)-SUM(AD$7:AD28),0)</f>
        <v>-4947</v>
      </c>
      <c r="AG28" s="60">
        <f t="shared" si="12"/>
        <v>0.93964285714285711</v>
      </c>
      <c r="AH28" s="41">
        <f t="shared" si="3"/>
        <v>42000</v>
      </c>
      <c r="AI28" s="41">
        <f t="shared" si="3"/>
        <v>31636</v>
      </c>
      <c r="AJ28" s="41">
        <f>IF(AI28&gt;0,SUM(AI$7:AI28)-SUM(AH$7:AH28),0)</f>
        <v>-60366</v>
      </c>
      <c r="AK28" s="60">
        <f t="shared" si="13"/>
        <v>0.75323809523809526</v>
      </c>
      <c r="AM28" s="47">
        <f t="shared" si="14"/>
        <v>40838</v>
      </c>
      <c r="AN28" s="54" t="s">
        <v>24</v>
      </c>
      <c r="AO28" s="75">
        <v>7000</v>
      </c>
      <c r="AP28" s="75">
        <v>13756</v>
      </c>
      <c r="AQ28" s="75">
        <f>IF(AP28&gt;0,SUM(AP$7:AP28)-SUM(AO$7:AO28),0)</f>
        <v>30478</v>
      </c>
      <c r="AR28" s="45">
        <f t="shared" si="15"/>
        <v>1.9651428571428571</v>
      </c>
      <c r="AS28" s="75">
        <v>7000</v>
      </c>
      <c r="AT28" s="75">
        <v>8898</v>
      </c>
      <c r="AU28" s="75">
        <f>IF(AT28&gt;0,SUM(AT$7:AT28)-SUM(AS$7:AS28),0)</f>
        <v>40068</v>
      </c>
      <c r="AV28" s="45">
        <f t="shared" si="16"/>
        <v>1.2711428571428571</v>
      </c>
      <c r="AW28" s="75">
        <v>7000</v>
      </c>
      <c r="AX28" s="75">
        <v>8662</v>
      </c>
      <c r="AY28" s="75">
        <f>IF(AX28&gt;0,SUM(AX$7:AX28)-SUM(AW$7:AW28),0)</f>
        <v>50007</v>
      </c>
      <c r="AZ28" s="45">
        <f t="shared" si="24"/>
        <v>1.2374285714285713</v>
      </c>
      <c r="BA28" s="35">
        <f t="shared" si="4"/>
        <v>21000</v>
      </c>
      <c r="BB28" s="35">
        <f t="shared" si="4"/>
        <v>31316</v>
      </c>
      <c r="BC28" s="35">
        <f>IF(BB28&gt;0,SUM(BB$7:BB28)-SUM(BA$7:BA28),0)</f>
        <v>120553</v>
      </c>
      <c r="BD28" s="45">
        <f t="shared" si="17"/>
        <v>1.4912380952380953</v>
      </c>
      <c r="BF28" s="47">
        <f t="shared" si="18"/>
        <v>40838</v>
      </c>
      <c r="BG28" s="54" t="s">
        <v>24</v>
      </c>
      <c r="BH28" s="75">
        <v>22000</v>
      </c>
      <c r="BI28" s="75">
        <v>22602</v>
      </c>
      <c r="BJ28" s="75">
        <f>IF(BI28&gt;0,SUM(BI$7:BI28)-SUM(BH$7:BH28),0)</f>
        <v>-43463</v>
      </c>
      <c r="BK28" s="45">
        <f t="shared" si="19"/>
        <v>1.0273636363636363</v>
      </c>
      <c r="BL28" s="75">
        <v>8000</v>
      </c>
      <c r="BM28" s="75">
        <v>7467</v>
      </c>
      <c r="BN28" s="75">
        <f>IF(BM28&gt;0,SUM(BM$7:BM28)-SUM(BL$7:BL28),0)</f>
        <v>4148</v>
      </c>
      <c r="BO28" s="45">
        <f t="shared" si="20"/>
        <v>0.93337499999999995</v>
      </c>
      <c r="BP28" s="75">
        <v>12000</v>
      </c>
      <c r="BQ28" s="75">
        <v>7491</v>
      </c>
      <c r="BR28" s="75">
        <f>IF(BQ28&gt;0,SUM(BQ$7:BQ28)-SUM(BP$7:BP28),0)</f>
        <v>-16926</v>
      </c>
      <c r="BS28" s="45">
        <f t="shared" si="25"/>
        <v>0.62424999999999997</v>
      </c>
      <c r="BT28" s="35">
        <f t="shared" si="5"/>
        <v>42000</v>
      </c>
      <c r="BU28" s="35">
        <f t="shared" si="5"/>
        <v>37560</v>
      </c>
      <c r="BV28" s="35">
        <f>IF(BU28&gt;0,SUM(BU$7:BU28)-SUM(BT$7:BT28),0)</f>
        <v>-56241</v>
      </c>
      <c r="BW28" s="45">
        <f t="shared" si="21"/>
        <v>0.89428571428571424</v>
      </c>
      <c r="BY28" s="47">
        <f t="shared" si="22"/>
        <v>40838</v>
      </c>
      <c r="BZ28" s="54" t="s">
        <v>24</v>
      </c>
      <c r="CA28" s="75">
        <v>5000</v>
      </c>
      <c r="CB28" s="75">
        <v>1318</v>
      </c>
      <c r="CC28" s="75">
        <f>IF(CB28&gt;0,SUM(CB$7:CB28)-SUM(CA$7:CA28),0)</f>
        <v>-13350</v>
      </c>
      <c r="CD28" s="45">
        <f t="shared" si="23"/>
        <v>0.2636</v>
      </c>
    </row>
    <row r="29" spans="1:82" x14ac:dyDescent="0.25">
      <c r="A29" s="47">
        <f t="shared" si="6"/>
        <v>40839</v>
      </c>
      <c r="B29" s="54" t="s">
        <v>25</v>
      </c>
      <c r="C29" s="75"/>
      <c r="D29" s="75"/>
      <c r="E29" s="75">
        <f>IF(D29&gt;0,SUM(D$7:D29)-SUM(C$7:C29),0)</f>
        <v>0</v>
      </c>
      <c r="F29" s="45">
        <f t="shared" si="7"/>
        <v>0</v>
      </c>
      <c r="G29" s="7"/>
      <c r="H29" s="75"/>
      <c r="I29" s="75">
        <f>IF(H29&gt;0,SUM(H$7:H29)-SUM(G$7:G29),0)</f>
        <v>0</v>
      </c>
      <c r="J29" s="45">
        <f t="shared" si="26"/>
        <v>0</v>
      </c>
      <c r="K29" s="75"/>
      <c r="L29" s="75"/>
      <c r="M29" s="75">
        <f>IF(L29&gt;0,SUM(L$7:L29)-SUM(K$7:K29),0)</f>
        <v>0</v>
      </c>
      <c r="N29" s="45">
        <f t="shared" si="28"/>
        <v>0</v>
      </c>
      <c r="O29" s="35">
        <f t="shared" si="27"/>
        <v>0</v>
      </c>
      <c r="P29" s="35">
        <f t="shared" si="2"/>
        <v>0</v>
      </c>
      <c r="Q29" s="35">
        <f>IF(P29&gt;0,SUM(P$7:P29)-SUM(O$7:O29),0)</f>
        <v>0</v>
      </c>
      <c r="R29" s="45">
        <f t="shared" si="8"/>
        <v>0</v>
      </c>
      <c r="T29" s="47">
        <f t="shared" si="9"/>
        <v>40839</v>
      </c>
      <c r="U29" s="54" t="s">
        <v>25</v>
      </c>
      <c r="V29" s="75"/>
      <c r="W29" s="75">
        <v>4040</v>
      </c>
      <c r="X29" s="76">
        <f>IF(W29&gt;0,SUM(W$7:W29)-SUM(V$7:V29),0)</f>
        <v>-13848</v>
      </c>
      <c r="Y29" s="60">
        <f t="shared" si="10"/>
        <v>0</v>
      </c>
      <c r="Z29" s="75"/>
      <c r="AA29" s="75"/>
      <c r="AB29" s="76">
        <f>IF(AA29&gt;0,SUM(AA$7:AA29)-SUM(Z$7:Z29),0)</f>
        <v>0</v>
      </c>
      <c r="AC29" s="60">
        <f t="shared" si="11"/>
        <v>0</v>
      </c>
      <c r="AD29" s="75"/>
      <c r="AE29" s="75"/>
      <c r="AF29" s="76">
        <f>IF(AE29&gt;0,SUM(AE$7:AE29)-SUM(AD$7:AD29),0)</f>
        <v>0</v>
      </c>
      <c r="AG29" s="60">
        <f t="shared" si="12"/>
        <v>0</v>
      </c>
      <c r="AH29" s="41">
        <f t="shared" si="3"/>
        <v>0</v>
      </c>
      <c r="AI29" s="41">
        <f t="shared" si="3"/>
        <v>4040</v>
      </c>
      <c r="AJ29" s="41">
        <f>IF(AI29&gt;0,SUM(AI$7:AI29)-SUM(AH$7:AH29),0)</f>
        <v>-56326</v>
      </c>
      <c r="AK29" s="60">
        <f t="shared" si="13"/>
        <v>0</v>
      </c>
      <c r="AM29" s="47">
        <f t="shared" si="14"/>
        <v>40839</v>
      </c>
      <c r="AN29" s="54" t="s">
        <v>25</v>
      </c>
      <c r="AO29" s="75"/>
      <c r="AP29" s="75"/>
      <c r="AQ29" s="75">
        <f>IF(AP29&gt;0,SUM(AP$7:AP29)-SUM(AO$7:AO29),0)</f>
        <v>0</v>
      </c>
      <c r="AR29" s="45">
        <f t="shared" si="15"/>
        <v>0</v>
      </c>
      <c r="AS29" s="75"/>
      <c r="AT29" s="75"/>
      <c r="AU29" s="75">
        <f>IF(AT29&gt;0,SUM(AT$7:AT29)-SUM(AS$7:AS29),0)</f>
        <v>0</v>
      </c>
      <c r="AV29" s="45">
        <f t="shared" si="16"/>
        <v>0</v>
      </c>
      <c r="AW29" s="75"/>
      <c r="AX29" s="75"/>
      <c r="AY29" s="75">
        <f>IF(AX29&gt;0,SUM(AX$7:AX29)-SUM(AW$7:AW29),0)</f>
        <v>0</v>
      </c>
      <c r="AZ29" s="45">
        <f t="shared" si="24"/>
        <v>0</v>
      </c>
      <c r="BA29" s="35">
        <f t="shared" si="4"/>
        <v>0</v>
      </c>
      <c r="BB29" s="35">
        <f t="shared" si="4"/>
        <v>0</v>
      </c>
      <c r="BC29" s="35">
        <f>IF(BB29&gt;0,SUM(BB$7:BB29)-SUM(BA$7:BA29),0)</f>
        <v>0</v>
      </c>
      <c r="BD29" s="45">
        <f t="shared" si="17"/>
        <v>0</v>
      </c>
      <c r="BF29" s="47">
        <f t="shared" si="18"/>
        <v>40839</v>
      </c>
      <c r="BG29" s="54" t="s">
        <v>25</v>
      </c>
      <c r="BH29" s="75"/>
      <c r="BI29" s="75"/>
      <c r="BJ29" s="75">
        <f>IF(BI29&gt;0,SUM(BI$7:BI29)-SUM(BH$7:BH29),0)</f>
        <v>0</v>
      </c>
      <c r="BK29" s="45">
        <f t="shared" si="19"/>
        <v>0</v>
      </c>
      <c r="BL29" s="75"/>
      <c r="BM29" s="75"/>
      <c r="BN29" s="75">
        <f>IF(BM29&gt;0,SUM(BM$7:BM29)-SUM(BL$7:BL29),0)</f>
        <v>0</v>
      </c>
      <c r="BO29" s="45">
        <f t="shared" si="20"/>
        <v>0</v>
      </c>
      <c r="BP29" s="75"/>
      <c r="BQ29" s="75"/>
      <c r="BR29" s="75">
        <f>IF(BQ29&gt;0,SUM(BQ$7:BQ29)-SUM(BP$7:BP29),0)</f>
        <v>0</v>
      </c>
      <c r="BS29" s="45">
        <f t="shared" si="25"/>
        <v>0</v>
      </c>
      <c r="BT29" s="35">
        <f t="shared" si="5"/>
        <v>0</v>
      </c>
      <c r="BU29" s="35">
        <f t="shared" si="5"/>
        <v>0</v>
      </c>
      <c r="BV29" s="35">
        <f>IF(BU29&gt;0,SUM(BU$7:BU29)-SUM(BT$7:BT29),0)</f>
        <v>0</v>
      </c>
      <c r="BW29" s="45">
        <f t="shared" si="21"/>
        <v>0</v>
      </c>
      <c r="BY29" s="47">
        <f t="shared" si="22"/>
        <v>40839</v>
      </c>
      <c r="BZ29" s="54" t="s">
        <v>25</v>
      </c>
      <c r="CA29" s="75"/>
      <c r="CB29" s="75"/>
      <c r="CC29" s="75">
        <f>IF(CB29&gt;0,SUM(CB$7:CB29)-SUM(CA$7:CA29),0)</f>
        <v>0</v>
      </c>
      <c r="CD29" s="45">
        <f t="shared" si="23"/>
        <v>0</v>
      </c>
    </row>
    <row r="30" spans="1:82" x14ac:dyDescent="0.25">
      <c r="A30" s="47">
        <f t="shared" si="6"/>
        <v>40840</v>
      </c>
      <c r="B30" s="54" t="s">
        <v>26</v>
      </c>
      <c r="C30" s="75"/>
      <c r="D30" s="75"/>
      <c r="E30" s="75">
        <f>IF(D30&gt;0,SUM(D$7:D30)-SUM(C$7:C30),0)</f>
        <v>0</v>
      </c>
      <c r="F30" s="45">
        <f t="shared" si="7"/>
        <v>0</v>
      </c>
      <c r="G30" s="7"/>
      <c r="H30" s="75"/>
      <c r="I30" s="75">
        <f>IF(H30&gt;0,SUM(H$7:H30)-SUM(G$7:G30),0)</f>
        <v>0</v>
      </c>
      <c r="J30" s="45">
        <f t="shared" si="26"/>
        <v>0</v>
      </c>
      <c r="K30" s="75"/>
      <c r="L30" s="75"/>
      <c r="M30" s="75">
        <f>IF(L30&gt;0,SUM(L$7:L30)-SUM(K$7:K30),0)</f>
        <v>0</v>
      </c>
      <c r="N30" s="45">
        <f t="shared" si="28"/>
        <v>0</v>
      </c>
      <c r="O30" s="35">
        <f t="shared" si="27"/>
        <v>0</v>
      </c>
      <c r="P30" s="35">
        <f t="shared" si="2"/>
        <v>0</v>
      </c>
      <c r="Q30" s="35">
        <f>IF(P30&gt;0,SUM(P$7:P30)-SUM(O$7:O30),0)</f>
        <v>0</v>
      </c>
      <c r="R30" s="45">
        <f t="shared" si="8"/>
        <v>0</v>
      </c>
      <c r="T30" s="47">
        <f t="shared" si="9"/>
        <v>40840</v>
      </c>
      <c r="U30" s="54" t="s">
        <v>26</v>
      </c>
      <c r="V30" s="75"/>
      <c r="W30" s="75"/>
      <c r="X30" s="76">
        <f>IF(W30&gt;0,SUM(W$7:W30)-SUM(V$7:V30),0)</f>
        <v>0</v>
      </c>
      <c r="Y30" s="60">
        <f t="shared" si="10"/>
        <v>0</v>
      </c>
      <c r="Z30" s="75"/>
      <c r="AA30" s="75"/>
      <c r="AB30" s="76">
        <f>IF(AA30&gt;0,SUM(AA$7:AA30)-SUM(Z$7:Z30),0)</f>
        <v>0</v>
      </c>
      <c r="AC30" s="60">
        <f t="shared" si="11"/>
        <v>0</v>
      </c>
      <c r="AD30" s="75"/>
      <c r="AE30" s="75"/>
      <c r="AF30" s="76">
        <f>IF(AE30&gt;0,SUM(AE$7:AE30)-SUM(AD$7:AD30),0)</f>
        <v>0</v>
      </c>
      <c r="AG30" s="60">
        <f t="shared" si="12"/>
        <v>0</v>
      </c>
      <c r="AH30" s="41">
        <f t="shared" si="3"/>
        <v>0</v>
      </c>
      <c r="AI30" s="41">
        <f t="shared" si="3"/>
        <v>0</v>
      </c>
      <c r="AJ30" s="41">
        <f>IF(AI30&gt;0,SUM(AI$7:AI30)-SUM(AH$7:AH30),0)</f>
        <v>0</v>
      </c>
      <c r="AK30" s="60">
        <f t="shared" si="13"/>
        <v>0</v>
      </c>
      <c r="AM30" s="47">
        <f t="shared" si="14"/>
        <v>40840</v>
      </c>
      <c r="AN30" s="54" t="s">
        <v>26</v>
      </c>
      <c r="AO30" s="75"/>
      <c r="AP30" s="75"/>
      <c r="AQ30" s="75">
        <f>IF(AP30&gt;0,SUM(AP$7:AP30)-SUM(AO$7:AO30),0)</f>
        <v>0</v>
      </c>
      <c r="AR30" s="45">
        <f t="shared" si="15"/>
        <v>0</v>
      </c>
      <c r="AS30" s="75"/>
      <c r="AT30" s="75"/>
      <c r="AU30" s="75">
        <f>IF(AT30&gt;0,SUM(AT$7:AT30)-SUM(AS$7:AS30),0)</f>
        <v>0</v>
      </c>
      <c r="AV30" s="45">
        <f t="shared" si="16"/>
        <v>0</v>
      </c>
      <c r="AW30" s="75"/>
      <c r="AX30" s="75"/>
      <c r="AY30" s="75">
        <f>IF(AX30&gt;0,SUM(AX$7:AX30)-SUM(AW$7:AW30),0)</f>
        <v>0</v>
      </c>
      <c r="AZ30" s="45">
        <f t="shared" si="24"/>
        <v>0</v>
      </c>
      <c r="BA30" s="35">
        <f t="shared" si="4"/>
        <v>0</v>
      </c>
      <c r="BB30" s="35">
        <f t="shared" si="4"/>
        <v>0</v>
      </c>
      <c r="BC30" s="35">
        <f>IF(BB30&gt;0,SUM(BB$7:BB30)-SUM(BA$7:BA30),0)</f>
        <v>0</v>
      </c>
      <c r="BD30" s="45">
        <f t="shared" si="17"/>
        <v>0</v>
      </c>
      <c r="BF30" s="47">
        <f t="shared" si="18"/>
        <v>40840</v>
      </c>
      <c r="BG30" s="54" t="s">
        <v>26</v>
      </c>
      <c r="BH30" s="75"/>
      <c r="BI30" s="75"/>
      <c r="BJ30" s="75">
        <f>IF(BI30&gt;0,SUM(BI$7:BI30)-SUM(BH$7:BH30),0)</f>
        <v>0</v>
      </c>
      <c r="BK30" s="45">
        <f t="shared" si="19"/>
        <v>0</v>
      </c>
      <c r="BL30" s="75"/>
      <c r="BM30" s="75"/>
      <c r="BN30" s="75">
        <f>IF(BM30&gt;0,SUM(BM$7:BM30)-SUM(BL$7:BL30),0)</f>
        <v>0</v>
      </c>
      <c r="BO30" s="45">
        <f t="shared" si="20"/>
        <v>0</v>
      </c>
      <c r="BP30" s="75"/>
      <c r="BQ30" s="75"/>
      <c r="BR30" s="75">
        <f>IF(BQ30&gt;0,SUM(BQ$7:BQ30)-SUM(BP$7:BP30),0)</f>
        <v>0</v>
      </c>
      <c r="BS30" s="45">
        <f t="shared" si="25"/>
        <v>0</v>
      </c>
      <c r="BT30" s="35">
        <f t="shared" si="5"/>
        <v>0</v>
      </c>
      <c r="BU30" s="35">
        <f t="shared" si="5"/>
        <v>0</v>
      </c>
      <c r="BV30" s="35">
        <f>IF(BU30&gt;0,SUM(BU$7:BU30)-SUM(BT$7:BT30),0)</f>
        <v>0</v>
      </c>
      <c r="BW30" s="45">
        <f t="shared" si="21"/>
        <v>0</v>
      </c>
      <c r="BY30" s="47">
        <f t="shared" si="22"/>
        <v>40840</v>
      </c>
      <c r="BZ30" s="54" t="s">
        <v>26</v>
      </c>
      <c r="CA30" s="75"/>
      <c r="CB30" s="75"/>
      <c r="CC30" s="75">
        <f>IF(CB30&gt;0,SUM(CB$7:CB30)-SUM(CA$7:CA30),0)</f>
        <v>0</v>
      </c>
      <c r="CD30" s="45">
        <f t="shared" si="23"/>
        <v>0</v>
      </c>
    </row>
    <row r="31" spans="1:82" x14ac:dyDescent="0.25">
      <c r="A31" s="47">
        <f t="shared" si="6"/>
        <v>40841</v>
      </c>
      <c r="B31" s="54" t="s">
        <v>27</v>
      </c>
      <c r="C31" s="75">
        <v>15000</v>
      </c>
      <c r="D31" s="75">
        <v>17888</v>
      </c>
      <c r="E31" s="75">
        <f>IF(D31&gt;0,SUM(D$7:D31)-SUM(C$7:C31),0)</f>
        <v>-616</v>
      </c>
      <c r="F31" s="45">
        <f t="shared" si="7"/>
        <v>1.1925333333333332</v>
      </c>
      <c r="G31" s="7"/>
      <c r="H31" s="75"/>
      <c r="I31" s="75">
        <f>IF(H31&gt;0,SUM(H$7:H31)-SUM(G$7:G31),0)</f>
        <v>0</v>
      </c>
      <c r="J31" s="45">
        <f t="shared" si="26"/>
        <v>0</v>
      </c>
      <c r="K31" s="75">
        <v>15000</v>
      </c>
      <c r="L31" s="75">
        <v>16363</v>
      </c>
      <c r="M31" s="75">
        <f>IF(L31&gt;0,SUM(L$7:L31)-SUM(K$7:K31),0)</f>
        <v>-23059</v>
      </c>
      <c r="N31" s="45">
        <f t="shared" si="28"/>
        <v>1.0908666666666667</v>
      </c>
      <c r="O31" s="35">
        <f t="shared" si="27"/>
        <v>30000</v>
      </c>
      <c r="P31" s="35">
        <f t="shared" si="2"/>
        <v>34251</v>
      </c>
      <c r="Q31" s="35">
        <f>IF(P31&gt;0,SUM(P$7:P31)-SUM(O$7:O31),0)</f>
        <v>-23675</v>
      </c>
      <c r="R31" s="45">
        <f t="shared" si="8"/>
        <v>1.1416999999999999</v>
      </c>
      <c r="T31" s="47">
        <f t="shared" si="9"/>
        <v>40841</v>
      </c>
      <c r="U31" s="54" t="s">
        <v>27</v>
      </c>
      <c r="V31" s="75">
        <v>14000</v>
      </c>
      <c r="W31" s="75">
        <v>7812</v>
      </c>
      <c r="X31" s="76">
        <f>IF(W31&gt;0,SUM(W$7:W31)-SUM(V$7:V31),0)</f>
        <v>-20036</v>
      </c>
      <c r="Y31" s="60">
        <f t="shared" si="10"/>
        <v>0.55800000000000005</v>
      </c>
      <c r="Z31" s="75">
        <v>14000</v>
      </c>
      <c r="AA31" s="75">
        <v>10462</v>
      </c>
      <c r="AB31" s="76">
        <f>IF(AA31&gt;0,SUM(AA$7:AA31)-SUM(Z$7:Z31),0)</f>
        <v>-41069</v>
      </c>
      <c r="AC31" s="60">
        <f t="shared" si="11"/>
        <v>0.74728571428571433</v>
      </c>
      <c r="AD31" s="75">
        <v>14000</v>
      </c>
      <c r="AE31" s="75">
        <v>12860</v>
      </c>
      <c r="AF31" s="76">
        <f>IF(AE31&gt;0,SUM(AE$7:AE31)-SUM(AD$7:AD31),0)</f>
        <v>-6087</v>
      </c>
      <c r="AG31" s="60">
        <f t="shared" si="12"/>
        <v>0.91857142857142859</v>
      </c>
      <c r="AH31" s="41">
        <f t="shared" si="3"/>
        <v>42000</v>
      </c>
      <c r="AI31" s="41">
        <f t="shared" si="3"/>
        <v>31134</v>
      </c>
      <c r="AJ31" s="41">
        <f>IF(AI31&gt;0,SUM(AI$7:AI31)-SUM(AH$7:AH31),0)</f>
        <v>-67192</v>
      </c>
      <c r="AK31" s="60">
        <f t="shared" si="13"/>
        <v>0.74128571428571433</v>
      </c>
      <c r="AM31" s="47">
        <f t="shared" si="14"/>
        <v>40841</v>
      </c>
      <c r="AN31" s="54" t="s">
        <v>27</v>
      </c>
      <c r="AO31" s="75">
        <v>7000</v>
      </c>
      <c r="AP31" s="75">
        <v>4443</v>
      </c>
      <c r="AQ31" s="75">
        <f>IF(AP31&gt;0,SUM(AP$7:AP31)-SUM(AO$7:AO31),0)</f>
        <v>27921</v>
      </c>
      <c r="AR31" s="45">
        <f t="shared" si="15"/>
        <v>0.63471428571428568</v>
      </c>
      <c r="AS31" s="75">
        <v>7000</v>
      </c>
      <c r="AT31" s="75">
        <v>5493</v>
      </c>
      <c r="AU31" s="75">
        <f>IF(AT31&gt;0,SUM(AT$7:AT31)-SUM(AS$7:AS31),0)</f>
        <v>38561</v>
      </c>
      <c r="AV31" s="45">
        <f t="shared" si="16"/>
        <v>0.7847142857142857</v>
      </c>
      <c r="AW31" s="75">
        <v>7000</v>
      </c>
      <c r="AX31" s="75">
        <v>7554</v>
      </c>
      <c r="AY31" s="75">
        <f>IF(AX31&gt;0,SUM(AX$7:AX31)-SUM(AW$7:AW31),0)</f>
        <v>50561</v>
      </c>
      <c r="AZ31" s="45">
        <f t="shared" si="24"/>
        <v>1.0791428571428572</v>
      </c>
      <c r="BA31" s="35">
        <f t="shared" si="4"/>
        <v>21000</v>
      </c>
      <c r="BB31" s="35">
        <f t="shared" si="4"/>
        <v>17490</v>
      </c>
      <c r="BC31" s="35">
        <f>IF(BB31&gt;0,SUM(BB$7:BB31)-SUM(BA$7:BA31),0)</f>
        <v>117043</v>
      </c>
      <c r="BD31" s="45">
        <f t="shared" si="17"/>
        <v>0.83285714285714285</v>
      </c>
      <c r="BF31" s="47">
        <f t="shared" si="18"/>
        <v>40841</v>
      </c>
      <c r="BG31" s="54" t="s">
        <v>27</v>
      </c>
      <c r="BH31" s="75">
        <v>22000</v>
      </c>
      <c r="BI31" s="75">
        <v>12304</v>
      </c>
      <c r="BJ31" s="75">
        <f>IF(BI31&gt;0,SUM(BI$7:BI31)-SUM(BH$7:BH31),0)</f>
        <v>-53159</v>
      </c>
      <c r="BK31" s="45">
        <f t="shared" si="19"/>
        <v>0.55927272727272725</v>
      </c>
      <c r="BL31" s="75">
        <v>8000</v>
      </c>
      <c r="BM31" s="75">
        <v>5185</v>
      </c>
      <c r="BN31" s="75">
        <f>IF(BM31&gt;0,SUM(BM$7:BM31)-SUM(BL$7:BL31),0)</f>
        <v>1333</v>
      </c>
      <c r="BO31" s="45">
        <f t="shared" si="20"/>
        <v>0.64812499999999995</v>
      </c>
      <c r="BP31" s="75">
        <v>12000</v>
      </c>
      <c r="BQ31" s="75">
        <v>6527</v>
      </c>
      <c r="BR31" s="75">
        <f>IF(BQ31&gt;0,SUM(BQ$7:BQ31)-SUM(BP$7:BP31),0)</f>
        <v>-22399</v>
      </c>
      <c r="BS31" s="45">
        <f t="shared" si="25"/>
        <v>0.54391666666666671</v>
      </c>
      <c r="BT31" s="35">
        <f t="shared" si="5"/>
        <v>42000</v>
      </c>
      <c r="BU31" s="35">
        <f t="shared" si="5"/>
        <v>24016</v>
      </c>
      <c r="BV31" s="35">
        <f>IF(BU31&gt;0,SUM(BU$7:BU31)-SUM(BT$7:BT31),0)</f>
        <v>-74225</v>
      </c>
      <c r="BW31" s="45">
        <f t="shared" si="21"/>
        <v>0.57180952380952377</v>
      </c>
      <c r="BY31" s="47">
        <f t="shared" si="22"/>
        <v>40841</v>
      </c>
      <c r="BZ31" s="54" t="s">
        <v>27</v>
      </c>
      <c r="CA31" s="75">
        <v>5000</v>
      </c>
      <c r="CB31" s="75">
        <v>3715</v>
      </c>
      <c r="CC31" s="75">
        <f>IF(CB31&gt;0,SUM(CB$7:CB31)-SUM(CA$7:CA31),0)</f>
        <v>-14635</v>
      </c>
      <c r="CD31" s="45">
        <f t="shared" si="23"/>
        <v>0.74299999999999999</v>
      </c>
    </row>
    <row r="32" spans="1:82" x14ac:dyDescent="0.25">
      <c r="A32" s="47">
        <f t="shared" si="6"/>
        <v>40842</v>
      </c>
      <c r="B32" s="54" t="s">
        <v>28</v>
      </c>
      <c r="C32" s="75">
        <v>15000</v>
      </c>
      <c r="D32" s="75">
        <v>18249</v>
      </c>
      <c r="E32" s="75">
        <f>IF(D32&gt;0,SUM(D$7:D32)-SUM(C$7:C32),0)</f>
        <v>2633</v>
      </c>
      <c r="F32" s="45">
        <f t="shared" si="7"/>
        <v>1.2165999999999999</v>
      </c>
      <c r="G32" s="7"/>
      <c r="H32" s="75"/>
      <c r="I32" s="75">
        <f>IF(H32&gt;0,SUM(H$7:H32)-SUM(G$7:G32),0)</f>
        <v>0</v>
      </c>
      <c r="J32" s="45">
        <f t="shared" si="26"/>
        <v>0</v>
      </c>
      <c r="K32" s="75">
        <v>15000</v>
      </c>
      <c r="L32" s="75">
        <v>12726</v>
      </c>
      <c r="M32" s="75">
        <f>IF(L32&gt;0,SUM(L$7:L32)-SUM(K$7:K32),0)</f>
        <v>-25333</v>
      </c>
      <c r="N32" s="45">
        <f t="shared" si="28"/>
        <v>0.84840000000000004</v>
      </c>
      <c r="O32" s="35">
        <f t="shared" si="27"/>
        <v>30000</v>
      </c>
      <c r="P32" s="35">
        <f>IF(SUM(D32,H32,L32)&gt;0,SUM(D32,H32,L32),0)</f>
        <v>30975</v>
      </c>
      <c r="Q32" s="35">
        <f>IF(P32&gt;0,SUM(P$7:P32)-SUM(O$7:O32),0)</f>
        <v>-22700</v>
      </c>
      <c r="R32" s="45">
        <f t="shared" si="8"/>
        <v>1.0325</v>
      </c>
      <c r="T32" s="47">
        <f t="shared" si="9"/>
        <v>40842</v>
      </c>
      <c r="U32" s="54" t="s">
        <v>28</v>
      </c>
      <c r="V32" s="75">
        <v>14000</v>
      </c>
      <c r="W32" s="75">
        <v>11422</v>
      </c>
      <c r="X32" s="76">
        <f>IF(W32&gt;0,SUM(W$7:W32)-SUM(V$7:V32),0)</f>
        <v>-22614</v>
      </c>
      <c r="Y32" s="60">
        <f t="shared" si="10"/>
        <v>0.81585714285714284</v>
      </c>
      <c r="Z32" s="75">
        <v>14000</v>
      </c>
      <c r="AA32" s="75">
        <v>8188</v>
      </c>
      <c r="AB32" s="76">
        <f>IF(AA32&gt;0,SUM(AA$7:AA32)-SUM(Z$7:Z32),0)</f>
        <v>-46881</v>
      </c>
      <c r="AC32" s="60">
        <f t="shared" si="11"/>
        <v>0.58485714285714285</v>
      </c>
      <c r="AD32" s="75">
        <v>14000</v>
      </c>
      <c r="AE32" s="75">
        <v>12677</v>
      </c>
      <c r="AF32" s="76">
        <f>IF(AE32&gt;0,SUM(AE$7:AE32)-SUM(AD$7:AD32),0)</f>
        <v>-7410</v>
      </c>
      <c r="AG32" s="60">
        <f t="shared" si="12"/>
        <v>0.90549999999999997</v>
      </c>
      <c r="AH32" s="41">
        <f t="shared" si="3"/>
        <v>42000</v>
      </c>
      <c r="AI32" s="41">
        <f t="shared" si="3"/>
        <v>32287</v>
      </c>
      <c r="AJ32" s="41">
        <f>IF(AI32&gt;0,SUM(AI$7:AI32)-SUM(AH$7:AH32),0)</f>
        <v>-76905</v>
      </c>
      <c r="AK32" s="60">
        <f t="shared" si="13"/>
        <v>0.76873809523809522</v>
      </c>
      <c r="AM32" s="47">
        <f t="shared" si="14"/>
        <v>40842</v>
      </c>
      <c r="AN32" s="54" t="s">
        <v>28</v>
      </c>
      <c r="AO32" s="75">
        <v>7000</v>
      </c>
      <c r="AP32" s="75">
        <v>6784</v>
      </c>
      <c r="AQ32" s="75">
        <f>IF(AP32&gt;0,SUM(AP$7:AP32)-SUM(AO$7:AO32),0)</f>
        <v>27705</v>
      </c>
      <c r="AR32" s="45">
        <f t="shared" si="15"/>
        <v>0.96914285714285719</v>
      </c>
      <c r="AS32" s="75">
        <v>7000</v>
      </c>
      <c r="AT32" s="75">
        <v>10557</v>
      </c>
      <c r="AU32" s="75">
        <f>IF(AT32&gt;0,SUM(AT$7:AT32)-SUM(AS$7:AS32),0)</f>
        <v>42118</v>
      </c>
      <c r="AV32" s="45">
        <f t="shared" si="16"/>
        <v>1.5081428571428572</v>
      </c>
      <c r="AW32" s="75">
        <v>7000</v>
      </c>
      <c r="AX32" s="75">
        <v>10321</v>
      </c>
      <c r="AY32" s="75">
        <f>IF(AX32&gt;0,SUM(AX$7:AX32)-SUM(AW$7:AW32),0)</f>
        <v>53882</v>
      </c>
      <c r="AZ32" s="45">
        <f t="shared" si="24"/>
        <v>1.4744285714285714</v>
      </c>
      <c r="BA32" s="35">
        <f t="shared" si="4"/>
        <v>21000</v>
      </c>
      <c r="BB32" s="35">
        <f t="shared" si="4"/>
        <v>27662</v>
      </c>
      <c r="BC32" s="35">
        <f>IF(BB32&gt;0,SUM(BB$7:BB32)-SUM(BA$7:BA32),0)</f>
        <v>123705</v>
      </c>
      <c r="BD32" s="45">
        <f t="shared" si="17"/>
        <v>1.3172380952380953</v>
      </c>
      <c r="BF32" s="47">
        <f t="shared" si="18"/>
        <v>40842</v>
      </c>
      <c r="BG32" s="54" t="s">
        <v>28</v>
      </c>
      <c r="BH32" s="75">
        <v>22000</v>
      </c>
      <c r="BI32" s="75">
        <v>21334</v>
      </c>
      <c r="BJ32" s="75">
        <f>IF(BI32&gt;0,SUM(BI$7:BI32)-SUM(BH$7:BH32),0)</f>
        <v>-53825</v>
      </c>
      <c r="BK32" s="45">
        <f t="shared" si="19"/>
        <v>0.96972727272727277</v>
      </c>
      <c r="BL32" s="75">
        <v>8000</v>
      </c>
      <c r="BM32" s="75">
        <v>6326</v>
      </c>
      <c r="BN32" s="75">
        <f>IF(BM32&gt;0,SUM(BM$7:BM32)-SUM(BL$7:BL32),0)</f>
        <v>-341</v>
      </c>
      <c r="BO32" s="45">
        <f t="shared" si="20"/>
        <v>0.79074999999999995</v>
      </c>
      <c r="BP32" s="75">
        <v>12000</v>
      </c>
      <c r="BQ32" s="75">
        <v>7020</v>
      </c>
      <c r="BR32" s="75">
        <f>IF(BQ32&gt;0,SUM(BQ$7:BQ32)-SUM(BP$7:BP32),0)</f>
        <v>-27379</v>
      </c>
      <c r="BS32" s="45">
        <f t="shared" si="25"/>
        <v>0.58499999999999996</v>
      </c>
      <c r="BT32" s="35">
        <f t="shared" si="5"/>
        <v>42000</v>
      </c>
      <c r="BU32" s="35">
        <f t="shared" si="5"/>
        <v>34680</v>
      </c>
      <c r="BV32" s="35">
        <f>IF(BU32&gt;0,SUM(BU$7:BU32)-SUM(BT$7:BT32),0)</f>
        <v>-81545</v>
      </c>
      <c r="BW32" s="45">
        <f t="shared" si="21"/>
        <v>0.82571428571428573</v>
      </c>
      <c r="BY32" s="47">
        <f t="shared" si="22"/>
        <v>40842</v>
      </c>
      <c r="BZ32" s="54" t="s">
        <v>28</v>
      </c>
      <c r="CA32" s="75">
        <v>5000</v>
      </c>
      <c r="CB32" s="75">
        <v>10120</v>
      </c>
      <c r="CC32" s="75">
        <f>IF(CB32&gt;0,SUM(CB$7:CB32)-SUM(CA$7:CA32),0)</f>
        <v>-9515</v>
      </c>
      <c r="CD32" s="45">
        <f t="shared" si="23"/>
        <v>2.024</v>
      </c>
    </row>
    <row r="33" spans="1:82" x14ac:dyDescent="0.25">
      <c r="A33" s="47">
        <f t="shared" si="6"/>
        <v>40843</v>
      </c>
      <c r="B33" s="54" t="s">
        <v>22</v>
      </c>
      <c r="C33" s="75">
        <v>15000</v>
      </c>
      <c r="D33" s="75">
        <v>14728</v>
      </c>
      <c r="E33" s="75">
        <f>IF(D33&gt;0,SUM(D$7:D33)-SUM(C$7:C33),0)</f>
        <v>2361</v>
      </c>
      <c r="F33" s="45">
        <f t="shared" si="7"/>
        <v>0.98186666666666667</v>
      </c>
      <c r="G33" s="7"/>
      <c r="H33" s="75"/>
      <c r="I33" s="75">
        <f>IF(H33&gt;0,SUM(H$7:H33)-SUM(G$7:G33),0)</f>
        <v>0</v>
      </c>
      <c r="J33" s="45">
        <f t="shared" si="26"/>
        <v>0</v>
      </c>
      <c r="K33" s="75">
        <v>15000</v>
      </c>
      <c r="L33" s="75">
        <v>13945</v>
      </c>
      <c r="M33" s="75">
        <f>IF(L33&gt;0,SUM(L$7:L33)-SUM(K$7:K33),0)</f>
        <v>-26388</v>
      </c>
      <c r="N33" s="45">
        <f t="shared" si="28"/>
        <v>0.92966666666666664</v>
      </c>
      <c r="O33" s="35">
        <f t="shared" si="27"/>
        <v>30000</v>
      </c>
      <c r="P33" s="35">
        <f t="shared" si="2"/>
        <v>28673</v>
      </c>
      <c r="Q33" s="35">
        <f>IF(P33&gt;0,SUM(P$7:P33)-SUM(O$7:O33),0)</f>
        <v>-24027</v>
      </c>
      <c r="R33" s="45">
        <f t="shared" si="8"/>
        <v>0.95576666666666665</v>
      </c>
      <c r="T33" s="47">
        <f t="shared" si="9"/>
        <v>40843</v>
      </c>
      <c r="U33" s="54" t="s">
        <v>22</v>
      </c>
      <c r="V33" s="75">
        <v>14000</v>
      </c>
      <c r="W33" s="75">
        <v>11820</v>
      </c>
      <c r="X33" s="76">
        <f>IF(W33&gt;0,SUM(W$7:W33)-SUM(V$7:V33),0)</f>
        <v>-24794</v>
      </c>
      <c r="Y33" s="60">
        <f t="shared" si="10"/>
        <v>0.84428571428571431</v>
      </c>
      <c r="Z33" s="75">
        <v>14000</v>
      </c>
      <c r="AA33" s="75">
        <v>10902</v>
      </c>
      <c r="AB33" s="76">
        <f>IF(AA33&gt;0,SUM(AA$7:AA33)-SUM(Z$7:Z37),0)</f>
        <v>-77979</v>
      </c>
      <c r="AC33" s="60">
        <f t="shared" si="11"/>
        <v>0.77871428571428569</v>
      </c>
      <c r="AD33" s="75">
        <v>14000</v>
      </c>
      <c r="AE33" s="75">
        <v>14064</v>
      </c>
      <c r="AF33" s="76">
        <f>IF(AE33&gt;0,SUM(AE$7:AE33)-SUM(AD$7:AD33),0)</f>
        <v>-7346</v>
      </c>
      <c r="AG33" s="60">
        <f t="shared" si="12"/>
        <v>1.0045714285714287</v>
      </c>
      <c r="AH33" s="41">
        <f t="shared" si="3"/>
        <v>42000</v>
      </c>
      <c r="AI33" s="41">
        <f t="shared" si="3"/>
        <v>36786</v>
      </c>
      <c r="AJ33" s="41">
        <f>IF(AI33&gt;0,SUM(AI$7:AI33)-SUM(AH$7:AH33),0)</f>
        <v>-82119</v>
      </c>
      <c r="AK33" s="60">
        <f t="shared" si="13"/>
        <v>0.87585714285714289</v>
      </c>
      <c r="AM33" s="47">
        <f t="shared" si="14"/>
        <v>40843</v>
      </c>
      <c r="AN33" s="54" t="s">
        <v>22</v>
      </c>
      <c r="AO33" s="75">
        <v>7000</v>
      </c>
      <c r="AP33" s="75">
        <v>5269</v>
      </c>
      <c r="AQ33" s="75">
        <f>IF(AP33&gt;0,SUM(AP$7:AP33)-SUM(AO$7:AO33),0)</f>
        <v>25974</v>
      </c>
      <c r="AR33" s="45">
        <f t="shared" si="15"/>
        <v>0.75271428571428567</v>
      </c>
      <c r="AS33" s="75">
        <v>7000</v>
      </c>
      <c r="AT33" s="75">
        <v>6437</v>
      </c>
      <c r="AU33" s="75">
        <f>IF(AT33&gt;0,SUM(AT$7:AT33)-SUM(AS$7:AS33),0)</f>
        <v>41555</v>
      </c>
      <c r="AV33" s="45">
        <f t="shared" si="16"/>
        <v>0.9195714285714286</v>
      </c>
      <c r="AW33" s="75">
        <v>7000</v>
      </c>
      <c r="AX33" s="75">
        <v>7309</v>
      </c>
      <c r="AY33" s="75">
        <f>IF(AX33&gt;0,SUM(AX$7:AX33)-SUM(AW$7:AW33),0)</f>
        <v>54191</v>
      </c>
      <c r="AZ33" s="45">
        <f t="shared" si="24"/>
        <v>1.044142857142857</v>
      </c>
      <c r="BA33" s="35">
        <f t="shared" si="4"/>
        <v>21000</v>
      </c>
      <c r="BB33" s="35">
        <f t="shared" si="4"/>
        <v>19015</v>
      </c>
      <c r="BC33" s="35">
        <f>IF(BB33&gt;0,SUM(BB$7:BB33)-SUM(BA$7:BA33),0)</f>
        <v>121720</v>
      </c>
      <c r="BD33" s="45">
        <f t="shared" si="17"/>
        <v>0.90547619047619043</v>
      </c>
      <c r="BF33" s="47">
        <f t="shared" si="18"/>
        <v>40843</v>
      </c>
      <c r="BG33" s="54" t="s">
        <v>22</v>
      </c>
      <c r="BH33" s="75">
        <v>22000</v>
      </c>
      <c r="BI33" s="75">
        <v>10934</v>
      </c>
      <c r="BJ33" s="75">
        <f>IF(BI33&gt;0,SUM(BI$7:BI33)-SUM(BH$7:BH33),0)</f>
        <v>-64891</v>
      </c>
      <c r="BK33" s="45">
        <f t="shared" si="19"/>
        <v>0.497</v>
      </c>
      <c r="BL33" s="75">
        <v>8000</v>
      </c>
      <c r="BM33" s="75">
        <v>8084</v>
      </c>
      <c r="BN33" s="75">
        <f>IF(BM33&gt;0,SUM(BM$7:BM33)-SUM(BL$7:BL33),0)</f>
        <v>-257</v>
      </c>
      <c r="BO33" s="45">
        <f t="shared" si="20"/>
        <v>1.0105</v>
      </c>
      <c r="BP33" s="75">
        <v>12000</v>
      </c>
      <c r="BQ33" s="75">
        <v>10864</v>
      </c>
      <c r="BR33" s="75">
        <f>IF(BQ33&gt;0,SUM(BQ$7:BQ33)-SUM(BP$7:BP33),0)</f>
        <v>-28515</v>
      </c>
      <c r="BS33" s="45">
        <f t="shared" si="25"/>
        <v>0.90533333333333332</v>
      </c>
      <c r="BT33" s="35">
        <f t="shared" si="5"/>
        <v>42000</v>
      </c>
      <c r="BU33" s="35">
        <f t="shared" si="5"/>
        <v>29882</v>
      </c>
      <c r="BV33" s="35">
        <f>IF(BU33&gt;0,SUM(BU$7:BU33)-SUM(BT$7:BT33),0)</f>
        <v>-93663</v>
      </c>
      <c r="BW33" s="45">
        <f t="shared" si="21"/>
        <v>0.71147619047619048</v>
      </c>
      <c r="BY33" s="47">
        <f t="shared" si="22"/>
        <v>40843</v>
      </c>
      <c r="BZ33" s="54" t="s">
        <v>22</v>
      </c>
      <c r="CA33" s="75">
        <v>5000</v>
      </c>
      <c r="CB33" s="75">
        <v>6245</v>
      </c>
      <c r="CC33" s="75">
        <f>IF(CB33&gt;0,SUM(CB$7:CB33)-SUM(CA$7:CA33),0)</f>
        <v>-8270</v>
      </c>
      <c r="CD33" s="45">
        <f t="shared" si="23"/>
        <v>1.2490000000000001</v>
      </c>
    </row>
    <row r="34" spans="1:82" x14ac:dyDescent="0.25">
      <c r="A34" s="47">
        <f t="shared" si="6"/>
        <v>40844</v>
      </c>
      <c r="B34" s="54" t="s">
        <v>23</v>
      </c>
      <c r="C34" s="75">
        <v>15000</v>
      </c>
      <c r="D34" s="75">
        <v>20864</v>
      </c>
      <c r="E34" s="75">
        <f>IF(D34&gt;0,SUM(D$7:D34)-SUM(C$7:C34),0)</f>
        <v>8225</v>
      </c>
      <c r="F34" s="45">
        <f t="shared" si="7"/>
        <v>1.3909333333333334</v>
      </c>
      <c r="G34" s="7"/>
      <c r="H34" s="75"/>
      <c r="I34" s="75">
        <f>IF(H34&gt;0,SUM(H$7:H34)-SUM(G$7:G34),0)</f>
        <v>0</v>
      </c>
      <c r="J34" s="45">
        <f t="shared" si="26"/>
        <v>0</v>
      </c>
      <c r="K34" s="75">
        <v>15000</v>
      </c>
      <c r="L34" s="75">
        <v>15804</v>
      </c>
      <c r="M34" s="75">
        <f>IF(L34&gt;0,SUM(L$7:L34)-SUM(K$7:K34),0)</f>
        <v>-25584</v>
      </c>
      <c r="N34" s="45">
        <f t="shared" si="28"/>
        <v>1.0536000000000001</v>
      </c>
      <c r="O34" s="35">
        <f t="shared" si="27"/>
        <v>30000</v>
      </c>
      <c r="P34" s="35">
        <f t="shared" si="2"/>
        <v>36668</v>
      </c>
      <c r="Q34" s="35">
        <f>IF(P34&gt;0,SUM(P$7:P34)-SUM(O$7:O34),0)</f>
        <v>-17359</v>
      </c>
      <c r="R34" s="45">
        <f t="shared" si="8"/>
        <v>1.2222666666666666</v>
      </c>
      <c r="T34" s="47">
        <f t="shared" si="9"/>
        <v>40844</v>
      </c>
      <c r="U34" s="54" t="s">
        <v>23</v>
      </c>
      <c r="V34" s="75">
        <v>14000</v>
      </c>
      <c r="W34" s="75">
        <v>11460</v>
      </c>
      <c r="X34" s="76">
        <f>IF(W34&gt;0,SUM(W$7:W34)-SUM(V$7:V34),0)</f>
        <v>-27334</v>
      </c>
      <c r="Y34" s="60">
        <f t="shared" si="10"/>
        <v>0.81857142857142862</v>
      </c>
      <c r="Z34" s="75">
        <v>14000</v>
      </c>
      <c r="AA34" s="75">
        <v>7467</v>
      </c>
      <c r="AB34" s="76">
        <f>IF(AA34&gt;0,SUM(AA$7:AA34)-SUM(Z$7:Z34),0)</f>
        <v>-56512</v>
      </c>
      <c r="AC34" s="60">
        <f t="shared" si="11"/>
        <v>0.53335714285714286</v>
      </c>
      <c r="AD34" s="75">
        <v>14000</v>
      </c>
      <c r="AE34" s="75">
        <v>14336</v>
      </c>
      <c r="AF34" s="76">
        <f>IF(AE34&gt;0,SUM(AE$7:AE34)-SUM(AD$7:AD34),0)</f>
        <v>-7010</v>
      </c>
      <c r="AG34" s="60">
        <f t="shared" si="12"/>
        <v>1.024</v>
      </c>
      <c r="AH34" s="41">
        <f t="shared" si="3"/>
        <v>42000</v>
      </c>
      <c r="AI34" s="41">
        <f t="shared" si="3"/>
        <v>33263</v>
      </c>
      <c r="AJ34" s="41">
        <f>IF(AI34&gt;0,SUM(AI$7:AI34)-SUM(AH$7:AH34),0)</f>
        <v>-90856</v>
      </c>
      <c r="AK34" s="60">
        <f t="shared" si="13"/>
        <v>0.7919761904761905</v>
      </c>
      <c r="AM34" s="47">
        <f t="shared" si="14"/>
        <v>40844</v>
      </c>
      <c r="AN34" s="54" t="s">
        <v>23</v>
      </c>
      <c r="AO34" s="75">
        <v>7000</v>
      </c>
      <c r="AP34" s="75">
        <v>6601</v>
      </c>
      <c r="AQ34" s="75">
        <f>IF(AP34&gt;0,SUM(AP$7:AP34)-SUM(AO$7:AO34),0)</f>
        <v>25575</v>
      </c>
      <c r="AR34" s="45">
        <f t="shared" si="15"/>
        <v>0.94299999999999995</v>
      </c>
      <c r="AS34" s="75">
        <v>7000</v>
      </c>
      <c r="AT34" s="75">
        <v>4776</v>
      </c>
      <c r="AU34" s="75">
        <f>IF(AT34&gt;0,SUM(AT$7:AT34)-SUM(AS$7:AS34),0)</f>
        <v>39331</v>
      </c>
      <c r="AV34" s="45">
        <f t="shared" si="16"/>
        <v>0.68228571428571427</v>
      </c>
      <c r="AW34" s="75">
        <v>7000</v>
      </c>
      <c r="AX34" s="75">
        <v>7543</v>
      </c>
      <c r="AY34" s="75">
        <f>IF(AX34&gt;0,SUM(AX$7:AX34)-SUM(AW$7:AW34),0)</f>
        <v>54734</v>
      </c>
      <c r="AZ34" s="45">
        <f t="shared" si="24"/>
        <v>1.0775714285714286</v>
      </c>
      <c r="BA34" s="35">
        <f t="shared" si="4"/>
        <v>21000</v>
      </c>
      <c r="BB34" s="35">
        <f t="shared" si="4"/>
        <v>18920</v>
      </c>
      <c r="BC34" s="35">
        <f>IF(BB34&gt;0,SUM(BB$7:BB34)-SUM(BA$7:BA34),0)</f>
        <v>119640</v>
      </c>
      <c r="BD34" s="45">
        <f t="shared" si="17"/>
        <v>0.90095238095238095</v>
      </c>
      <c r="BF34" s="47">
        <f t="shared" si="18"/>
        <v>40844</v>
      </c>
      <c r="BG34" s="54" t="s">
        <v>23</v>
      </c>
      <c r="BH34" s="75">
        <v>22000</v>
      </c>
      <c r="BI34" s="75">
        <v>8567</v>
      </c>
      <c r="BJ34" s="75">
        <f>IF(BI34&gt;0,SUM(BI$7:BI34)-SUM(BH$7:BH34),0)</f>
        <v>-78324</v>
      </c>
      <c r="BK34" s="45">
        <f t="shared" si="19"/>
        <v>0.38940909090909093</v>
      </c>
      <c r="BL34" s="75">
        <v>8000</v>
      </c>
      <c r="BM34" s="75">
        <v>10356</v>
      </c>
      <c r="BN34" s="75">
        <f>IF(BM34&gt;0,SUM(BM$7:BM34)-SUM(BL$7:BL34),0)</f>
        <v>2099</v>
      </c>
      <c r="BO34" s="45">
        <f t="shared" si="20"/>
        <v>1.2945</v>
      </c>
      <c r="BP34" s="75">
        <v>12000</v>
      </c>
      <c r="BQ34" s="75">
        <v>14145</v>
      </c>
      <c r="BR34" s="75">
        <f>IF(BQ34&gt;0,SUM(BQ$7:BQ34)-SUM(BP$7:BP34),0)</f>
        <v>-26370</v>
      </c>
      <c r="BS34" s="45">
        <f t="shared" si="25"/>
        <v>1.17875</v>
      </c>
      <c r="BT34" s="35">
        <f t="shared" si="5"/>
        <v>42000</v>
      </c>
      <c r="BU34" s="35">
        <f t="shared" si="5"/>
        <v>33068</v>
      </c>
      <c r="BV34" s="35">
        <f>IF(BU34&gt;0,SUM(BU$7:BU34)-SUM(BT$7:BT34),0)</f>
        <v>-102595</v>
      </c>
      <c r="BW34" s="45">
        <f t="shared" si="21"/>
        <v>0.78733333333333333</v>
      </c>
      <c r="BY34" s="47">
        <f t="shared" si="22"/>
        <v>40844</v>
      </c>
      <c r="BZ34" s="54" t="s">
        <v>23</v>
      </c>
      <c r="CA34" s="75">
        <v>5000</v>
      </c>
      <c r="CB34" s="75">
        <v>6643</v>
      </c>
      <c r="CC34" s="75">
        <f>IF(CB34&gt;0,SUM(CB$7:CB34)-SUM(CA$7:CA34),0)</f>
        <v>-6627</v>
      </c>
      <c r="CD34" s="45">
        <f t="shared" si="23"/>
        <v>1.3286</v>
      </c>
    </row>
    <row r="35" spans="1:82" x14ac:dyDescent="0.25">
      <c r="A35" s="47">
        <f t="shared" si="6"/>
        <v>40845</v>
      </c>
      <c r="B35" s="54" t="s">
        <v>24</v>
      </c>
      <c r="C35" s="75">
        <v>15000</v>
      </c>
      <c r="D35" s="75">
        <v>19129</v>
      </c>
      <c r="E35" s="75">
        <f>IF(D35&gt;0,SUM(D$7:D35)-SUM(C$7:C35),0)</f>
        <v>12354</v>
      </c>
      <c r="F35" s="45">
        <f t="shared" si="7"/>
        <v>1.2752666666666668</v>
      </c>
      <c r="G35" s="7"/>
      <c r="H35" s="75"/>
      <c r="I35" s="75">
        <f>IF(H35&gt;0,SUM(H$7:H35)-SUM(G$7:G35),0)</f>
        <v>0</v>
      </c>
      <c r="J35" s="45">
        <f t="shared" si="26"/>
        <v>0</v>
      </c>
      <c r="K35" s="75">
        <v>15000</v>
      </c>
      <c r="L35" s="75">
        <v>19951</v>
      </c>
      <c r="M35" s="75">
        <f>IF(L35&gt;0,SUM(L$7:L35)-SUM(K$7:K35),0)</f>
        <v>-20633</v>
      </c>
      <c r="N35" s="45">
        <f t="shared" si="28"/>
        <v>1.3300666666666667</v>
      </c>
      <c r="O35" s="35">
        <f t="shared" si="27"/>
        <v>30000</v>
      </c>
      <c r="P35" s="35">
        <f t="shared" si="2"/>
        <v>39080</v>
      </c>
      <c r="Q35" s="35">
        <f>IF(P35&gt;0,SUM(P$7:P35)-SUM(O$7:O35),0)</f>
        <v>-8279</v>
      </c>
      <c r="R35" s="45">
        <f t="shared" si="8"/>
        <v>1.3026666666666666</v>
      </c>
      <c r="T35" s="47">
        <f t="shared" si="9"/>
        <v>40845</v>
      </c>
      <c r="U35" s="54" t="s">
        <v>24</v>
      </c>
      <c r="V35" s="75">
        <v>14000</v>
      </c>
      <c r="W35" s="75">
        <v>11796</v>
      </c>
      <c r="X35" s="76">
        <f>IF(W35&gt;0,SUM(W$7:W35)-SUM(V$7:V35),0)</f>
        <v>-29538</v>
      </c>
      <c r="Y35" s="60">
        <f t="shared" si="10"/>
        <v>0.84257142857142853</v>
      </c>
      <c r="Z35" s="75">
        <v>14000</v>
      </c>
      <c r="AA35" s="75">
        <v>10622</v>
      </c>
      <c r="AB35" s="76">
        <f>IF(AA35&gt;0,SUM(AA$7:AA35)-SUM(Z$7:Z35),0)</f>
        <v>-59890</v>
      </c>
      <c r="AC35" s="60">
        <f t="shared" si="11"/>
        <v>0.75871428571428567</v>
      </c>
      <c r="AD35" s="75">
        <v>14000</v>
      </c>
      <c r="AE35" s="75">
        <v>15088</v>
      </c>
      <c r="AF35" s="76">
        <f>IF(AE35&gt;0,SUM(AE$7:AE35)-SUM(AD$7:AD35),0)</f>
        <v>-5922</v>
      </c>
      <c r="AG35" s="60">
        <f t="shared" si="12"/>
        <v>1.0777142857142856</v>
      </c>
      <c r="AH35" s="41">
        <f t="shared" si="3"/>
        <v>42000</v>
      </c>
      <c r="AI35" s="41">
        <f t="shared" si="3"/>
        <v>37506</v>
      </c>
      <c r="AJ35" s="41">
        <f>IF(AI35&gt;0,SUM(AI$7:AI35)-SUM(AH$7:AH35),0)</f>
        <v>-95350</v>
      </c>
      <c r="AK35" s="60">
        <f t="shared" si="13"/>
        <v>0.89300000000000002</v>
      </c>
      <c r="AM35" s="47">
        <f t="shared" si="14"/>
        <v>40845</v>
      </c>
      <c r="AN35" s="54" t="s">
        <v>24</v>
      </c>
      <c r="AO35" s="75">
        <v>7000</v>
      </c>
      <c r="AP35" s="75">
        <v>6197</v>
      </c>
      <c r="AQ35" s="75">
        <f>IF(AP35&gt;0,SUM(AP$7:AP35)-SUM(AO$7:AO35),0)</f>
        <v>24772</v>
      </c>
      <c r="AR35" s="45">
        <f t="shared" si="15"/>
        <v>0.88528571428571423</v>
      </c>
      <c r="AS35" s="75">
        <v>7000</v>
      </c>
      <c r="AT35" s="75">
        <v>14401</v>
      </c>
      <c r="AU35" s="75">
        <f>IF(AT35&gt;0,SUM(AT$7:AT35)-SUM(AS$7:AS35),0)</f>
        <v>46732</v>
      </c>
      <c r="AV35" s="45">
        <f t="shared" si="16"/>
        <v>2.0572857142857144</v>
      </c>
      <c r="AW35" s="75">
        <v>7000</v>
      </c>
      <c r="AX35" s="75">
        <v>11086</v>
      </c>
      <c r="AY35" s="75">
        <f>IF(AX35&gt;0,SUM(AX$7:AX35)-SUM(AW$7:AW35),0)</f>
        <v>58820</v>
      </c>
      <c r="AZ35" s="45">
        <f t="shared" si="24"/>
        <v>1.5837142857142856</v>
      </c>
      <c r="BA35" s="35">
        <f t="shared" si="4"/>
        <v>21000</v>
      </c>
      <c r="BB35" s="35">
        <f t="shared" si="4"/>
        <v>31684</v>
      </c>
      <c r="BC35" s="35">
        <f>IF(BB35&gt;0,SUM(BB$7:BB35)-SUM(BA$7:BA35),0)</f>
        <v>130324</v>
      </c>
      <c r="BD35" s="45">
        <f t="shared" si="17"/>
        <v>1.5087619047619047</v>
      </c>
      <c r="BF35" s="47">
        <f t="shared" si="18"/>
        <v>40845</v>
      </c>
      <c r="BG35" s="54" t="s">
        <v>24</v>
      </c>
      <c r="BH35" s="75">
        <v>22000</v>
      </c>
      <c r="BI35" s="75">
        <v>15036</v>
      </c>
      <c r="BJ35" s="75">
        <f>IF(BI35&gt;0,SUM(BI$7:BI35)-SUM(BH$7:BH35),0)</f>
        <v>-85288</v>
      </c>
      <c r="BK35" s="45">
        <f t="shared" si="19"/>
        <v>0.68345454545454543</v>
      </c>
      <c r="BL35" s="75">
        <v>8000</v>
      </c>
      <c r="BM35" s="75">
        <v>16640</v>
      </c>
      <c r="BN35" s="75">
        <f>IF(BM35&gt;0,SUM(BM$7:BM35)-SUM(BL$7:BL35),0)</f>
        <v>10739</v>
      </c>
      <c r="BO35" s="45">
        <f t="shared" si="20"/>
        <v>2.08</v>
      </c>
      <c r="BP35" s="75">
        <v>12000</v>
      </c>
      <c r="BQ35" s="75">
        <v>17708</v>
      </c>
      <c r="BR35" s="75">
        <f>IF(BQ35&gt;0,SUM(BQ$7:BQ35)-SUM(BP$7:BP35),0)</f>
        <v>-20662</v>
      </c>
      <c r="BS35" s="45">
        <f t="shared" si="25"/>
        <v>1.4756666666666667</v>
      </c>
      <c r="BT35" s="35">
        <f t="shared" si="5"/>
        <v>42000</v>
      </c>
      <c r="BU35" s="35">
        <f t="shared" si="5"/>
        <v>49384</v>
      </c>
      <c r="BV35" s="35">
        <f>IF(BU35&gt;0,SUM(BU$7:BU35)-SUM(BT$7:BT35),0)</f>
        <v>-95211</v>
      </c>
      <c r="BW35" s="45">
        <f t="shared" si="21"/>
        <v>1.1758095238095239</v>
      </c>
      <c r="BY35" s="47">
        <f t="shared" si="22"/>
        <v>40845</v>
      </c>
      <c r="BZ35" s="54" t="s">
        <v>24</v>
      </c>
      <c r="CA35" s="75">
        <v>5000</v>
      </c>
      <c r="CB35" s="75">
        <v>4820</v>
      </c>
      <c r="CC35" s="75">
        <f>IF(CB35&gt;0,SUM(CB$7:CB35)-SUM(CA$7:CA35),0)</f>
        <v>-6807</v>
      </c>
      <c r="CD35" s="45">
        <f t="shared" si="23"/>
        <v>0.96399999999999997</v>
      </c>
    </row>
    <row r="36" spans="1:82" x14ac:dyDescent="0.25">
      <c r="A36" s="47">
        <f t="shared" si="6"/>
        <v>40846</v>
      </c>
      <c r="B36" s="54" t="s">
        <v>25</v>
      </c>
      <c r="C36" s="75"/>
      <c r="D36" s="75"/>
      <c r="E36" s="75">
        <f>IF(D36&gt;0,SUM(D$7:D36)-SUM(C$7:C36),0)</f>
        <v>0</v>
      </c>
      <c r="F36" s="45">
        <f t="shared" si="7"/>
        <v>0</v>
      </c>
      <c r="G36" s="7"/>
      <c r="H36" s="75"/>
      <c r="I36" s="75">
        <f>IF(H36&gt;0,SUM(H$7:H36)-SUM(G$7:G36),0)</f>
        <v>0</v>
      </c>
      <c r="J36" s="45">
        <f t="shared" si="26"/>
        <v>0</v>
      </c>
      <c r="K36" s="75"/>
      <c r="L36" s="75"/>
      <c r="M36" s="75">
        <f>IF(L36&gt;0,SUM(L$7:L36)-SUM(K$7:K36),0)</f>
        <v>0</v>
      </c>
      <c r="N36" s="45">
        <f t="shared" si="28"/>
        <v>0</v>
      </c>
      <c r="O36" s="35">
        <f t="shared" si="27"/>
        <v>0</v>
      </c>
      <c r="P36" s="35">
        <f t="shared" si="2"/>
        <v>0</v>
      </c>
      <c r="Q36" s="35">
        <f>IF(P36&gt;0,SUM(P$7:P36)-SUM(O$7:O36),0)</f>
        <v>0</v>
      </c>
      <c r="R36" s="45">
        <f t="shared" si="8"/>
        <v>0</v>
      </c>
      <c r="T36" s="47">
        <f t="shared" si="9"/>
        <v>40846</v>
      </c>
      <c r="U36" s="54" t="s">
        <v>25</v>
      </c>
      <c r="V36" s="75"/>
      <c r="W36" s="75"/>
      <c r="X36" s="76">
        <f>IF(W36&gt;0,SUM(W$7:W36)-SUM(V$7:V36),0)</f>
        <v>0</v>
      </c>
      <c r="Y36" s="60">
        <f t="shared" si="10"/>
        <v>0</v>
      </c>
      <c r="Z36" s="75"/>
      <c r="AA36" s="75">
        <v>10036</v>
      </c>
      <c r="AB36" s="76">
        <f>IF(AA36&gt;0,SUM(AA$7:AA36)-SUM(Z$7:Z36),0)</f>
        <v>-49854</v>
      </c>
      <c r="AC36" s="60">
        <f t="shared" si="11"/>
        <v>0</v>
      </c>
      <c r="AD36" s="75"/>
      <c r="AE36" s="75"/>
      <c r="AF36" s="76">
        <f>IF(AE36&gt;0,SUM(AE$7:AE36)-SUM(AD$7:AD36),0)</f>
        <v>0</v>
      </c>
      <c r="AG36" s="60">
        <f t="shared" si="12"/>
        <v>0</v>
      </c>
      <c r="AH36" s="41">
        <f t="shared" si="3"/>
        <v>0</v>
      </c>
      <c r="AI36" s="41">
        <f t="shared" si="3"/>
        <v>10036</v>
      </c>
      <c r="AJ36" s="41">
        <f>IF(AI36&gt;0,SUM(AI$7:AI36)-SUM(AH$7:AH36),0)</f>
        <v>-85314</v>
      </c>
      <c r="AK36" s="60">
        <f t="shared" si="13"/>
        <v>0</v>
      </c>
      <c r="AM36" s="47">
        <f t="shared" si="14"/>
        <v>40846</v>
      </c>
      <c r="AN36" s="54" t="s">
        <v>25</v>
      </c>
      <c r="AO36" s="75"/>
      <c r="AP36" s="75"/>
      <c r="AQ36" s="75">
        <f>IF(AP36&gt;0,SUM(AP$7:AP36)-SUM(AO$7:AO36),0)</f>
        <v>0</v>
      </c>
      <c r="AR36" s="45">
        <f t="shared" si="15"/>
        <v>0</v>
      </c>
      <c r="AS36" s="75"/>
      <c r="AT36" s="75"/>
      <c r="AU36" s="75">
        <f>IF(AT36&gt;0,SUM(AT$7:AT36)-SUM(AS$7:AS36),0)</f>
        <v>0</v>
      </c>
      <c r="AV36" s="45">
        <f t="shared" si="16"/>
        <v>0</v>
      </c>
      <c r="AW36" s="75"/>
      <c r="AX36" s="75"/>
      <c r="AY36" s="75">
        <f>IF(AX36&gt;0,SUM(AX$7:AX36)-SUM(AW$7:AW36),0)</f>
        <v>0</v>
      </c>
      <c r="AZ36" s="45">
        <f t="shared" si="24"/>
        <v>0</v>
      </c>
      <c r="BA36" s="35">
        <f t="shared" si="4"/>
        <v>0</v>
      </c>
      <c r="BB36" s="35">
        <f t="shared" si="4"/>
        <v>0</v>
      </c>
      <c r="BC36" s="35">
        <f>IF(BB36&gt;0,SUM(BB$7:BB36)-SUM(BA$7:BA36),0)</f>
        <v>0</v>
      </c>
      <c r="BD36" s="45">
        <f t="shared" si="17"/>
        <v>0</v>
      </c>
      <c r="BF36" s="47">
        <f t="shared" si="18"/>
        <v>40846</v>
      </c>
      <c r="BG36" s="54" t="s">
        <v>25</v>
      </c>
      <c r="BH36" s="75"/>
      <c r="BI36" s="75"/>
      <c r="BJ36" s="75">
        <f>IF(BI36&gt;0,SUM(BI$7:BI36)-SUM(BH$7:BH36),0)</f>
        <v>0</v>
      </c>
      <c r="BK36" s="45">
        <f t="shared" si="19"/>
        <v>0</v>
      </c>
      <c r="BL36" s="75"/>
      <c r="BM36" s="75"/>
      <c r="BN36" s="75">
        <f>IF(BM36&gt;0,SUM(BM$7:BM36)-SUM(BL$7:BL36),0)</f>
        <v>0</v>
      </c>
      <c r="BO36" s="45">
        <f t="shared" si="20"/>
        <v>0</v>
      </c>
      <c r="BP36" s="75"/>
      <c r="BQ36" s="75"/>
      <c r="BR36" s="75">
        <f>IF(BQ36&gt;0,SUM(BQ$7:BQ36)-SUM(BP$7:BP36),0)</f>
        <v>0</v>
      </c>
      <c r="BS36" s="45">
        <f t="shared" si="25"/>
        <v>0</v>
      </c>
      <c r="BT36" s="35">
        <f t="shared" si="5"/>
        <v>0</v>
      </c>
      <c r="BU36" s="35">
        <f t="shared" si="5"/>
        <v>0</v>
      </c>
      <c r="BV36" s="35">
        <f>IF(BU36&gt;0,SUM(BU$7:BU36)-SUM(BT$7:BT36),0)</f>
        <v>0</v>
      </c>
      <c r="BW36" s="45">
        <f t="shared" si="21"/>
        <v>0</v>
      </c>
      <c r="BY36" s="47">
        <f t="shared" si="22"/>
        <v>40846</v>
      </c>
      <c r="BZ36" s="54" t="s">
        <v>25</v>
      </c>
      <c r="CA36" s="75"/>
      <c r="CB36" s="75"/>
      <c r="CC36" s="75">
        <f>IF(CB36&gt;0,SUM(CB$7:CB36)-SUM(CA$7:CA36),0)</f>
        <v>0</v>
      </c>
      <c r="CD36" s="45">
        <f t="shared" si="23"/>
        <v>0</v>
      </c>
    </row>
    <row r="37" spans="1:82" x14ac:dyDescent="0.25">
      <c r="A37" s="47">
        <v>31</v>
      </c>
      <c r="B37" s="54" t="s">
        <v>26</v>
      </c>
      <c r="C37" s="75"/>
      <c r="D37" s="75"/>
      <c r="E37" s="75">
        <f>IF(D37&gt;0,SUM(D$7:D37)-SUM(C$7:C37),0)</f>
        <v>0</v>
      </c>
      <c r="F37" s="45">
        <f t="shared" si="7"/>
        <v>0</v>
      </c>
      <c r="G37" s="75"/>
      <c r="H37" s="75"/>
      <c r="I37" s="75">
        <f>IF(H37&gt;0,SUM(H$7:H37)-SUM(G$7:G37),0)</f>
        <v>0</v>
      </c>
      <c r="J37" s="45">
        <f>IF(H37&gt;0,IF(G37&gt;0,H37/G37,0),0)</f>
        <v>0</v>
      </c>
      <c r="K37" s="75"/>
      <c r="L37" s="75"/>
      <c r="M37" s="75">
        <f>IF(L37&gt;0,SUM(L$7:L37)-SUM(K$7:K37),0)</f>
        <v>0</v>
      </c>
      <c r="N37" s="45">
        <f t="shared" si="28"/>
        <v>0</v>
      </c>
      <c r="O37" s="35">
        <f t="shared" si="2"/>
        <v>0</v>
      </c>
      <c r="P37" s="35">
        <f t="shared" si="2"/>
        <v>0</v>
      </c>
      <c r="Q37" s="35">
        <f>IF(P37&gt;0,SUM(P$7:P37)-SUM(O$7:O37),0)</f>
        <v>0</v>
      </c>
      <c r="R37" s="45">
        <f t="shared" si="8"/>
        <v>0</v>
      </c>
      <c r="T37" s="47">
        <v>31</v>
      </c>
      <c r="U37" s="54" t="s">
        <v>26</v>
      </c>
      <c r="V37" s="75"/>
      <c r="W37" s="75"/>
      <c r="X37" s="76">
        <f>IF(W37&gt;0,SUM(W$7:W37)-SUM(V$7:V37),0)</f>
        <v>0</v>
      </c>
      <c r="Y37" s="60">
        <f t="shared" si="10"/>
        <v>0</v>
      </c>
      <c r="Z37" s="75"/>
      <c r="AA37" s="75"/>
      <c r="AB37" s="76">
        <f>IF(AA37&gt;0,SUM(AA$7:AA37)-SUM(Z$7:Z37),0)</f>
        <v>0</v>
      </c>
      <c r="AC37" s="60">
        <f t="shared" si="11"/>
        <v>0</v>
      </c>
      <c r="AD37" s="75"/>
      <c r="AE37" s="75"/>
      <c r="AF37" s="76">
        <f>IF(AE37&gt;0,SUM(AE$7:AE37)-SUM(AD$7:AD37),0)</f>
        <v>0</v>
      </c>
      <c r="AG37" s="60">
        <f t="shared" si="12"/>
        <v>0</v>
      </c>
      <c r="AH37" s="41">
        <f t="shared" si="3"/>
        <v>0</v>
      </c>
      <c r="AI37" s="41">
        <f t="shared" si="3"/>
        <v>0</v>
      </c>
      <c r="AJ37" s="41">
        <f>IF(AI37&gt;0,SUM(AI$7:AI37)-SUM(AH$7:AH37),0)</f>
        <v>0</v>
      </c>
      <c r="AK37" s="60">
        <f t="shared" si="13"/>
        <v>0</v>
      </c>
      <c r="AM37" s="47">
        <v>31</v>
      </c>
      <c r="AN37" s="54" t="s">
        <v>26</v>
      </c>
      <c r="AO37" s="75"/>
      <c r="AP37" s="75"/>
      <c r="AQ37" s="75">
        <f>IF(AP37&gt;0,SUM(AP$7:AP37)-SUM(AO$7:AO37),0)</f>
        <v>0</v>
      </c>
      <c r="AR37" s="45">
        <f t="shared" si="15"/>
        <v>0</v>
      </c>
      <c r="AS37" s="75"/>
      <c r="AT37" s="75"/>
      <c r="AU37" s="75">
        <f>IF(AT37&gt;0,SUM(AT$7:AT37)-SUM(AS$7:AS37),0)</f>
        <v>0</v>
      </c>
      <c r="AV37" s="45">
        <f t="shared" si="16"/>
        <v>0</v>
      </c>
      <c r="AW37" s="75"/>
      <c r="AX37" s="75"/>
      <c r="AY37" s="75">
        <f>IF(AX37&gt;0,SUM(AX$7:AX37)-SUM(AW$7:AW37),0)</f>
        <v>0</v>
      </c>
      <c r="AZ37" s="45">
        <f t="shared" si="24"/>
        <v>0</v>
      </c>
      <c r="BA37" s="35">
        <f t="shared" si="4"/>
        <v>0</v>
      </c>
      <c r="BB37" s="35">
        <f t="shared" si="4"/>
        <v>0</v>
      </c>
      <c r="BC37" s="35">
        <f>IF(BB37&gt;0,SUM(BB$7:BB37)-SUM(BA$7:BA37),0)</f>
        <v>0</v>
      </c>
      <c r="BD37" s="45">
        <f t="shared" si="17"/>
        <v>0</v>
      </c>
      <c r="BF37" s="47">
        <v>31</v>
      </c>
      <c r="BG37" s="54" t="s">
        <v>26</v>
      </c>
      <c r="BH37" s="75"/>
      <c r="BI37" s="75"/>
      <c r="BJ37" s="75">
        <f>IF(BI37&gt;0,SUM(BI$7:BI37)-SUM(BH$7:BH37),0)</f>
        <v>0</v>
      </c>
      <c r="BK37" s="45">
        <f t="shared" si="19"/>
        <v>0</v>
      </c>
      <c r="BL37" s="75"/>
      <c r="BM37" s="75"/>
      <c r="BN37" s="75">
        <f>IF(BM37&gt;0,SUM(BM$7:BM37)-SUM(BL$7:BL37),0)</f>
        <v>0</v>
      </c>
      <c r="BO37" s="45">
        <f t="shared" si="20"/>
        <v>0</v>
      </c>
      <c r="BP37" s="75"/>
      <c r="BQ37" s="75"/>
      <c r="BR37" s="75">
        <f>IF(BQ37&gt;0,SUM(BQ$7:BQ37)-SUM(BP$7:BP37),0)</f>
        <v>0</v>
      </c>
      <c r="BS37" s="45">
        <f t="shared" si="25"/>
        <v>0</v>
      </c>
      <c r="BT37" s="35">
        <f t="shared" si="5"/>
        <v>0</v>
      </c>
      <c r="BU37" s="35">
        <f t="shared" si="5"/>
        <v>0</v>
      </c>
      <c r="BV37" s="35">
        <f>IF(BU37&gt;0,SUM(BU$7:BU37)-SUM(BT$7:BT37),0)</f>
        <v>0</v>
      </c>
      <c r="BW37" s="45">
        <f t="shared" si="21"/>
        <v>0</v>
      </c>
      <c r="BY37" s="47">
        <v>31</v>
      </c>
      <c r="BZ37" s="54" t="s">
        <v>26</v>
      </c>
      <c r="CA37" s="75"/>
      <c r="CB37" s="75"/>
      <c r="CC37" s="75">
        <f>IF(CB37&gt;0,SUM(CB$7:CB37)-SUM(CA$7:CA37),0)</f>
        <v>0</v>
      </c>
      <c r="CD37" s="45">
        <f t="shared" si="23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300000</v>
      </c>
      <c r="D38" s="78">
        <f>SUM(D7:D37)</f>
        <v>312354</v>
      </c>
      <c r="E38" s="78">
        <f>D38-C38</f>
        <v>12354</v>
      </c>
      <c r="F38" s="53">
        <f t="shared" si="7"/>
        <v>1.04118</v>
      </c>
      <c r="G38" s="78">
        <f>SUM(G7:G37)</f>
        <v>0</v>
      </c>
      <c r="H38" s="78">
        <f>SUM(H7:H37)</f>
        <v>0</v>
      </c>
      <c r="I38" s="78">
        <f>H38-G38</f>
        <v>0</v>
      </c>
      <c r="J38" s="53">
        <f>IF(H38&gt;0,IF(G38&gt;0,H38/G38,0),0)</f>
        <v>0</v>
      </c>
      <c r="K38" s="78">
        <f>SUM(K7:K37)</f>
        <v>300000</v>
      </c>
      <c r="L38" s="78">
        <f>SUM(L7:L37)</f>
        <v>279367</v>
      </c>
      <c r="M38" s="78">
        <f>L38-K38</f>
        <v>-20633</v>
      </c>
      <c r="N38" s="45">
        <f t="shared" si="28"/>
        <v>0.93122333333333329</v>
      </c>
      <c r="O38" s="58">
        <f t="shared" si="2"/>
        <v>600000</v>
      </c>
      <c r="P38" s="58">
        <f t="shared" si="2"/>
        <v>591721</v>
      </c>
      <c r="Q38" s="58">
        <f>P38-O38</f>
        <v>-8279</v>
      </c>
      <c r="R38" s="53">
        <f t="shared" si="8"/>
        <v>0.98620166666666664</v>
      </c>
      <c r="T38" s="46" t="s">
        <v>17</v>
      </c>
      <c r="U38" s="63"/>
      <c r="V38" s="79">
        <f>SUM(V7:V37)</f>
        <v>280000</v>
      </c>
      <c r="W38" s="79">
        <f>SUM(W7:W37)</f>
        <v>250462</v>
      </c>
      <c r="X38" s="79">
        <f>W38-V38</f>
        <v>-29538</v>
      </c>
      <c r="Y38" s="61">
        <f t="shared" si="10"/>
        <v>0.89450714285714283</v>
      </c>
      <c r="Z38" s="79">
        <f>SUM(Z7:Z37)</f>
        <v>280000</v>
      </c>
      <c r="AA38" s="79">
        <f>SUM(AA7:AA37)</f>
        <v>230146</v>
      </c>
      <c r="AB38" s="79">
        <f>AA38-Z38</f>
        <v>-49854</v>
      </c>
      <c r="AC38" s="61">
        <f t="shared" si="11"/>
        <v>0.82194999999999996</v>
      </c>
      <c r="AD38" s="79">
        <f>SUM(AD7:AD37)</f>
        <v>280000</v>
      </c>
      <c r="AE38" s="79">
        <f>SUM(AE7:AE37)</f>
        <v>274078</v>
      </c>
      <c r="AF38" s="79">
        <f>AE38-AD38</f>
        <v>-5922</v>
      </c>
      <c r="AG38" s="61">
        <f t="shared" si="12"/>
        <v>0.97885</v>
      </c>
      <c r="AH38" s="62">
        <f t="shared" si="3"/>
        <v>840000</v>
      </c>
      <c r="AI38" s="62">
        <f t="shared" si="3"/>
        <v>754686</v>
      </c>
      <c r="AJ38" s="62">
        <f>AI38-AH38</f>
        <v>-85314</v>
      </c>
      <c r="AK38" s="61">
        <f t="shared" si="13"/>
        <v>0.89843571428571434</v>
      </c>
      <c r="AM38" s="46" t="s">
        <v>17</v>
      </c>
      <c r="AN38" s="63"/>
      <c r="AO38" s="78">
        <f>SUM(AO7:AO37)</f>
        <v>140000</v>
      </c>
      <c r="AP38" s="78">
        <f>SUM(AP7:AP37)</f>
        <v>164772</v>
      </c>
      <c r="AQ38" s="78">
        <f>AP38-AO38</f>
        <v>24772</v>
      </c>
      <c r="AR38" s="53">
        <f t="shared" si="15"/>
        <v>1.1769428571428571</v>
      </c>
      <c r="AS38" s="78">
        <f>SUM(AS7:AS37)</f>
        <v>140000</v>
      </c>
      <c r="AT38" s="78">
        <f>SUM(AT7:AT37)</f>
        <v>186732</v>
      </c>
      <c r="AU38" s="78">
        <f>AT38-AS38</f>
        <v>46732</v>
      </c>
      <c r="AV38" s="53">
        <f t="shared" si="16"/>
        <v>1.3338000000000001</v>
      </c>
      <c r="AW38" s="78">
        <f>SUM(AW7:AW37)</f>
        <v>140000</v>
      </c>
      <c r="AX38" s="78">
        <f>SUM(AX7:AX37)</f>
        <v>198820</v>
      </c>
      <c r="AY38" s="78">
        <f>AX38-AW38</f>
        <v>58820</v>
      </c>
      <c r="AZ38" s="53">
        <f t="shared" si="24"/>
        <v>1.4201428571428572</v>
      </c>
      <c r="BA38" s="58">
        <f t="shared" si="4"/>
        <v>420000</v>
      </c>
      <c r="BB38" s="58">
        <f t="shared" si="4"/>
        <v>550324</v>
      </c>
      <c r="BC38" s="58">
        <f>BB38-BA38</f>
        <v>130324</v>
      </c>
      <c r="BD38" s="53">
        <f t="shared" si="17"/>
        <v>1.3102952380952382</v>
      </c>
      <c r="BF38" s="46" t="s">
        <v>17</v>
      </c>
      <c r="BG38" s="63"/>
      <c r="BH38" s="78">
        <f>SUM(BH7:BH37)</f>
        <v>440000</v>
      </c>
      <c r="BI38" s="78">
        <f>SUM(BI7:BI37)</f>
        <v>354712</v>
      </c>
      <c r="BJ38" s="78">
        <f>BI38-BH38</f>
        <v>-85288</v>
      </c>
      <c r="BK38" s="53">
        <f t="shared" si="19"/>
        <v>0.80616363636363642</v>
      </c>
      <c r="BL38" s="78">
        <f>SUM(BL7:BL37)</f>
        <v>160000</v>
      </c>
      <c r="BM38" s="78">
        <f>SUM(BM7:BM37)</f>
        <v>170739</v>
      </c>
      <c r="BN38" s="78">
        <f>BM38-BL38</f>
        <v>10739</v>
      </c>
      <c r="BO38" s="53">
        <f t="shared" si="20"/>
        <v>1.0671187499999999</v>
      </c>
      <c r="BP38" s="78">
        <f>SUM(BP7:BP37)</f>
        <v>240000</v>
      </c>
      <c r="BQ38" s="78">
        <f>SUM(BQ7:BQ37)</f>
        <v>219338</v>
      </c>
      <c r="BR38" s="78">
        <f>BQ38-BP38</f>
        <v>-20662</v>
      </c>
      <c r="BS38" s="53">
        <f t="shared" si="25"/>
        <v>0.91390833333333332</v>
      </c>
      <c r="BT38" s="58">
        <f t="shared" si="5"/>
        <v>840000</v>
      </c>
      <c r="BU38" s="58">
        <f t="shared" si="5"/>
        <v>744789</v>
      </c>
      <c r="BV38" s="58">
        <f>BU38-BT38</f>
        <v>-95211</v>
      </c>
      <c r="BW38" s="53">
        <f t="shared" si="21"/>
        <v>0.88665357142857137</v>
      </c>
      <c r="BY38" s="46" t="s">
        <v>17</v>
      </c>
      <c r="BZ38" s="63"/>
      <c r="CA38" s="78">
        <f>SUM(CA7:CA37)</f>
        <v>100000</v>
      </c>
      <c r="CB38" s="78">
        <f>SUM(CB7:CB37)</f>
        <v>93193</v>
      </c>
      <c r="CC38" s="75">
        <f>CA38-CB38</f>
        <v>6807</v>
      </c>
      <c r="CD38" s="53">
        <f t="shared" si="23"/>
        <v>0.93193000000000004</v>
      </c>
    </row>
    <row r="40" spans="1:82" x14ac:dyDescent="0.25">
      <c r="P40" s="82"/>
      <c r="AI40" s="82"/>
      <c r="BB40" s="82"/>
      <c r="BU40" s="82"/>
      <c r="CB40" s="82"/>
    </row>
    <row r="41" spans="1:82" x14ac:dyDescent="0.25">
      <c r="AI41" s="172"/>
      <c r="AJ41" s="172"/>
      <c r="AK41" s="172"/>
    </row>
  </sheetData>
  <mergeCells count="46">
    <mergeCell ref="AI41:AK41"/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</mergeCells>
  <conditionalFormatting sqref="D8">
    <cfRule type="top10" dxfId="187" priority="145" rank="1"/>
  </conditionalFormatting>
  <conditionalFormatting sqref="D7:E37">
    <cfRule type="top10" dxfId="186" priority="188" rank="1"/>
  </conditionalFormatting>
  <conditionalFormatting sqref="H7:H37">
    <cfRule type="top10" dxfId="185" priority="187" rank="1"/>
  </conditionalFormatting>
  <conditionalFormatting sqref="H8">
    <cfRule type="top10" dxfId="184" priority="144" rank="1"/>
  </conditionalFormatting>
  <conditionalFormatting sqref="H16">
    <cfRule type="top10" dxfId="183" priority="185" rank="1"/>
  </conditionalFormatting>
  <conditionalFormatting sqref="L7:L37">
    <cfRule type="top10" dxfId="182" priority="40" rank="1"/>
  </conditionalFormatting>
  <conditionalFormatting sqref="L8">
    <cfRule type="top10" dxfId="181" priority="39" rank="1"/>
  </conditionalFormatting>
  <conditionalFormatting sqref="P7:Q37">
    <cfRule type="top10" dxfId="180" priority="186" rank="1"/>
  </conditionalFormatting>
  <conditionalFormatting sqref="W7:W37">
    <cfRule type="top10" dxfId="179" priority="38" rank="1"/>
  </conditionalFormatting>
  <conditionalFormatting sqref="W8">
    <cfRule type="top10" dxfId="178" priority="37" rank="1"/>
  </conditionalFormatting>
  <conditionalFormatting sqref="X7:X37">
    <cfRule type="top10" dxfId="177" priority="184" rank="1"/>
  </conditionalFormatting>
  <conditionalFormatting sqref="AA7:AA23 AA25:AA37">
    <cfRule type="top10" dxfId="176" priority="36" rank="1"/>
  </conditionalFormatting>
  <conditionalFormatting sqref="AA8">
    <cfRule type="top10" dxfId="175" priority="35" rank="1"/>
  </conditionalFormatting>
  <conditionalFormatting sqref="AA24">
    <cfRule type="top10" dxfId="174" priority="18" rank="1"/>
  </conditionalFormatting>
  <conditionalFormatting sqref="AE7:AE37">
    <cfRule type="top10" dxfId="173" priority="20" rank="1"/>
  </conditionalFormatting>
  <conditionalFormatting sqref="AE8">
    <cfRule type="top10" dxfId="172" priority="19" rank="1"/>
  </conditionalFormatting>
  <conditionalFormatting sqref="AI7:AJ37">
    <cfRule type="top10" dxfId="171" priority="183" rank="1"/>
  </conditionalFormatting>
  <conditionalFormatting sqref="AP7:AP37">
    <cfRule type="top10" dxfId="170" priority="26" rank="1"/>
  </conditionalFormatting>
  <conditionalFormatting sqref="AP8">
    <cfRule type="top10" dxfId="169" priority="25" rank="1"/>
  </conditionalFormatting>
  <conditionalFormatting sqref="AQ7:AQ37">
    <cfRule type="top10" dxfId="168" priority="182" rank="1"/>
  </conditionalFormatting>
  <conditionalFormatting sqref="AT7:AT37">
    <cfRule type="top10" dxfId="167" priority="24" rank="1"/>
  </conditionalFormatting>
  <conditionalFormatting sqref="AT8">
    <cfRule type="top10" dxfId="166" priority="23" rank="1"/>
  </conditionalFormatting>
  <conditionalFormatting sqref="AX7:AX37">
    <cfRule type="top10" dxfId="165" priority="22" rank="1"/>
  </conditionalFormatting>
  <conditionalFormatting sqref="AX8">
    <cfRule type="top10" dxfId="164" priority="21" rank="1"/>
  </conditionalFormatting>
  <conditionalFormatting sqref="BB7:BC37">
    <cfRule type="top10" dxfId="163" priority="181" rank="1"/>
  </conditionalFormatting>
  <conditionalFormatting sqref="BH7:BH37">
    <cfRule type="top10" dxfId="162" priority="178" rank="1"/>
  </conditionalFormatting>
  <conditionalFormatting sqref="BI7:BI37">
    <cfRule type="top10" dxfId="161" priority="34" rank="1"/>
  </conditionalFormatting>
  <conditionalFormatting sqref="BI8">
    <cfRule type="top10" dxfId="160" priority="33" rank="1"/>
  </conditionalFormatting>
  <conditionalFormatting sqref="BJ7:BJ37">
    <cfRule type="top10" dxfId="159" priority="180" rank="1"/>
  </conditionalFormatting>
  <conditionalFormatting sqref="BL7:BL37">
    <cfRule type="top10" dxfId="158" priority="177" rank="1"/>
  </conditionalFormatting>
  <conditionalFormatting sqref="BL10:BL17">
    <cfRule type="top10" dxfId="157" priority="119" rank="1"/>
  </conditionalFormatting>
  <conditionalFormatting sqref="BL10:BL37">
    <cfRule type="top10" dxfId="156" priority="133" rank="1"/>
  </conditionalFormatting>
  <conditionalFormatting sqref="BL11:BL17">
    <cfRule type="top10" dxfId="155" priority="143" rank="1"/>
  </conditionalFormatting>
  <conditionalFormatting sqref="BL12:BL17">
    <cfRule type="top10" dxfId="154" priority="169" rank="1"/>
  </conditionalFormatting>
  <conditionalFormatting sqref="BL13:BL17">
    <cfRule type="top10" dxfId="153" priority="138" rank="1"/>
  </conditionalFormatting>
  <conditionalFormatting sqref="BL14">
    <cfRule type="top10" dxfId="152" priority="158" rank="1"/>
  </conditionalFormatting>
  <conditionalFormatting sqref="BL14:BL17">
    <cfRule type="top10" dxfId="151" priority="149" rank="1"/>
  </conditionalFormatting>
  <conditionalFormatting sqref="BL16:BL26">
    <cfRule type="top10" dxfId="150" priority="165" rank="1"/>
  </conditionalFormatting>
  <conditionalFormatting sqref="BL17:BL26">
    <cfRule type="top10" dxfId="149" priority="132" rank="1"/>
  </conditionalFormatting>
  <conditionalFormatting sqref="BL18">
    <cfRule type="top10" dxfId="148" priority="58" rank="1"/>
    <cfRule type="top10" dxfId="147" priority="57" rank="1"/>
  </conditionalFormatting>
  <conditionalFormatting sqref="BL18:BL26">
    <cfRule type="top10" dxfId="146" priority="142" rank="1"/>
  </conditionalFormatting>
  <conditionalFormatting sqref="BL19:BL26">
    <cfRule type="top10" dxfId="145" priority="168" rank="1"/>
  </conditionalFormatting>
  <conditionalFormatting sqref="BL20:BL23">
    <cfRule type="top10" dxfId="144" priority="126" rank="1"/>
  </conditionalFormatting>
  <conditionalFormatting sqref="BL20:BL24">
    <cfRule type="top10" dxfId="143" priority="122" rank="1"/>
  </conditionalFormatting>
  <conditionalFormatting sqref="BL20:BL26">
    <cfRule type="top10" dxfId="142" priority="137" rank="1"/>
  </conditionalFormatting>
  <conditionalFormatting sqref="BL21:BL26">
    <cfRule type="top10" dxfId="141" priority="148" rank="1"/>
  </conditionalFormatting>
  <conditionalFormatting sqref="BL22:BL24">
    <cfRule type="top10" dxfId="140" priority="81" rank="1"/>
    <cfRule type="top10" dxfId="139" priority="82" rank="1"/>
    <cfRule type="top10" dxfId="138" priority="80" rank="1"/>
    <cfRule type="top10" dxfId="137" priority="78" rank="1"/>
    <cfRule type="top10" dxfId="136" priority="79" rank="1"/>
  </conditionalFormatting>
  <conditionalFormatting sqref="BL22:BL26">
    <cfRule type="top10" dxfId="135" priority="141" rank="1"/>
  </conditionalFormatting>
  <conditionalFormatting sqref="BL23:BL31">
    <cfRule type="top10" dxfId="134" priority="164" rank="1"/>
  </conditionalFormatting>
  <conditionalFormatting sqref="BL24:BL33">
    <cfRule type="top10" dxfId="133" priority="131" rank="1"/>
  </conditionalFormatting>
  <conditionalFormatting sqref="BL25">
    <cfRule type="top10" dxfId="132" priority="56" rank="1"/>
    <cfRule type="top10" dxfId="131" priority="55" rank="1"/>
  </conditionalFormatting>
  <conditionalFormatting sqref="BL25:BL31">
    <cfRule type="top10" dxfId="130" priority="118" rank="1"/>
  </conditionalFormatting>
  <conditionalFormatting sqref="BL25:BL33">
    <cfRule type="top10" dxfId="129" priority="140" rank="1"/>
  </conditionalFormatting>
  <conditionalFormatting sqref="BL26">
    <cfRule type="top10" dxfId="128" priority="74" rank="1"/>
    <cfRule type="top10" dxfId="127" priority="75" rank="1"/>
    <cfRule type="top10" dxfId="126" priority="76" rank="1"/>
    <cfRule type="top10" dxfId="125" priority="77" rank="1"/>
    <cfRule type="top10" dxfId="124" priority="73" rank="1"/>
  </conditionalFormatting>
  <conditionalFormatting sqref="BL26:BL34">
    <cfRule type="top10" dxfId="123" priority="167" rank="1"/>
  </conditionalFormatting>
  <conditionalFormatting sqref="BL27">
    <cfRule type="top10" dxfId="122" priority="6" rank="1"/>
    <cfRule type="top10" dxfId="121" priority="11" rank="1"/>
    <cfRule type="top10" dxfId="120" priority="17" rank="1"/>
    <cfRule type="top10" dxfId="119" priority="16" rank="1"/>
    <cfRule type="top10" dxfId="118" priority="15" rank="1"/>
    <cfRule type="top10" dxfId="117" priority="14" rank="1"/>
    <cfRule type="top10" dxfId="116" priority="13" rank="1"/>
    <cfRule type="top10" dxfId="115" priority="12" rank="1"/>
    <cfRule type="top10" dxfId="114" priority="10" rank="1"/>
    <cfRule type="top10" dxfId="113" priority="8" rank="1"/>
    <cfRule type="top10" dxfId="112" priority="7" rank="1"/>
    <cfRule type="top10" dxfId="111" priority="9" rank="1"/>
  </conditionalFormatting>
  <conditionalFormatting sqref="BL27:BL31">
    <cfRule type="top10" dxfId="110" priority="121" rank="1"/>
  </conditionalFormatting>
  <conditionalFormatting sqref="BL27:BL34">
    <cfRule type="top10" dxfId="109" priority="147" rank="1"/>
  </conditionalFormatting>
  <conditionalFormatting sqref="BL28:BL31">
    <cfRule type="top10" dxfId="108" priority="156" rank="1"/>
  </conditionalFormatting>
  <conditionalFormatting sqref="BL29:BL33">
    <cfRule type="top10" dxfId="107" priority="67" rank="1"/>
    <cfRule type="top10" dxfId="106" priority="68" rank="1"/>
    <cfRule type="top10" dxfId="105" priority="69" rank="1"/>
    <cfRule type="top10" dxfId="104" priority="70" rank="1"/>
    <cfRule type="top10" dxfId="103" priority="71" rank="1"/>
    <cfRule type="top10" dxfId="102" priority="86" rank="1"/>
    <cfRule type="top10" dxfId="101" priority="72" rank="1"/>
    <cfRule type="top10" dxfId="100" priority="66" rank="1"/>
  </conditionalFormatting>
  <conditionalFormatting sqref="BL30:BL35">
    <cfRule type="top10" dxfId="99" priority="163" rank="1"/>
  </conditionalFormatting>
  <conditionalFormatting sqref="BL31:BL34">
    <cfRule type="top10" dxfId="98" priority="130" rank="1"/>
  </conditionalFormatting>
  <conditionalFormatting sqref="BL31:BL35">
    <cfRule type="top10" dxfId="97" priority="117" rank="1"/>
  </conditionalFormatting>
  <conditionalFormatting sqref="BL32">
    <cfRule type="top10" dxfId="96" priority="53" rank="1"/>
    <cfRule type="top10" dxfId="95" priority="54" rank="1"/>
  </conditionalFormatting>
  <conditionalFormatting sqref="BL32:BL37">
    <cfRule type="top10" dxfId="94" priority="139" rank="1"/>
  </conditionalFormatting>
  <conditionalFormatting sqref="BL33:BL37">
    <cfRule type="top10" dxfId="93" priority="166" rank="1"/>
  </conditionalFormatting>
  <conditionalFormatting sqref="BL34:BL37">
    <cfRule type="top10" dxfId="92" priority="146" rank="1"/>
  </conditionalFormatting>
  <conditionalFormatting sqref="BL35">
    <cfRule type="top10" dxfId="91" priority="154" rank="1"/>
  </conditionalFormatting>
  <conditionalFormatting sqref="BL36">
    <cfRule type="top10" dxfId="90" priority="62" rank="1"/>
    <cfRule type="top10" dxfId="89" priority="63" rank="1"/>
    <cfRule type="top10" dxfId="88" priority="60" rank="1"/>
    <cfRule type="top10" dxfId="87" priority="85" rank="1"/>
    <cfRule type="top10" dxfId="86" priority="59" rank="1"/>
    <cfRule type="top10" dxfId="85" priority="65" rank="1"/>
    <cfRule type="top10" dxfId="84" priority="64" rank="1"/>
    <cfRule type="top10" dxfId="83" priority="61" rank="1"/>
  </conditionalFormatting>
  <conditionalFormatting sqref="BM7:BM37">
    <cfRule type="top10" dxfId="82" priority="32" rank="1"/>
  </conditionalFormatting>
  <conditionalFormatting sqref="BM8">
    <cfRule type="top10" dxfId="81" priority="31" rank="1"/>
  </conditionalFormatting>
  <conditionalFormatting sqref="BP7:BP37">
    <cfRule type="top10" dxfId="80" priority="162" rank="1"/>
    <cfRule type="top10" dxfId="79" priority="176" rank="1"/>
    <cfRule type="top10" dxfId="78" priority="112" rank="1"/>
    <cfRule type="top10" dxfId="77" priority="175" rank="1"/>
  </conditionalFormatting>
  <conditionalFormatting sqref="BP10:BP14">
    <cfRule type="top10" dxfId="76" priority="97" rank="1"/>
  </conditionalFormatting>
  <conditionalFormatting sqref="BP10:BP17">
    <cfRule type="top10" dxfId="75" priority="87" rank="1"/>
  </conditionalFormatting>
  <conditionalFormatting sqref="BP10:BP37">
    <cfRule type="top10" dxfId="74" priority="100" rank="1"/>
  </conditionalFormatting>
  <conditionalFormatting sqref="BP11:BP17">
    <cfRule type="top10" dxfId="73" priority="107" rank="1"/>
  </conditionalFormatting>
  <conditionalFormatting sqref="BP12:BP17">
    <cfRule type="top10" dxfId="72" priority="115" rank="1"/>
  </conditionalFormatting>
  <conditionalFormatting sqref="BP12:BP18 BP20:BP24">
    <cfRule type="top10" dxfId="71" priority="173" rank="1"/>
  </conditionalFormatting>
  <conditionalFormatting sqref="BP13:BP14">
    <cfRule type="top10" dxfId="70" priority="123" rank="1"/>
  </conditionalFormatting>
  <conditionalFormatting sqref="BP13:BP17">
    <cfRule type="top10" dxfId="69" priority="102" rank="1"/>
  </conditionalFormatting>
  <conditionalFormatting sqref="BP13:BP18 BP20:BP24">
    <cfRule type="top10" dxfId="68" priority="136" rank="1"/>
  </conditionalFormatting>
  <conditionalFormatting sqref="BP14">
    <cfRule type="top10" dxfId="67" priority="157" rank="1"/>
  </conditionalFormatting>
  <conditionalFormatting sqref="BP14:BP17">
    <cfRule type="top10" dxfId="66" priority="110" rank="1"/>
  </conditionalFormatting>
  <conditionalFormatting sqref="BP16:BP18 BP20:BP21">
    <cfRule type="top10" dxfId="65" priority="161" rank="1"/>
  </conditionalFormatting>
  <conditionalFormatting sqref="BP16:BP21">
    <cfRule type="top10" dxfId="64" priority="111" rank="1"/>
  </conditionalFormatting>
  <conditionalFormatting sqref="BP16:BP23">
    <cfRule type="top10" dxfId="63" priority="93" rank="1"/>
  </conditionalFormatting>
  <conditionalFormatting sqref="BP17:BP18 BP20:BP21">
    <cfRule type="top10" dxfId="62" priority="129" rank="1"/>
  </conditionalFormatting>
  <conditionalFormatting sqref="BP17:BP20">
    <cfRule type="top10" dxfId="61" priority="96" rank="1"/>
  </conditionalFormatting>
  <conditionalFormatting sqref="BP17:BP21">
    <cfRule type="top10" dxfId="60" priority="99" rank="1"/>
  </conditionalFormatting>
  <conditionalFormatting sqref="BP17:BP23">
    <cfRule type="top10" dxfId="59" priority="89" rank="1"/>
  </conditionalFormatting>
  <conditionalFormatting sqref="BP18">
    <cfRule type="top10" dxfId="58" priority="52" rank="1"/>
    <cfRule type="top10" dxfId="57" priority="51" rank="1"/>
    <cfRule type="top10" dxfId="56" priority="50" rank="1"/>
    <cfRule type="top10" dxfId="55" priority="49" rank="1"/>
  </conditionalFormatting>
  <conditionalFormatting sqref="BP18:BP20">
    <cfRule type="top10" dxfId="54" priority="106" rank="1"/>
  </conditionalFormatting>
  <conditionalFormatting sqref="BP18:BP23">
    <cfRule type="top10" dxfId="53" priority="90" rank="1"/>
  </conditionalFormatting>
  <conditionalFormatting sqref="BP19:BP23">
    <cfRule type="top10" dxfId="52" priority="116" rank="1"/>
  </conditionalFormatting>
  <conditionalFormatting sqref="BP19:BP26">
    <cfRule type="top10" dxfId="51" priority="114" rank="1"/>
  </conditionalFormatting>
  <conditionalFormatting sqref="BP20:BP21">
    <cfRule type="top10" dxfId="50" priority="124" rank="1"/>
  </conditionalFormatting>
  <conditionalFormatting sqref="BP20:BP23">
    <cfRule type="top10" dxfId="49" priority="88" rank="1"/>
  </conditionalFormatting>
  <conditionalFormatting sqref="BP20:BP24">
    <cfRule type="top10" dxfId="48" priority="172" rank="1"/>
  </conditionalFormatting>
  <conditionalFormatting sqref="BP20:BP26">
    <cfRule type="top10" dxfId="47" priority="101" rank="1"/>
  </conditionalFormatting>
  <conditionalFormatting sqref="BP21:BP26">
    <cfRule type="top10" dxfId="46" priority="109" rank="1"/>
  </conditionalFormatting>
  <conditionalFormatting sqref="BP22:BP26">
    <cfRule type="top10" dxfId="45" priority="105" rank="1"/>
  </conditionalFormatting>
  <conditionalFormatting sqref="BP23:BP28">
    <cfRule type="top10" dxfId="44" priority="160" rank="1"/>
  </conditionalFormatting>
  <conditionalFormatting sqref="BP23:BP33">
    <cfRule type="top10" dxfId="43" priority="92" rank="1"/>
  </conditionalFormatting>
  <conditionalFormatting sqref="BP24:BP28">
    <cfRule type="top10" dxfId="42" priority="128" rank="1"/>
  </conditionalFormatting>
  <conditionalFormatting sqref="BP24:BP33">
    <cfRule type="top10" dxfId="41" priority="98" rank="1"/>
  </conditionalFormatting>
  <conditionalFormatting sqref="BP25">
    <cfRule type="top10" dxfId="40" priority="47" rank="1"/>
    <cfRule type="top10" dxfId="39" priority="48" rank="1"/>
    <cfRule type="top10" dxfId="38" priority="46" rank="1"/>
    <cfRule type="top10" dxfId="37" priority="45" rank="1"/>
  </conditionalFormatting>
  <conditionalFormatting sqref="BP25:BP28">
    <cfRule type="top10" dxfId="36" priority="95" rank="1"/>
  </conditionalFormatting>
  <conditionalFormatting sqref="BP25:BP33">
    <cfRule type="top10" dxfId="35" priority="104" rank="1"/>
  </conditionalFormatting>
  <conditionalFormatting sqref="BP26">
    <cfRule type="top10" dxfId="34" priority="151" rank="1"/>
  </conditionalFormatting>
  <conditionalFormatting sqref="BP26:BP33">
    <cfRule type="top10" dxfId="33" priority="171" rank="1"/>
  </conditionalFormatting>
  <conditionalFormatting sqref="BP26:BP34">
    <cfRule type="top10" dxfId="32" priority="113" rank="1"/>
  </conditionalFormatting>
  <conditionalFormatting sqref="BP27">
    <cfRule type="top10" dxfId="31" priority="1" rank="1"/>
    <cfRule type="top10" dxfId="30" priority="5" rank="1"/>
    <cfRule type="top10" dxfId="29" priority="4" rank="1"/>
    <cfRule type="top10" dxfId="28" priority="3" rank="1"/>
    <cfRule type="top10" dxfId="27" priority="2" rank="1"/>
  </conditionalFormatting>
  <conditionalFormatting sqref="BP27:BP28">
    <cfRule type="top10" dxfId="26" priority="125" rank="1"/>
  </conditionalFormatting>
  <conditionalFormatting sqref="BP27:BP31">
    <cfRule type="top10" dxfId="25" priority="120" rank="1"/>
  </conditionalFormatting>
  <conditionalFormatting sqref="BP27:BP33">
    <cfRule type="top10" dxfId="24" priority="135" rank="1"/>
  </conditionalFormatting>
  <conditionalFormatting sqref="BP27:BP34">
    <cfRule type="top10" dxfId="23" priority="108" rank="1"/>
  </conditionalFormatting>
  <conditionalFormatting sqref="BP28">
    <cfRule type="top10" dxfId="22" priority="155" rank="1"/>
  </conditionalFormatting>
  <conditionalFormatting sqref="BP28:BP31">
    <cfRule type="top10" dxfId="21" priority="91" rank="1"/>
  </conditionalFormatting>
  <conditionalFormatting sqref="BP29:BP33">
    <cfRule type="top10" dxfId="20" priority="84" rank="1"/>
  </conditionalFormatting>
  <conditionalFormatting sqref="BP30:BP35">
    <cfRule type="top10" dxfId="19" priority="159" rank="1"/>
  </conditionalFormatting>
  <conditionalFormatting sqref="BP31:BP34">
    <cfRule type="top10" dxfId="18" priority="127" rank="1"/>
  </conditionalFormatting>
  <conditionalFormatting sqref="BP31:BP35">
    <cfRule type="top10" dxfId="17" priority="94" rank="1"/>
  </conditionalFormatting>
  <conditionalFormatting sqref="BP32">
    <cfRule type="top10" dxfId="16" priority="44" rank="1"/>
    <cfRule type="top10" dxfId="15" priority="43" rank="1"/>
    <cfRule type="top10" dxfId="14" priority="42" rank="1"/>
    <cfRule type="top10" dxfId="13" priority="41" rank="1"/>
  </conditionalFormatting>
  <conditionalFormatting sqref="BP32:BP37">
    <cfRule type="top10" dxfId="12" priority="103" rank="1"/>
  </conditionalFormatting>
  <conditionalFormatting sqref="BP33">
    <cfRule type="top10" dxfId="11" priority="150" rank="1"/>
  </conditionalFormatting>
  <conditionalFormatting sqref="BP33:BP37">
    <cfRule type="top10" dxfId="10" priority="170" rank="1"/>
  </conditionalFormatting>
  <conditionalFormatting sqref="BP34:BP37">
    <cfRule type="top10" dxfId="9" priority="134" rank="1"/>
  </conditionalFormatting>
  <conditionalFormatting sqref="BP35">
    <cfRule type="top10" dxfId="8" priority="153" rank="1"/>
  </conditionalFormatting>
  <conditionalFormatting sqref="BP36">
    <cfRule type="top10" dxfId="7" priority="83" rank="1"/>
  </conditionalFormatting>
  <conditionalFormatting sqref="BP37">
    <cfRule type="top10" dxfId="6" priority="152" rank="1"/>
  </conditionalFormatting>
  <conditionalFormatting sqref="BQ7:BQ37">
    <cfRule type="top10" dxfId="5" priority="30" rank="1"/>
  </conditionalFormatting>
  <conditionalFormatting sqref="BQ8">
    <cfRule type="top10" dxfId="4" priority="29" rank="1"/>
  </conditionalFormatting>
  <conditionalFormatting sqref="BU7:BV37">
    <cfRule type="top10" dxfId="3" priority="179" rank="1"/>
  </conditionalFormatting>
  <conditionalFormatting sqref="CB7:CB37">
    <cfRule type="top10" dxfId="2" priority="28" rank="1"/>
  </conditionalFormatting>
  <conditionalFormatting sqref="CB8">
    <cfRule type="top10" dxfId="1" priority="27" rank="1"/>
  </conditionalFormatting>
  <conditionalFormatting sqref="CC7:CC38">
    <cfRule type="top10" dxfId="0" priority="174" rank="1"/>
  </conditionalFormatting>
  <printOptions horizontalCentered="1" verticalCentered="1"/>
  <pageMargins left="0.15748031496062992" right="0.15748031496062992" top="0.27559055118110237" bottom="0.19685039370078741" header="0.15748031496062992" footer="0.11811023622047245"/>
  <pageSetup paperSize="9" scale="81" orientation="landscape" r:id="rId1"/>
  <colBreaks count="3" manualBreakCount="3">
    <brk id="18" max="1048575" man="1"/>
    <brk id="37" max="37" man="1"/>
    <brk id="56" max="37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Plan108">
    <tabColor rgb="FF92D050"/>
  </sheetPr>
  <dimension ref="A1:L26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89">
        <v>42339</v>
      </c>
      <c r="C4" s="24">
        <v>66174</v>
      </c>
      <c r="D4" s="85">
        <f>(SUM(C4:C4)-(F4*1))</f>
        <v>1468.1176470588252</v>
      </c>
      <c r="E4" s="24">
        <f>C4/1</f>
        <v>66174</v>
      </c>
      <c r="F4" s="30">
        <f t="shared" ref="F4:F20" si="0">$F$21/$G$20</f>
        <v>64705.882352941175</v>
      </c>
      <c r="G4" s="20">
        <v>1</v>
      </c>
      <c r="H4" s="89">
        <v>42339</v>
      </c>
      <c r="I4" s="12">
        <v>54003</v>
      </c>
      <c r="J4" s="10">
        <f>(SUM(I4:I4)-(L4*G4))</f>
        <v>18708.882352941175</v>
      </c>
      <c r="K4" s="10">
        <f>I4/1</f>
        <v>54003</v>
      </c>
      <c r="L4" s="10">
        <f t="shared" ref="L4:L20" si="1">$L$21/$G$20</f>
        <v>35294.117647058825</v>
      </c>
    </row>
    <row r="5" spans="2:12" ht="20.100000000000001" customHeight="1" x14ac:dyDescent="0.2">
      <c r="B5" s="89">
        <v>42340</v>
      </c>
      <c r="C5" s="26">
        <v>19799</v>
      </c>
      <c r="D5" s="85">
        <f>(SUM(C$4:C5)-(F5*G5))</f>
        <v>-43438.76470588235</v>
      </c>
      <c r="E5" s="24">
        <f>SUM(C$4:C5)/G5</f>
        <v>42986.5</v>
      </c>
      <c r="F5" s="30">
        <f t="shared" si="0"/>
        <v>64705.882352941175</v>
      </c>
      <c r="G5" s="20">
        <f>G4+1</f>
        <v>2</v>
      </c>
      <c r="H5" s="89">
        <v>42340</v>
      </c>
      <c r="I5" s="21">
        <v>23448</v>
      </c>
      <c r="J5" s="85">
        <f>(SUM(I$4:I5)-(L5*G5))</f>
        <v>6862.7647058823495</v>
      </c>
      <c r="K5" s="10">
        <f>SUM(I$4:I5)/G5</f>
        <v>38725.5</v>
      </c>
      <c r="L5" s="10">
        <f t="shared" si="1"/>
        <v>35294.117647058825</v>
      </c>
    </row>
    <row r="6" spans="2:12" ht="20.100000000000001" customHeight="1" x14ac:dyDescent="0.2">
      <c r="B6" s="89">
        <v>42341</v>
      </c>
      <c r="C6" s="24">
        <v>46278</v>
      </c>
      <c r="D6" s="85">
        <f>(SUM(C$4:C6)-(F6*G6))</f>
        <v>-61866.647058823524</v>
      </c>
      <c r="E6" s="24">
        <f>SUM(C$4:C6)/G6</f>
        <v>44083.666666666664</v>
      </c>
      <c r="F6" s="30">
        <f t="shared" si="0"/>
        <v>64705.882352941175</v>
      </c>
      <c r="G6" s="20">
        <f>G5+1</f>
        <v>3</v>
      </c>
      <c r="H6" s="89">
        <v>42341</v>
      </c>
      <c r="I6" s="21">
        <v>40717</v>
      </c>
      <c r="J6" s="85">
        <f>(SUM(I$4:I6)-(L6*G6))</f>
        <v>12285.647058823524</v>
      </c>
      <c r="K6" s="10">
        <f>SUM(I$4:I6)/G6</f>
        <v>39389.333333333336</v>
      </c>
      <c r="L6" s="10">
        <f t="shared" si="1"/>
        <v>35294.117647058825</v>
      </c>
    </row>
    <row r="7" spans="2:12" ht="19.5" customHeight="1" x14ac:dyDescent="0.2">
      <c r="B7" s="89">
        <v>42342</v>
      </c>
      <c r="C7" s="24">
        <v>62632</v>
      </c>
      <c r="D7" s="85">
        <f>(SUM(C$4:C7)-(F7*G7))</f>
        <v>-63940.529411764699</v>
      </c>
      <c r="E7" s="24">
        <f>SUM(C$4:C7)/G7</f>
        <v>48720.75</v>
      </c>
      <c r="F7" s="30">
        <f t="shared" si="0"/>
        <v>64705.882352941175</v>
      </c>
      <c r="G7" s="20">
        <f>G6+1</f>
        <v>4</v>
      </c>
      <c r="H7" s="89">
        <v>42342</v>
      </c>
      <c r="I7" s="21">
        <v>29392</v>
      </c>
      <c r="J7" s="85">
        <f>(SUM(I$4:I7)-(L7*G7))</f>
        <v>6383.529411764699</v>
      </c>
      <c r="K7" s="10">
        <f>SUM(I$4:I7)/G7</f>
        <v>36890</v>
      </c>
      <c r="L7" s="10">
        <f t="shared" si="1"/>
        <v>35294.117647058825</v>
      </c>
    </row>
    <row r="8" spans="2:12" ht="20.100000000000001" customHeight="1" x14ac:dyDescent="0.2">
      <c r="B8" s="89">
        <v>42345</v>
      </c>
      <c r="C8" s="27">
        <v>54780</v>
      </c>
      <c r="D8" s="85">
        <f>(SUM(C$4:C8)-(F8*G8))</f>
        <v>-73866.411764705903</v>
      </c>
      <c r="E8" s="24">
        <f>SUM(C$4:C8)/G8</f>
        <v>49932.6</v>
      </c>
      <c r="F8" s="30">
        <f t="shared" si="0"/>
        <v>64705.882352941175</v>
      </c>
      <c r="G8" s="20">
        <f>G7+1</f>
        <v>5</v>
      </c>
      <c r="H8" s="89">
        <v>42345</v>
      </c>
      <c r="I8" s="22">
        <v>32904</v>
      </c>
      <c r="J8" s="85">
        <f>(SUM(I$4:I8)-(L8*G8))</f>
        <v>3993.4117647058738</v>
      </c>
      <c r="K8" s="10">
        <f>SUM(I$4:I8)/G8</f>
        <v>36092.800000000003</v>
      </c>
      <c r="L8" s="10">
        <f t="shared" si="1"/>
        <v>35294.117647058825</v>
      </c>
    </row>
    <row r="9" spans="2:12" ht="20.100000000000001" customHeight="1" x14ac:dyDescent="0.2">
      <c r="B9" s="89">
        <v>42346</v>
      </c>
      <c r="C9" s="27">
        <v>49494</v>
      </c>
      <c r="D9" s="85">
        <f>(SUM(C$4:C9)-(F9*G9))</f>
        <v>-89078.294117647049</v>
      </c>
      <c r="E9" s="24">
        <f>SUM(C$4:C9)/G9</f>
        <v>49859.5</v>
      </c>
      <c r="F9" s="30">
        <f t="shared" si="0"/>
        <v>64705.882352941175</v>
      </c>
      <c r="G9" s="20">
        <f>G8+1</f>
        <v>6</v>
      </c>
      <c r="H9" s="89">
        <v>42346</v>
      </c>
      <c r="I9" s="22">
        <v>34126</v>
      </c>
      <c r="J9" s="85">
        <f>(SUM(I$4:I9)-(L9*G9))</f>
        <v>2825.2941176470486</v>
      </c>
      <c r="K9" s="10">
        <f>SUM(I$4:I9)/G9</f>
        <v>35765</v>
      </c>
      <c r="L9" s="10">
        <f t="shared" si="1"/>
        <v>35294.117647058825</v>
      </c>
    </row>
    <row r="10" spans="2:12" ht="20.100000000000001" customHeight="1" x14ac:dyDescent="0.2">
      <c r="B10" s="89">
        <v>42347</v>
      </c>
      <c r="C10" s="24">
        <v>36027</v>
      </c>
      <c r="D10" s="85">
        <f>(SUM(C$4:C10)-(F10*G10))</f>
        <v>-117757.17647058819</v>
      </c>
      <c r="E10" s="24">
        <f>SUM(C$4:C10)/G10</f>
        <v>47883.428571428572</v>
      </c>
      <c r="F10" s="30">
        <f t="shared" si="0"/>
        <v>64705.882352941175</v>
      </c>
      <c r="G10" s="20">
        <v>7</v>
      </c>
      <c r="H10" s="89">
        <v>42347</v>
      </c>
      <c r="I10" s="21">
        <v>18098</v>
      </c>
      <c r="J10" s="85">
        <f>(SUM(I$4:I10)-(L10*G10))</f>
        <v>-14370.823529411777</v>
      </c>
      <c r="K10" s="10">
        <f>SUM(I$4:I10)/G10</f>
        <v>33241.142857142855</v>
      </c>
      <c r="L10" s="10">
        <f t="shared" si="1"/>
        <v>35294.117647058825</v>
      </c>
    </row>
    <row r="11" spans="2:12" ht="20.100000000000001" customHeight="1" x14ac:dyDescent="0.2">
      <c r="B11" s="89">
        <v>42348</v>
      </c>
      <c r="C11" s="24">
        <v>67009</v>
      </c>
      <c r="D11" s="85">
        <f>(SUM(C$4:C11)-(F11*G11))</f>
        <v>-115454.0588235294</v>
      </c>
      <c r="E11" s="24">
        <f>SUM(C$4:C11)/G11</f>
        <v>50274.125</v>
      </c>
      <c r="F11" s="30">
        <f t="shared" si="0"/>
        <v>64705.882352941175</v>
      </c>
      <c r="G11" s="20">
        <v>8</v>
      </c>
      <c r="H11" s="89">
        <v>42348</v>
      </c>
      <c r="I11" s="21">
        <v>42979</v>
      </c>
      <c r="J11" s="85">
        <f>(SUM(I$4:I11)-(L11*G11))</f>
        <v>-6685.9411764706019</v>
      </c>
      <c r="K11" s="10">
        <f>SUM(I$4:I11)/G11</f>
        <v>34458.375</v>
      </c>
      <c r="L11" s="10">
        <f t="shared" si="1"/>
        <v>35294.117647058825</v>
      </c>
    </row>
    <row r="12" spans="2:12" ht="20.100000000000001" customHeight="1" x14ac:dyDescent="0.2">
      <c r="B12" s="89">
        <v>42349</v>
      </c>
      <c r="C12" s="29">
        <v>70243</v>
      </c>
      <c r="D12" s="85">
        <f>(SUM(C$4:C12)-(F12*G12))</f>
        <v>-109916.9411764706</v>
      </c>
      <c r="E12" s="24">
        <f>SUM(C$4:C12)/G12</f>
        <v>52492.888888888891</v>
      </c>
      <c r="F12" s="30">
        <f t="shared" si="0"/>
        <v>64705.882352941175</v>
      </c>
      <c r="G12" s="20">
        <v>9</v>
      </c>
      <c r="H12" s="89">
        <v>42349</v>
      </c>
      <c r="I12" s="13">
        <v>63338</v>
      </c>
      <c r="J12" s="85">
        <f>(SUM(I$4:I12)-(L12*G12))</f>
        <v>21357.941176470602</v>
      </c>
      <c r="K12" s="10">
        <f>SUM(I$4:I12)/G12</f>
        <v>37667.222222222219</v>
      </c>
      <c r="L12" s="10">
        <f t="shared" si="1"/>
        <v>35294.117647058825</v>
      </c>
    </row>
    <row r="13" spans="2:12" ht="20.100000000000001" customHeight="1" x14ac:dyDescent="0.2">
      <c r="B13" s="89">
        <v>42352</v>
      </c>
      <c r="C13" s="24">
        <v>55579</v>
      </c>
      <c r="D13" s="85">
        <f>(SUM(C$4:C13)-(F13*G13))</f>
        <v>-119043.82352941181</v>
      </c>
      <c r="E13" s="24">
        <f>SUM(C$4:C13)/G13</f>
        <v>52801.5</v>
      </c>
      <c r="F13" s="30">
        <f t="shared" si="0"/>
        <v>64705.882352941175</v>
      </c>
      <c r="G13" s="20">
        <v>10</v>
      </c>
      <c r="H13" s="89">
        <v>42352</v>
      </c>
      <c r="I13" s="21">
        <v>32839</v>
      </c>
      <c r="J13" s="85">
        <f>(SUM(I$4:I13)-(L13*G13))</f>
        <v>18902.823529411748</v>
      </c>
      <c r="K13" s="10">
        <f>SUM(I$4:I13)/G13</f>
        <v>37184.400000000001</v>
      </c>
      <c r="L13" s="10">
        <f t="shared" si="1"/>
        <v>35294.117647058825</v>
      </c>
    </row>
    <row r="14" spans="2:12" ht="20.100000000000001" customHeight="1" x14ac:dyDescent="0.2">
      <c r="B14" s="89">
        <v>42353</v>
      </c>
      <c r="C14" s="29">
        <v>53404</v>
      </c>
      <c r="D14" s="85">
        <f>(SUM(C$4:C14)-(F14*G14))</f>
        <v>-130345.70588235289</v>
      </c>
      <c r="E14" s="24">
        <f>SUM(C$4:C14)/G14</f>
        <v>52856.272727272728</v>
      </c>
      <c r="F14" s="30">
        <f t="shared" si="0"/>
        <v>64705.882352941175</v>
      </c>
      <c r="G14" s="20">
        <v>11</v>
      </c>
      <c r="H14" s="89">
        <v>42353</v>
      </c>
      <c r="I14" s="13">
        <v>37318</v>
      </c>
      <c r="J14" s="85">
        <f>(SUM(I$4:I14)-(L14*G14))</f>
        <v>20926.705882352893</v>
      </c>
      <c r="K14" s="10">
        <f>SUM(I$4:I14)/G14</f>
        <v>37196.545454545456</v>
      </c>
      <c r="L14" s="10">
        <f t="shared" si="1"/>
        <v>35294.117647058825</v>
      </c>
    </row>
    <row r="15" spans="2:12" ht="20.100000000000001" customHeight="1" x14ac:dyDescent="0.2">
      <c r="B15" s="89">
        <v>42354</v>
      </c>
      <c r="C15" s="29">
        <v>58188</v>
      </c>
      <c r="D15" s="85">
        <f>(SUM(C$4:C15)-(F15*G15))</f>
        <v>-136863.5882352941</v>
      </c>
      <c r="E15" s="24">
        <f>SUM(C$4:C15)/G15</f>
        <v>53300.583333333336</v>
      </c>
      <c r="F15" s="30">
        <f t="shared" si="0"/>
        <v>64705.882352941175</v>
      </c>
      <c r="G15" s="20">
        <v>12</v>
      </c>
      <c r="H15" s="89">
        <v>42354</v>
      </c>
      <c r="I15" s="12">
        <v>28700</v>
      </c>
      <c r="J15" s="85">
        <f>(SUM(I$4:I15)-(L15*G15))</f>
        <v>14332.588235294097</v>
      </c>
      <c r="K15" s="10">
        <f>SUM(I$4:I15)/G15</f>
        <v>36488.5</v>
      </c>
      <c r="L15" s="10">
        <f t="shared" si="1"/>
        <v>35294.117647058825</v>
      </c>
    </row>
    <row r="16" spans="2:12" ht="20.100000000000001" customHeight="1" x14ac:dyDescent="0.2">
      <c r="B16" s="89">
        <v>42355</v>
      </c>
      <c r="C16" s="29">
        <v>63288</v>
      </c>
      <c r="D16" s="85">
        <f>(SUM(C$4:C16)-(F16*G16))</f>
        <v>-138281.4705882353</v>
      </c>
      <c r="E16" s="24">
        <f>SUM(C$4:C16)/G16</f>
        <v>54068.846153846156</v>
      </c>
      <c r="F16" s="30">
        <f t="shared" si="0"/>
        <v>64705.882352941175</v>
      </c>
      <c r="G16" s="20">
        <v>13</v>
      </c>
      <c r="H16" s="89">
        <v>42355</v>
      </c>
      <c r="I16" s="12">
        <v>19166</v>
      </c>
      <c r="J16" s="85">
        <f>(SUM(I$4:I16)-(L16*G16))</f>
        <v>-1795.529411764699</v>
      </c>
      <c r="K16" s="10">
        <f>SUM(I$4:I16)/G16</f>
        <v>35156</v>
      </c>
      <c r="L16" s="10">
        <f t="shared" si="1"/>
        <v>35294.117647058825</v>
      </c>
    </row>
    <row r="17" spans="1:12" ht="20.100000000000001" customHeight="1" x14ac:dyDescent="0.2">
      <c r="B17" s="89">
        <v>42356</v>
      </c>
      <c r="C17" s="29">
        <v>75837</v>
      </c>
      <c r="D17" s="85">
        <f>(SUM(C$4:C17)-(F17*G17))</f>
        <v>-127150.35294117639</v>
      </c>
      <c r="E17" s="24">
        <f>SUM(C$4:C17)/G17</f>
        <v>55623.714285714283</v>
      </c>
      <c r="F17" s="30">
        <f t="shared" si="0"/>
        <v>64705.882352941175</v>
      </c>
      <c r="G17" s="20">
        <v>14</v>
      </c>
      <c r="H17" s="89">
        <v>42356</v>
      </c>
      <c r="I17" s="12">
        <v>20367</v>
      </c>
      <c r="J17" s="85">
        <f>(SUM(I$4:I17)-(L17*G17))</f>
        <v>-16722.647058823553</v>
      </c>
      <c r="K17" s="10">
        <f>SUM(I$4:I17)/G17</f>
        <v>34099.642857142855</v>
      </c>
      <c r="L17" s="10">
        <f t="shared" si="1"/>
        <v>35294.117647058825</v>
      </c>
    </row>
    <row r="18" spans="1:12" ht="20.100000000000001" customHeight="1" x14ac:dyDescent="0.2">
      <c r="B18" s="89">
        <v>42359</v>
      </c>
      <c r="C18" s="29">
        <v>60804</v>
      </c>
      <c r="D18" s="85">
        <f>(SUM(C$4:C18)-(F18*G18))</f>
        <v>-131052.23529411759</v>
      </c>
      <c r="E18" s="24">
        <f>SUM(C$4:C18)/G18</f>
        <v>55969.066666666666</v>
      </c>
      <c r="F18" s="30">
        <f t="shared" si="0"/>
        <v>64705.882352941175</v>
      </c>
      <c r="G18" s="20">
        <v>15</v>
      </c>
      <c r="H18" s="89">
        <v>42359</v>
      </c>
      <c r="I18" s="12">
        <v>20627</v>
      </c>
      <c r="J18" s="85">
        <f>(SUM(I$4:I18)-(L18*G18))</f>
        <v>-31389.764705882408</v>
      </c>
      <c r="K18" s="10">
        <f>SUM(I$4:I18)/G18</f>
        <v>33201.466666666667</v>
      </c>
      <c r="L18" s="10">
        <f t="shared" si="1"/>
        <v>35294.117647058825</v>
      </c>
    </row>
    <row r="19" spans="1:12" ht="20.100000000000001" customHeight="1" x14ac:dyDescent="0.2">
      <c r="B19" s="89">
        <v>42360</v>
      </c>
      <c r="C19" s="29">
        <v>28765</v>
      </c>
      <c r="D19" s="85">
        <f>(SUM(C$4:C19)-(F19*G19))</f>
        <v>-166993.1176470588</v>
      </c>
      <c r="E19" s="24">
        <f>SUM(C$4:C19)/G19</f>
        <v>54268.8125</v>
      </c>
      <c r="F19" s="30">
        <f t="shared" si="0"/>
        <v>64705.882352941175</v>
      </c>
      <c r="G19" s="20">
        <v>16</v>
      </c>
      <c r="H19" s="89">
        <v>42360</v>
      </c>
      <c r="I19" s="12">
        <v>45625</v>
      </c>
      <c r="J19" s="85">
        <f>(SUM(I$4:I19)-(L19*G19))</f>
        <v>-21058.882352941204</v>
      </c>
      <c r="K19" s="10">
        <f>SUM(I$4:I19)/G19</f>
        <v>33977.9375</v>
      </c>
      <c r="L19" s="10">
        <f t="shared" si="1"/>
        <v>35294.117647058825</v>
      </c>
    </row>
    <row r="20" spans="1:12" ht="20.100000000000001" customHeight="1" x14ac:dyDescent="0.2">
      <c r="B20" s="89">
        <v>42361</v>
      </c>
      <c r="C20" s="29">
        <v>68617</v>
      </c>
      <c r="D20" s="85">
        <f>(SUM(C$4:C20)-(F20*G20))</f>
        <v>-163082</v>
      </c>
      <c r="E20" s="24">
        <f>SUM(C$4:C20)/G20</f>
        <v>55112.823529411762</v>
      </c>
      <c r="F20" s="30">
        <f t="shared" si="0"/>
        <v>64705.882352941175</v>
      </c>
      <c r="G20" s="20">
        <v>17</v>
      </c>
      <c r="H20" s="89">
        <v>42361</v>
      </c>
      <c r="I20" s="12">
        <v>43658</v>
      </c>
      <c r="J20" s="85">
        <f>(SUM(I$4:I20)-(L20*G20))</f>
        <v>-12695</v>
      </c>
      <c r="K20" s="10">
        <f>SUM(I$4:I20)/G20</f>
        <v>34547.352941176468</v>
      </c>
      <c r="L20" s="10">
        <f t="shared" si="1"/>
        <v>35294.117647058825</v>
      </c>
    </row>
    <row r="21" spans="1:12" ht="20.100000000000001" customHeight="1" x14ac:dyDescent="0.2">
      <c r="B21" s="19" t="s">
        <v>8</v>
      </c>
      <c r="C21" s="12">
        <f>SUM(C4:C20)</f>
        <v>936918</v>
      </c>
      <c r="D21" s="86"/>
      <c r="E21" s="23"/>
      <c r="F21" s="30">
        <v>1100000</v>
      </c>
      <c r="G21" s="18"/>
      <c r="H21" s="11" t="s">
        <v>8</v>
      </c>
      <c r="I21" s="12">
        <f>SUM(I4:I20)</f>
        <v>587305</v>
      </c>
      <c r="J21" s="8"/>
      <c r="K21" s="8"/>
      <c r="L21" s="10">
        <v>600000</v>
      </c>
    </row>
    <row r="22" spans="1:12" ht="19.5" customHeight="1" x14ac:dyDescent="0.2"/>
    <row r="23" spans="1:12" ht="19.5" customHeight="1" x14ac:dyDescent="0.2"/>
    <row r="25" spans="1:12" x14ac:dyDescent="0.2">
      <c r="A25" s="156"/>
      <c r="B25" s="156"/>
      <c r="C25" s="156"/>
      <c r="D25" s="156"/>
      <c r="I25" s="34"/>
      <c r="J25" s="32"/>
    </row>
    <row r="26" spans="1:12" x14ac:dyDescent="0.2">
      <c r="L26" s="33"/>
    </row>
  </sheetData>
  <mergeCells count="5">
    <mergeCell ref="B1:F1"/>
    <mergeCell ref="H1:L1"/>
    <mergeCell ref="B2:F2"/>
    <mergeCell ref="H2:L2"/>
    <mergeCell ref="A25:D25"/>
  </mergeCells>
  <conditionalFormatting sqref="D4:D20">
    <cfRule type="cellIs" dxfId="1815" priority="2" stopIfTrue="1" operator="lessThan">
      <formula>0</formula>
    </cfRule>
  </conditionalFormatting>
  <conditionalFormatting sqref="J4:J21">
    <cfRule type="cellIs" dxfId="1814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Plan110">
    <tabColor rgb="FF92D050"/>
  </sheetPr>
  <dimension ref="A1:L29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89">
        <v>42373</v>
      </c>
      <c r="C4" s="24">
        <v>43630</v>
      </c>
      <c r="D4" s="85">
        <f>(SUM(C4:C4)-(F4*1))</f>
        <v>-11370</v>
      </c>
      <c r="E4" s="24">
        <f>C4/1</f>
        <v>43630</v>
      </c>
      <c r="F4" s="30">
        <f t="shared" ref="F4:F23" si="0">$F$24/$G$23</f>
        <v>55000</v>
      </c>
      <c r="G4" s="20">
        <v>1</v>
      </c>
      <c r="H4" s="89">
        <v>42373</v>
      </c>
      <c r="I4" s="12">
        <v>16146</v>
      </c>
      <c r="J4" s="10">
        <f>(SUM(I4:I4)-(L4*G4))</f>
        <v>-16854</v>
      </c>
      <c r="K4" s="10">
        <f>I4/1</f>
        <v>16146</v>
      </c>
      <c r="L4" s="10">
        <f t="shared" ref="L4:L23" si="1">$L$24/$G$23</f>
        <v>33000</v>
      </c>
    </row>
    <row r="5" spans="2:12" ht="20.100000000000001" customHeight="1" x14ac:dyDescent="0.2">
      <c r="B5" s="89">
        <v>42374</v>
      </c>
      <c r="C5" s="26">
        <v>31430</v>
      </c>
      <c r="D5" s="85">
        <f>(SUM(C$4:C5)-(F5*G5))</f>
        <v>-34940</v>
      </c>
      <c r="E5" s="24">
        <f>SUM(C$4:C5)/G5</f>
        <v>37530</v>
      </c>
      <c r="F5" s="30">
        <f t="shared" si="0"/>
        <v>55000</v>
      </c>
      <c r="G5" s="20">
        <f>G4+1</f>
        <v>2</v>
      </c>
      <c r="H5" s="89">
        <v>42374</v>
      </c>
      <c r="I5" s="21">
        <v>9941</v>
      </c>
      <c r="J5" s="85">
        <f>(SUM(I$4:I5)-(L5*G5))</f>
        <v>-39913</v>
      </c>
      <c r="K5" s="10">
        <f>SUM(I$4:I5)/G5</f>
        <v>13043.5</v>
      </c>
      <c r="L5" s="10">
        <f t="shared" si="1"/>
        <v>33000</v>
      </c>
    </row>
    <row r="6" spans="2:12" ht="20.100000000000001" customHeight="1" x14ac:dyDescent="0.2">
      <c r="B6" s="89">
        <v>42375</v>
      </c>
      <c r="C6" s="24">
        <v>77064</v>
      </c>
      <c r="D6" s="85">
        <f>(SUM(C$4:C6)-(F6*G6))</f>
        <v>-12876</v>
      </c>
      <c r="E6" s="24">
        <f>SUM(C$4:C6)/G6</f>
        <v>50708</v>
      </c>
      <c r="F6" s="30">
        <f t="shared" si="0"/>
        <v>55000</v>
      </c>
      <c r="G6" s="20">
        <f>G5+1</f>
        <v>3</v>
      </c>
      <c r="H6" s="89">
        <v>42375</v>
      </c>
      <c r="I6" s="21">
        <v>16394</v>
      </c>
      <c r="J6" s="85">
        <f>(SUM(I$4:I6)-(L6*G6))</f>
        <v>-56519</v>
      </c>
      <c r="K6" s="10">
        <f>SUM(I$4:I6)/G6</f>
        <v>14160.333333333334</v>
      </c>
      <c r="L6" s="10">
        <f t="shared" si="1"/>
        <v>33000</v>
      </c>
    </row>
    <row r="7" spans="2:12" ht="19.5" customHeight="1" x14ac:dyDescent="0.2">
      <c r="B7" s="89">
        <v>42376</v>
      </c>
      <c r="C7" s="24">
        <v>50503</v>
      </c>
      <c r="D7" s="85">
        <f>(SUM(C$4:C7)-(F7*G7))</f>
        <v>-17373</v>
      </c>
      <c r="E7" s="24">
        <f>SUM(C$4:C7)/G7</f>
        <v>50656.75</v>
      </c>
      <c r="F7" s="30">
        <f t="shared" si="0"/>
        <v>55000</v>
      </c>
      <c r="G7" s="20">
        <f>G6+1</f>
        <v>4</v>
      </c>
      <c r="H7" s="89">
        <v>42376</v>
      </c>
      <c r="I7" s="21">
        <v>28818</v>
      </c>
      <c r="J7" s="85">
        <f>(SUM(I$4:I7)-(L7*G7))</f>
        <v>-60701</v>
      </c>
      <c r="K7" s="10">
        <f>SUM(I$4:I7)/G7</f>
        <v>17824.75</v>
      </c>
      <c r="L7" s="10">
        <f t="shared" si="1"/>
        <v>33000</v>
      </c>
    </row>
    <row r="8" spans="2:12" ht="20.100000000000001" customHeight="1" x14ac:dyDescent="0.2">
      <c r="B8" s="89">
        <v>42377</v>
      </c>
      <c r="C8" s="27">
        <v>65553</v>
      </c>
      <c r="D8" s="85">
        <f>(SUM(C$4:C8)-(F8*G8))</f>
        <v>-6820</v>
      </c>
      <c r="E8" s="24">
        <f>SUM(C$4:C8)/G8</f>
        <v>53636</v>
      </c>
      <c r="F8" s="30">
        <f t="shared" si="0"/>
        <v>55000</v>
      </c>
      <c r="G8" s="20">
        <f>G7+1</f>
        <v>5</v>
      </c>
      <c r="H8" s="89">
        <v>42377</v>
      </c>
      <c r="I8" s="22">
        <v>27269</v>
      </c>
      <c r="J8" s="85">
        <f>(SUM(I$4:I8)-(L8*G8))</f>
        <v>-66432</v>
      </c>
      <c r="K8" s="10">
        <f>SUM(I$4:I8)/G8</f>
        <v>19713.599999999999</v>
      </c>
      <c r="L8" s="10">
        <f t="shared" si="1"/>
        <v>33000</v>
      </c>
    </row>
    <row r="9" spans="2:12" ht="20.100000000000001" customHeight="1" x14ac:dyDescent="0.2">
      <c r="B9" s="89">
        <v>42380</v>
      </c>
      <c r="C9" s="27">
        <v>55486</v>
      </c>
      <c r="D9" s="85">
        <f>(SUM(C$4:C9)-(F9*G9))</f>
        <v>-6334</v>
      </c>
      <c r="E9" s="24">
        <f>SUM(C$4:C9)/G9</f>
        <v>53944.333333333336</v>
      </c>
      <c r="F9" s="30">
        <f t="shared" si="0"/>
        <v>55000</v>
      </c>
      <c r="G9" s="20">
        <f>G8+1</f>
        <v>6</v>
      </c>
      <c r="H9" s="89">
        <v>42380</v>
      </c>
      <c r="I9" s="22">
        <v>30638</v>
      </c>
      <c r="J9" s="85">
        <f>(SUM(I$4:I9)-(L9*G9))</f>
        <v>-68794</v>
      </c>
      <c r="K9" s="10">
        <f>SUM(I$4:I9)/G9</f>
        <v>21534.333333333332</v>
      </c>
      <c r="L9" s="10">
        <f t="shared" si="1"/>
        <v>33000</v>
      </c>
    </row>
    <row r="10" spans="2:12" ht="20.100000000000001" customHeight="1" x14ac:dyDescent="0.2">
      <c r="B10" s="89">
        <v>42381</v>
      </c>
      <c r="C10" s="24">
        <v>25664</v>
      </c>
      <c r="D10" s="85">
        <f>(SUM(C$4:C10)-(F10*G10))</f>
        <v>-35670</v>
      </c>
      <c r="E10" s="24">
        <f>SUM(C$4:C10)/G10</f>
        <v>49904.285714285717</v>
      </c>
      <c r="F10" s="30">
        <f t="shared" si="0"/>
        <v>55000</v>
      </c>
      <c r="G10" s="20">
        <v>7</v>
      </c>
      <c r="H10" s="89">
        <v>42381</v>
      </c>
      <c r="I10" s="21">
        <v>19756</v>
      </c>
      <c r="J10" s="85">
        <f>(SUM(I$4:I10)-(L10*G10))</f>
        <v>-82038</v>
      </c>
      <c r="K10" s="10">
        <f>SUM(I$4:I10)/G10</f>
        <v>21280.285714285714</v>
      </c>
      <c r="L10" s="10">
        <f t="shared" si="1"/>
        <v>33000</v>
      </c>
    </row>
    <row r="11" spans="2:12" ht="20.100000000000001" customHeight="1" x14ac:dyDescent="0.2">
      <c r="B11" s="89">
        <v>42382</v>
      </c>
      <c r="C11" s="24">
        <v>40604</v>
      </c>
      <c r="D11" s="85">
        <f>(SUM(C$4:C11)-(F11*G11))</f>
        <v>-50066</v>
      </c>
      <c r="E11" s="24">
        <f>SUM(C$4:C11)/G11</f>
        <v>48741.75</v>
      </c>
      <c r="F11" s="30">
        <f t="shared" si="0"/>
        <v>55000</v>
      </c>
      <c r="G11" s="20">
        <v>8</v>
      </c>
      <c r="H11" s="89">
        <v>42382</v>
      </c>
      <c r="I11" s="21">
        <v>41450</v>
      </c>
      <c r="J11" s="85">
        <f>(SUM(I$4:I11)-(L11*G11))</f>
        <v>-73588</v>
      </c>
      <c r="K11" s="10">
        <f>SUM(I$4:I11)/G11</f>
        <v>23801.5</v>
      </c>
      <c r="L11" s="10">
        <f t="shared" si="1"/>
        <v>33000</v>
      </c>
    </row>
    <row r="12" spans="2:12" ht="20.100000000000001" customHeight="1" x14ac:dyDescent="0.2">
      <c r="B12" s="89">
        <v>42383</v>
      </c>
      <c r="C12" s="29">
        <v>61262</v>
      </c>
      <c r="D12" s="85">
        <f>(SUM(C$4:C12)-(F12*G12))</f>
        <v>-43804</v>
      </c>
      <c r="E12" s="24">
        <f>SUM(C$4:C12)/G12</f>
        <v>50132.888888888891</v>
      </c>
      <c r="F12" s="30">
        <f t="shared" si="0"/>
        <v>55000</v>
      </c>
      <c r="G12" s="20">
        <v>9</v>
      </c>
      <c r="H12" s="89">
        <v>42383</v>
      </c>
      <c r="I12" s="13">
        <v>25592</v>
      </c>
      <c r="J12" s="85">
        <f>(SUM(I$4:I12)-(L12*G12))</f>
        <v>-80996</v>
      </c>
      <c r="K12" s="10">
        <f>SUM(I$4:I12)/G12</f>
        <v>24000.444444444445</v>
      </c>
      <c r="L12" s="10">
        <f t="shared" si="1"/>
        <v>33000</v>
      </c>
    </row>
    <row r="13" spans="2:12" ht="20.100000000000001" customHeight="1" x14ac:dyDescent="0.2">
      <c r="B13" s="89">
        <v>42384</v>
      </c>
      <c r="C13" s="24">
        <v>40601</v>
      </c>
      <c r="D13" s="85">
        <f>(SUM(C$4:C13)-(F13*G13))</f>
        <v>-58203</v>
      </c>
      <c r="E13" s="24">
        <f>SUM(C$4:C13)/G13</f>
        <v>49179.7</v>
      </c>
      <c r="F13" s="30">
        <f t="shared" si="0"/>
        <v>55000</v>
      </c>
      <c r="G13" s="20">
        <v>10</v>
      </c>
      <c r="H13" s="89">
        <v>42384</v>
      </c>
      <c r="I13" s="21">
        <v>16783</v>
      </c>
      <c r="J13" s="85">
        <f>(SUM(I$4:I13)-(L13*G13))</f>
        <v>-97213</v>
      </c>
      <c r="K13" s="10">
        <f>SUM(I$4:I13)/G13</f>
        <v>23278.7</v>
      </c>
      <c r="L13" s="10">
        <f t="shared" si="1"/>
        <v>33000</v>
      </c>
    </row>
    <row r="14" spans="2:12" ht="20.100000000000001" customHeight="1" x14ac:dyDescent="0.2">
      <c r="B14" s="89">
        <v>42387</v>
      </c>
      <c r="C14" s="29">
        <v>36948</v>
      </c>
      <c r="D14" s="85">
        <f>(SUM(C$4:C14)-(F14*G14))</f>
        <v>-76255</v>
      </c>
      <c r="E14" s="24">
        <f>SUM(C$4:C14)/G14</f>
        <v>48067.727272727272</v>
      </c>
      <c r="F14" s="30">
        <f t="shared" si="0"/>
        <v>55000</v>
      </c>
      <c r="G14" s="20">
        <v>11</v>
      </c>
      <c r="H14" s="89">
        <v>42387</v>
      </c>
      <c r="I14" s="13">
        <v>33096</v>
      </c>
      <c r="J14" s="85">
        <f>(SUM(I$4:I14)-(L14*G14))</f>
        <v>-97117</v>
      </c>
      <c r="K14" s="10">
        <f>SUM(I$4:I14)/G14</f>
        <v>24171.18181818182</v>
      </c>
      <c r="L14" s="10">
        <f t="shared" si="1"/>
        <v>33000</v>
      </c>
    </row>
    <row r="15" spans="2:12" ht="20.100000000000001" customHeight="1" x14ac:dyDescent="0.2">
      <c r="B15" s="89">
        <v>42388</v>
      </c>
      <c r="C15" s="29">
        <v>59514</v>
      </c>
      <c r="D15" s="85">
        <f>(SUM(C$4:C15)-(F15*G15))</f>
        <v>-71741</v>
      </c>
      <c r="E15" s="24">
        <f>SUM(C$4:C15)/G15</f>
        <v>49021.583333333336</v>
      </c>
      <c r="F15" s="30">
        <f t="shared" si="0"/>
        <v>55000</v>
      </c>
      <c r="G15" s="20">
        <v>12</v>
      </c>
      <c r="H15" s="89">
        <v>42388</v>
      </c>
      <c r="I15" s="12">
        <v>40719</v>
      </c>
      <c r="J15" s="85">
        <f>(SUM(I$4:I15)-(L15*G15))</f>
        <v>-89398</v>
      </c>
      <c r="K15" s="10">
        <f>SUM(I$4:I15)/G15</f>
        <v>25550.166666666668</v>
      </c>
      <c r="L15" s="10">
        <f t="shared" si="1"/>
        <v>33000</v>
      </c>
    </row>
    <row r="16" spans="2:12" ht="20.100000000000001" customHeight="1" x14ac:dyDescent="0.2">
      <c r="B16" s="89">
        <v>42389</v>
      </c>
      <c r="C16" s="29">
        <v>65928</v>
      </c>
      <c r="D16" s="85">
        <f>(SUM(C$4:C16)-(F16*G16))</f>
        <v>-60813</v>
      </c>
      <c r="E16" s="24">
        <f>SUM(C$4:C16)/G16</f>
        <v>50322.076923076922</v>
      </c>
      <c r="F16" s="30">
        <f t="shared" si="0"/>
        <v>55000</v>
      </c>
      <c r="G16" s="20">
        <v>13</v>
      </c>
      <c r="H16" s="89">
        <v>42389</v>
      </c>
      <c r="I16" s="12">
        <v>25366</v>
      </c>
      <c r="J16" s="85">
        <f>(SUM(I$4:I16)-(L16*G16))</f>
        <v>-97032</v>
      </c>
      <c r="K16" s="10">
        <f>SUM(I$4:I16)/G16</f>
        <v>25536</v>
      </c>
      <c r="L16" s="10">
        <f t="shared" si="1"/>
        <v>33000</v>
      </c>
    </row>
    <row r="17" spans="1:12" ht="20.100000000000001" customHeight="1" x14ac:dyDescent="0.2">
      <c r="B17" s="89">
        <v>42390</v>
      </c>
      <c r="C17" s="29">
        <v>66497</v>
      </c>
      <c r="D17" s="85">
        <f>(SUM(C$4:C17)-(F17*G17))</f>
        <v>-49316</v>
      </c>
      <c r="E17" s="24">
        <f>SUM(C$4:C17)/G17</f>
        <v>51477.428571428572</v>
      </c>
      <c r="F17" s="30">
        <f t="shared" si="0"/>
        <v>55000</v>
      </c>
      <c r="G17" s="20">
        <v>14</v>
      </c>
      <c r="H17" s="89">
        <v>42390</v>
      </c>
      <c r="I17" s="12">
        <v>35492</v>
      </c>
      <c r="J17" s="85">
        <f>(SUM(I$4:I17)-(L17*G17))</f>
        <v>-94540</v>
      </c>
      <c r="K17" s="10">
        <f>SUM(I$4:I17)/G17</f>
        <v>26247.142857142859</v>
      </c>
      <c r="L17" s="10">
        <f t="shared" si="1"/>
        <v>33000</v>
      </c>
    </row>
    <row r="18" spans="1:12" ht="20.100000000000001" customHeight="1" x14ac:dyDescent="0.2">
      <c r="B18" s="89">
        <v>42391</v>
      </c>
      <c r="C18" s="29">
        <v>44737</v>
      </c>
      <c r="D18" s="85">
        <f>(SUM(C$4:C18)-(F18*G18))</f>
        <v>-59579</v>
      </c>
      <c r="E18" s="24">
        <f>SUM(C$4:C18)/G18</f>
        <v>51028.066666666666</v>
      </c>
      <c r="F18" s="30">
        <f t="shared" si="0"/>
        <v>55000</v>
      </c>
      <c r="G18" s="20">
        <v>15</v>
      </c>
      <c r="H18" s="89">
        <v>42391</v>
      </c>
      <c r="I18" s="12">
        <v>16420</v>
      </c>
      <c r="J18" s="85">
        <f>(SUM(I$4:I18)-(L18*G18))</f>
        <v>-111120</v>
      </c>
      <c r="K18" s="10">
        <f>SUM(I$4:I18)/G18</f>
        <v>25592</v>
      </c>
      <c r="L18" s="10">
        <f t="shared" si="1"/>
        <v>33000</v>
      </c>
    </row>
    <row r="19" spans="1:12" ht="20.100000000000001" customHeight="1" x14ac:dyDescent="0.2">
      <c r="B19" s="89">
        <v>42394</v>
      </c>
      <c r="C19" s="29">
        <v>81291</v>
      </c>
      <c r="D19" s="85">
        <f>(SUM(C$4:C19)-(F19*G19))</f>
        <v>-33288</v>
      </c>
      <c r="E19" s="24">
        <f>SUM(C$4:C19)/G19</f>
        <v>52919.5</v>
      </c>
      <c r="F19" s="30">
        <f t="shared" si="0"/>
        <v>55000</v>
      </c>
      <c r="G19" s="20">
        <v>16</v>
      </c>
      <c r="H19" s="89">
        <v>42394</v>
      </c>
      <c r="I19" s="12">
        <v>41667</v>
      </c>
      <c r="J19" s="85">
        <f>(SUM(I$4:I19)-(L19*G19))</f>
        <v>-102453</v>
      </c>
      <c r="K19" s="10">
        <f>SUM(I$4:I19)/G19</f>
        <v>26596.6875</v>
      </c>
      <c r="L19" s="10">
        <f t="shared" si="1"/>
        <v>33000</v>
      </c>
    </row>
    <row r="20" spans="1:12" ht="20.100000000000001" customHeight="1" x14ac:dyDescent="0.2">
      <c r="B20" s="89">
        <v>42395</v>
      </c>
      <c r="C20" s="29">
        <v>68582</v>
      </c>
      <c r="D20" s="85">
        <f>(SUM(C$4:C20)-(F20*G20))</f>
        <v>-19706</v>
      </c>
      <c r="E20" s="24">
        <f>SUM(C$4:C20)/G20</f>
        <v>53840.823529411762</v>
      </c>
      <c r="F20" s="30">
        <f t="shared" si="0"/>
        <v>55000</v>
      </c>
      <c r="G20" s="20">
        <v>17</v>
      </c>
      <c r="H20" s="89">
        <v>42395</v>
      </c>
      <c r="I20" s="12">
        <v>35741</v>
      </c>
      <c r="J20" s="85">
        <f>(SUM(I$4:I20)-(L20*G20))</f>
        <v>-99712</v>
      </c>
      <c r="K20" s="10">
        <f>SUM(I$4:I20)/G20</f>
        <v>27134.588235294119</v>
      </c>
      <c r="L20" s="10">
        <f t="shared" si="1"/>
        <v>33000</v>
      </c>
    </row>
    <row r="21" spans="1:12" ht="20.100000000000001" customHeight="1" x14ac:dyDescent="0.2">
      <c r="B21" s="89">
        <v>42396</v>
      </c>
      <c r="C21" s="29">
        <v>52895</v>
      </c>
      <c r="D21" s="85">
        <f>(SUM(C$4:C21)-(F21*G21))</f>
        <v>-21811</v>
      </c>
      <c r="E21" s="24">
        <f>SUM(C$4:C21)/G21</f>
        <v>53788.277777777781</v>
      </c>
      <c r="F21" s="30">
        <f t="shared" si="0"/>
        <v>55000</v>
      </c>
      <c r="G21" s="20">
        <v>18</v>
      </c>
      <c r="H21" s="89">
        <v>42396</v>
      </c>
      <c r="I21" s="12">
        <v>30095</v>
      </c>
      <c r="J21" s="85">
        <f>(SUM(I$4:I21)-(L21*G21))</f>
        <v>-102617</v>
      </c>
      <c r="K21" s="10">
        <f>SUM(I$4:I21)/G21</f>
        <v>27299.055555555555</v>
      </c>
      <c r="L21" s="10">
        <f t="shared" si="1"/>
        <v>33000</v>
      </c>
    </row>
    <row r="22" spans="1:12" ht="20.100000000000001" customHeight="1" x14ac:dyDescent="0.2">
      <c r="B22" s="89">
        <v>42397</v>
      </c>
      <c r="C22" s="29">
        <v>67241</v>
      </c>
      <c r="D22" s="85">
        <f>(SUM(C$4:C22)-(F22*G22))</f>
        <v>-9570</v>
      </c>
      <c r="E22" s="24">
        <f>SUM(C$4:C22)/G22</f>
        <v>54496.315789473687</v>
      </c>
      <c r="F22" s="30">
        <f t="shared" si="0"/>
        <v>55000</v>
      </c>
      <c r="G22" s="20">
        <v>19</v>
      </c>
      <c r="H22" s="89">
        <v>42397</v>
      </c>
      <c r="I22" s="12">
        <v>23776</v>
      </c>
      <c r="J22" s="85">
        <f>(SUM(I$4:I22)-(L22*G22))</f>
        <v>-111841</v>
      </c>
      <c r="K22" s="10">
        <f>SUM(I$4:I22)/G22</f>
        <v>27113.63157894737</v>
      </c>
      <c r="L22" s="10">
        <f t="shared" si="1"/>
        <v>33000</v>
      </c>
    </row>
    <row r="23" spans="1:12" ht="20.100000000000001" customHeight="1" x14ac:dyDescent="0.2">
      <c r="B23" s="89">
        <v>42398</v>
      </c>
      <c r="C23" s="29">
        <v>60360</v>
      </c>
      <c r="D23" s="85">
        <f>(SUM(C$4:C23)-(F23*G23))</f>
        <v>-4210</v>
      </c>
      <c r="E23" s="24">
        <f>SUM(C$4:C23)/G23</f>
        <v>54789.5</v>
      </c>
      <c r="F23" s="30">
        <f t="shared" si="0"/>
        <v>55000</v>
      </c>
      <c r="G23" s="20">
        <v>20</v>
      </c>
      <c r="H23" s="89">
        <v>42398</v>
      </c>
      <c r="I23" s="12">
        <v>32420</v>
      </c>
      <c r="J23" s="85">
        <f>(SUM(I$4:I23)-(L23*G23))</f>
        <v>-112421</v>
      </c>
      <c r="K23" s="10">
        <f>SUM(I$4:I23)/G23</f>
        <v>27378.95</v>
      </c>
      <c r="L23" s="10">
        <f t="shared" si="1"/>
        <v>33000</v>
      </c>
    </row>
    <row r="24" spans="1:12" ht="20.100000000000001" customHeight="1" x14ac:dyDescent="0.2">
      <c r="B24" s="19" t="s">
        <v>8</v>
      </c>
      <c r="C24" s="12">
        <f>SUM(C4:C23)</f>
        <v>1095790</v>
      </c>
      <c r="D24" s="86"/>
      <c r="E24" s="23"/>
      <c r="F24" s="30">
        <v>1100000</v>
      </c>
      <c r="G24" s="18"/>
      <c r="H24" s="11" t="s">
        <v>8</v>
      </c>
      <c r="I24" s="12">
        <f>SUM(I4:I23)</f>
        <v>547579</v>
      </c>
      <c r="J24" s="8"/>
      <c r="K24" s="8"/>
      <c r="L24" s="10">
        <v>660000</v>
      </c>
    </row>
    <row r="25" spans="1:12" ht="19.5" customHeight="1" x14ac:dyDescent="0.2"/>
    <row r="26" spans="1:12" ht="19.5" customHeight="1" x14ac:dyDescent="0.2"/>
    <row r="28" spans="1:12" x14ac:dyDescent="0.2">
      <c r="A28" s="156"/>
      <c r="B28" s="156"/>
      <c r="C28" s="156"/>
      <c r="D28" s="156"/>
      <c r="I28" s="34"/>
      <c r="J28" s="32"/>
    </row>
    <row r="29" spans="1:12" x14ac:dyDescent="0.2">
      <c r="L29" s="33"/>
    </row>
  </sheetData>
  <mergeCells count="5">
    <mergeCell ref="B1:F1"/>
    <mergeCell ref="H1:L1"/>
    <mergeCell ref="B2:F2"/>
    <mergeCell ref="H2:L2"/>
    <mergeCell ref="A28:D28"/>
  </mergeCells>
  <conditionalFormatting sqref="D4:D23 J4:J24">
    <cfRule type="cellIs" dxfId="1813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7">
    <tabColor rgb="FF92D050"/>
  </sheetPr>
  <dimension ref="B1:L33"/>
  <sheetViews>
    <sheetView topLeftCell="A10" zoomScale="80" zoomScaleNormal="80" workbookViewId="0">
      <selection activeCell="D19" sqref="D1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41092</v>
      </c>
      <c r="C4" s="24">
        <v>79803</v>
      </c>
      <c r="D4" s="25">
        <f>(SUM(C4:C4)-(F4*1))</f>
        <v>8969.6666666666715</v>
      </c>
      <c r="E4" s="24">
        <f>C4/1</f>
        <v>79803</v>
      </c>
      <c r="F4" s="30">
        <f t="shared" ref="F4:F25" si="0">$F$28/$G$27</f>
        <v>70833.333333333328</v>
      </c>
      <c r="G4" s="20">
        <v>1</v>
      </c>
      <c r="H4" s="19">
        <v>41092</v>
      </c>
      <c r="I4" s="12">
        <v>66280</v>
      </c>
      <c r="J4" s="10">
        <f>(SUM(I4:I4)-(L4*1))</f>
        <v>32946.666666666664</v>
      </c>
      <c r="K4" s="10">
        <f>I4/1</f>
        <v>66280</v>
      </c>
      <c r="L4" s="10">
        <f t="shared" ref="L4:L25" si="1">$L$28/$G$27</f>
        <v>33333.333333333336</v>
      </c>
    </row>
    <row r="5" spans="2:12" ht="20.100000000000001" customHeight="1" x14ac:dyDescent="0.2">
      <c r="B5" s="19">
        <v>41093</v>
      </c>
      <c r="C5" s="26">
        <v>70572</v>
      </c>
      <c r="D5" s="25">
        <f>(SUM(C$4:C5)-(F5*G5))</f>
        <v>8708.333333333343</v>
      </c>
      <c r="E5" s="24">
        <f>SUM(C$4:C5)/G5</f>
        <v>75187.5</v>
      </c>
      <c r="F5" s="30">
        <f t="shared" si="0"/>
        <v>70833.333333333328</v>
      </c>
      <c r="G5" s="20">
        <v>2</v>
      </c>
      <c r="H5" s="19">
        <v>41093</v>
      </c>
      <c r="I5" s="21">
        <v>17600</v>
      </c>
      <c r="J5" s="10">
        <f>SUM(I$4:I5)-(L5*G5)</f>
        <v>17213.333333333328</v>
      </c>
      <c r="K5" s="10">
        <f>SUM(I$4:I5)/G5</f>
        <v>41940</v>
      </c>
      <c r="L5" s="10">
        <f t="shared" si="1"/>
        <v>33333.333333333336</v>
      </c>
    </row>
    <row r="6" spans="2:12" ht="20.100000000000001" customHeight="1" x14ac:dyDescent="0.2">
      <c r="B6" s="19">
        <v>41094</v>
      </c>
      <c r="C6" s="24">
        <v>65257</v>
      </c>
      <c r="D6" s="25">
        <f>(SUM(C$4:C6)-(F6*G6))</f>
        <v>3132</v>
      </c>
      <c r="E6" s="24">
        <f>SUM(C$4:C6)/G6</f>
        <v>71877.333333333328</v>
      </c>
      <c r="F6" s="30">
        <f t="shared" si="0"/>
        <v>70833.333333333328</v>
      </c>
      <c r="G6" s="20">
        <f>G5+$G$4</f>
        <v>3</v>
      </c>
      <c r="H6" s="19">
        <v>41094</v>
      </c>
      <c r="I6" s="21">
        <v>21041</v>
      </c>
      <c r="J6" s="10">
        <f>SUM(I$4:I6)-(L6*G6)</f>
        <v>4921</v>
      </c>
      <c r="K6" s="10">
        <f>SUM(I$4:I6)/G6</f>
        <v>34973.666666666664</v>
      </c>
      <c r="L6" s="10">
        <f t="shared" si="1"/>
        <v>33333.333333333336</v>
      </c>
    </row>
    <row r="7" spans="2:12" ht="20.100000000000001" customHeight="1" x14ac:dyDescent="0.2">
      <c r="B7" s="19">
        <v>41095</v>
      </c>
      <c r="C7" s="24">
        <v>53347</v>
      </c>
      <c r="D7" s="25">
        <f>(SUM(C$4:C7)-(F7*G7))</f>
        <v>-14354.333333333314</v>
      </c>
      <c r="E7" s="24">
        <f>SUM(C$4:C7)/G7</f>
        <v>67244.75</v>
      </c>
      <c r="F7" s="30">
        <f t="shared" si="0"/>
        <v>70833.333333333328</v>
      </c>
      <c r="G7" s="20">
        <f t="shared" ref="G7:G27" si="2">G6+$G$4</f>
        <v>4</v>
      </c>
      <c r="H7" s="19">
        <v>41095</v>
      </c>
      <c r="I7" s="21">
        <v>17337</v>
      </c>
      <c r="J7" s="10">
        <f>SUM(I$4:I7)-(L7*G7)</f>
        <v>-11075.333333333343</v>
      </c>
      <c r="K7" s="10">
        <f>SUM(I$4:I7)/G7</f>
        <v>30564.5</v>
      </c>
      <c r="L7" s="10">
        <f t="shared" si="1"/>
        <v>33333.333333333336</v>
      </c>
    </row>
    <row r="8" spans="2:12" ht="20.100000000000001" customHeight="1" x14ac:dyDescent="0.2">
      <c r="B8" s="19">
        <v>41096</v>
      </c>
      <c r="C8" s="24">
        <v>67521</v>
      </c>
      <c r="D8" s="25">
        <f>(SUM(C$4:C8)-(F8*G8))</f>
        <v>-17666.666666666628</v>
      </c>
      <c r="E8" s="24">
        <f>SUM(C$4:C8)/G8</f>
        <v>67300</v>
      </c>
      <c r="F8" s="30">
        <f t="shared" si="0"/>
        <v>70833.333333333328</v>
      </c>
      <c r="G8" s="20">
        <f t="shared" si="2"/>
        <v>5</v>
      </c>
      <c r="H8" s="19">
        <v>41096</v>
      </c>
      <c r="I8" s="21">
        <v>12639</v>
      </c>
      <c r="J8" s="10">
        <f>SUM(I$4:I8)-(L8*G8)</f>
        <v>-31769.666666666686</v>
      </c>
      <c r="K8" s="10">
        <f>SUM(I$4:I8)/G8</f>
        <v>26979.4</v>
      </c>
      <c r="L8" s="10">
        <f t="shared" si="1"/>
        <v>33333.333333333336</v>
      </c>
    </row>
    <row r="9" spans="2:12" ht="20.100000000000001" customHeight="1" x14ac:dyDescent="0.2">
      <c r="B9" s="19">
        <v>41097</v>
      </c>
      <c r="C9" s="24">
        <v>49898</v>
      </c>
      <c r="D9" s="25">
        <f>(SUM(C$4:C9)-(F9*G9))</f>
        <v>-38602</v>
      </c>
      <c r="E9" s="24">
        <f>SUM(C$4:C9)/G9</f>
        <v>64399.666666666664</v>
      </c>
      <c r="F9" s="30">
        <f t="shared" si="0"/>
        <v>70833.333333333328</v>
      </c>
      <c r="G9" s="20">
        <f t="shared" si="2"/>
        <v>6</v>
      </c>
      <c r="H9" s="19">
        <v>41097</v>
      </c>
      <c r="I9" s="21">
        <v>18082</v>
      </c>
      <c r="J9" s="10">
        <f>SUM(I$4:I9)-(L9*G9)</f>
        <v>-47021</v>
      </c>
      <c r="K9" s="10">
        <f>SUM(I$4:I9)/G9</f>
        <v>25496.5</v>
      </c>
      <c r="L9" s="10">
        <f t="shared" si="1"/>
        <v>33333.333333333336</v>
      </c>
    </row>
    <row r="10" spans="2:12" ht="19.5" customHeight="1" x14ac:dyDescent="0.2">
      <c r="B10" s="19">
        <v>41100</v>
      </c>
      <c r="C10" s="24">
        <v>48080</v>
      </c>
      <c r="D10" s="25">
        <f>(SUM(C$4:C10)-(F10*G10))</f>
        <v>-61355.333333333314</v>
      </c>
      <c r="E10" s="24">
        <f>SUM(C$4:C10)/G10</f>
        <v>62068.285714285717</v>
      </c>
      <c r="F10" s="30">
        <f t="shared" si="0"/>
        <v>70833.333333333328</v>
      </c>
      <c r="G10" s="20">
        <f t="shared" si="2"/>
        <v>7</v>
      </c>
      <c r="H10" s="19">
        <v>41100</v>
      </c>
      <c r="I10" s="21">
        <v>29799</v>
      </c>
      <c r="J10" s="10">
        <f>SUM(I$4:I10)-(L10*G10)</f>
        <v>-50555.333333333343</v>
      </c>
      <c r="K10" s="10">
        <f>SUM(I$4:I10)/G10</f>
        <v>26111.142857142859</v>
      </c>
      <c r="L10" s="10">
        <f t="shared" si="1"/>
        <v>33333.333333333336</v>
      </c>
    </row>
    <row r="11" spans="2:12" ht="20.100000000000001" customHeight="1" x14ac:dyDescent="0.2">
      <c r="B11" s="19">
        <v>41101</v>
      </c>
      <c r="C11" s="27">
        <v>57323</v>
      </c>
      <c r="D11" s="25">
        <f>(SUM(C$4:C11)-(F11*G11))</f>
        <v>-74865.666666666628</v>
      </c>
      <c r="E11" s="24">
        <f>SUM(C$4:C11)/G11</f>
        <v>61475.125</v>
      </c>
      <c r="F11" s="30">
        <f t="shared" si="0"/>
        <v>70833.333333333328</v>
      </c>
      <c r="G11" s="20">
        <f t="shared" si="2"/>
        <v>8</v>
      </c>
      <c r="H11" s="19">
        <v>41101</v>
      </c>
      <c r="I11" s="22">
        <v>19384</v>
      </c>
      <c r="J11" s="10">
        <f>SUM(I$4:I11)-(L11*G11)</f>
        <v>-64504.666666666686</v>
      </c>
      <c r="K11" s="10">
        <f>SUM(I$4:I11)/G11</f>
        <v>25270.25</v>
      </c>
      <c r="L11" s="10">
        <f t="shared" si="1"/>
        <v>33333.333333333336</v>
      </c>
    </row>
    <row r="12" spans="2:12" ht="20.100000000000001" customHeight="1" x14ac:dyDescent="0.2">
      <c r="B12" s="19">
        <v>41102</v>
      </c>
      <c r="C12" s="27">
        <v>60958</v>
      </c>
      <c r="D12" s="25">
        <f>(SUM(C$4:C12)-(F12*G12))</f>
        <v>-84741</v>
      </c>
      <c r="E12" s="24">
        <f>SUM(C$4:C12)/G12</f>
        <v>61417.666666666664</v>
      </c>
      <c r="F12" s="30">
        <f t="shared" si="0"/>
        <v>70833.333333333328</v>
      </c>
      <c r="G12" s="20">
        <f t="shared" si="2"/>
        <v>9</v>
      </c>
      <c r="H12" s="19">
        <v>41102</v>
      </c>
      <c r="I12" s="22">
        <v>28433</v>
      </c>
      <c r="J12" s="10">
        <f>SUM(I$4:I12)-(L12*G12)</f>
        <v>-69405</v>
      </c>
      <c r="K12" s="10">
        <f>SUM(I$4:I12)/G12</f>
        <v>25621.666666666668</v>
      </c>
      <c r="L12" s="10">
        <f t="shared" si="1"/>
        <v>33333.333333333336</v>
      </c>
    </row>
    <row r="13" spans="2:12" ht="20.100000000000001" customHeight="1" x14ac:dyDescent="0.2">
      <c r="B13" s="19">
        <v>41103</v>
      </c>
      <c r="C13" s="24">
        <v>52687</v>
      </c>
      <c r="D13" s="25">
        <f>(SUM(C$4:C13)-(F13*G13))</f>
        <v>-102887.33333333326</v>
      </c>
      <c r="E13" s="24">
        <f>SUM(C$4:C13)/G13</f>
        <v>60544.6</v>
      </c>
      <c r="F13" s="30">
        <f t="shared" si="0"/>
        <v>70833.333333333328</v>
      </c>
      <c r="G13" s="20">
        <f t="shared" si="2"/>
        <v>10</v>
      </c>
      <c r="H13" s="19">
        <v>41103</v>
      </c>
      <c r="I13" s="21">
        <v>50867</v>
      </c>
      <c r="J13" s="10">
        <f>SUM(I$4:I13)-(L13*G13)</f>
        <v>-51871.333333333372</v>
      </c>
      <c r="K13" s="10">
        <f>SUM(I$4:I13)/G13</f>
        <v>28146.2</v>
      </c>
      <c r="L13" s="10">
        <f t="shared" si="1"/>
        <v>33333.333333333336</v>
      </c>
    </row>
    <row r="14" spans="2:12" ht="20.100000000000001" customHeight="1" x14ac:dyDescent="0.2">
      <c r="B14" s="19">
        <v>41106</v>
      </c>
      <c r="C14" s="24">
        <v>69348</v>
      </c>
      <c r="D14" s="25">
        <f>(SUM(C$4:C14)-(F14*G14))</f>
        <v>-104372.66666666663</v>
      </c>
      <c r="E14" s="24">
        <f>SUM(C$4:C14)/G14</f>
        <v>61344.909090909088</v>
      </c>
      <c r="F14" s="30">
        <f t="shared" si="0"/>
        <v>70833.333333333328</v>
      </c>
      <c r="G14" s="20">
        <f t="shared" si="2"/>
        <v>11</v>
      </c>
      <c r="H14" s="19">
        <v>41106</v>
      </c>
      <c r="I14" s="21">
        <v>33254</v>
      </c>
      <c r="J14" s="10">
        <f>SUM(I$4:I14)-(L14*G14)</f>
        <v>-51950.666666666686</v>
      </c>
      <c r="K14" s="10">
        <f>SUM(I$4:I14)/G14</f>
        <v>28610.545454545456</v>
      </c>
      <c r="L14" s="10">
        <f t="shared" si="1"/>
        <v>33333.333333333336</v>
      </c>
    </row>
    <row r="15" spans="2:12" ht="20.100000000000001" customHeight="1" x14ac:dyDescent="0.2">
      <c r="B15" s="19">
        <v>41107</v>
      </c>
      <c r="C15" s="24">
        <v>48227</v>
      </c>
      <c r="D15" s="25">
        <f>(SUM(C$4:C15)-(F15*G15))</f>
        <v>-126979</v>
      </c>
      <c r="E15" s="24">
        <f>SUM(C$4:C15)/G15</f>
        <v>60251.75</v>
      </c>
      <c r="F15" s="30">
        <f t="shared" si="0"/>
        <v>70833.333333333328</v>
      </c>
      <c r="G15" s="20">
        <f t="shared" si="2"/>
        <v>12</v>
      </c>
      <c r="H15" s="19">
        <v>41107</v>
      </c>
      <c r="I15" s="21">
        <v>41970</v>
      </c>
      <c r="J15" s="10">
        <f>SUM(I$4:I15)-(L15*G15)</f>
        <v>-43314</v>
      </c>
      <c r="K15" s="10">
        <f>SUM(I$4:I15)/G15</f>
        <v>29723.833333333332</v>
      </c>
      <c r="L15" s="10">
        <f t="shared" si="1"/>
        <v>33333.333333333336</v>
      </c>
    </row>
    <row r="16" spans="2:12" ht="20.100000000000001" customHeight="1" x14ac:dyDescent="0.2">
      <c r="B16" s="19">
        <v>41108</v>
      </c>
      <c r="C16" s="28">
        <v>61665</v>
      </c>
      <c r="D16" s="25">
        <f>(SUM(C$4:C16)-(F16*G16))</f>
        <v>-136147.33333333326</v>
      </c>
      <c r="E16" s="24">
        <f>SUM(C$4:C16)/G16</f>
        <v>60360.461538461539</v>
      </c>
      <c r="F16" s="30">
        <f t="shared" si="0"/>
        <v>70833.333333333328</v>
      </c>
      <c r="G16" s="20">
        <f t="shared" si="2"/>
        <v>13</v>
      </c>
      <c r="H16" s="19">
        <v>41108</v>
      </c>
      <c r="I16" s="13">
        <v>24317</v>
      </c>
      <c r="J16" s="10">
        <f>SUM(I$4:I16)-(L16*G16)</f>
        <v>-52330.333333333372</v>
      </c>
      <c r="K16" s="10">
        <f>SUM(I$4:I16)/G16</f>
        <v>29307.923076923078</v>
      </c>
      <c r="L16" s="10">
        <f t="shared" si="1"/>
        <v>33333.333333333336</v>
      </c>
    </row>
    <row r="17" spans="2:12" ht="20.100000000000001" customHeight="1" x14ac:dyDescent="0.2">
      <c r="B17" s="19">
        <v>41109</v>
      </c>
      <c r="C17" s="29">
        <v>51401</v>
      </c>
      <c r="D17" s="25">
        <f>(SUM(C$4:C17)-(F17*G17))</f>
        <v>-155579.66666666663</v>
      </c>
      <c r="E17" s="24">
        <f>SUM(C$4:C17)/G17</f>
        <v>59720.5</v>
      </c>
      <c r="F17" s="30">
        <f t="shared" si="0"/>
        <v>70833.333333333328</v>
      </c>
      <c r="G17" s="20">
        <f t="shared" si="2"/>
        <v>14</v>
      </c>
      <c r="H17" s="19">
        <v>41109</v>
      </c>
      <c r="I17" s="21">
        <v>16428</v>
      </c>
      <c r="J17" s="10">
        <f>SUM(I$4:I17)-(L17*G17)</f>
        <v>-69235.666666666686</v>
      </c>
      <c r="K17" s="10">
        <f>SUM(I$4:I17)/G17</f>
        <v>28387.928571428572</v>
      </c>
      <c r="L17" s="10">
        <f t="shared" si="1"/>
        <v>33333.333333333336</v>
      </c>
    </row>
    <row r="18" spans="2:12" ht="20.100000000000001" customHeight="1" x14ac:dyDescent="0.2">
      <c r="B18" s="19">
        <v>41110</v>
      </c>
      <c r="C18" s="29">
        <v>42421</v>
      </c>
      <c r="D18" s="25">
        <f>(SUM(C$4:C18)-(F18*G18))</f>
        <v>-183992</v>
      </c>
      <c r="E18" s="24">
        <f>SUM(C$4:C18)/G18</f>
        <v>58567.199999999997</v>
      </c>
      <c r="F18" s="30">
        <f t="shared" si="0"/>
        <v>70833.333333333328</v>
      </c>
      <c r="G18" s="20">
        <f t="shared" si="2"/>
        <v>15</v>
      </c>
      <c r="H18" s="19">
        <v>41110</v>
      </c>
      <c r="I18" s="12">
        <v>14908</v>
      </c>
      <c r="J18" s="10">
        <f>SUM(I$4:I18)-(L18*G18)</f>
        <v>-87661.000000000058</v>
      </c>
      <c r="K18" s="10">
        <f>SUM(I$4:I18)/G18</f>
        <v>27489.266666666666</v>
      </c>
      <c r="L18" s="10">
        <f t="shared" si="1"/>
        <v>33333.333333333336</v>
      </c>
    </row>
    <row r="19" spans="2:12" ht="20.100000000000001" customHeight="1" x14ac:dyDescent="0.2">
      <c r="B19" s="19">
        <v>41111</v>
      </c>
      <c r="C19" s="29">
        <v>34847</v>
      </c>
      <c r="D19" s="25">
        <f>(SUM(C$4:C19)-(F19*G19))</f>
        <v>-219978.33333333326</v>
      </c>
      <c r="E19" s="24">
        <f>SUM(C$4:C19)/G19</f>
        <v>57084.6875</v>
      </c>
      <c r="F19" s="30">
        <f t="shared" si="0"/>
        <v>70833.333333333328</v>
      </c>
      <c r="G19" s="20">
        <f t="shared" si="2"/>
        <v>16</v>
      </c>
      <c r="H19" s="19">
        <v>41111</v>
      </c>
      <c r="I19" s="13">
        <v>60587</v>
      </c>
      <c r="J19" s="10">
        <f>SUM(I$4:I19)-(L19*G19)</f>
        <v>-60407.333333333372</v>
      </c>
      <c r="K19" s="10">
        <f>SUM(I$4:I19)/G19</f>
        <v>29557.875</v>
      </c>
      <c r="L19" s="10">
        <f t="shared" si="1"/>
        <v>33333.333333333336</v>
      </c>
    </row>
    <row r="20" spans="2:12" ht="20.100000000000001" customHeight="1" x14ac:dyDescent="0.2">
      <c r="B20" s="19">
        <v>41113</v>
      </c>
      <c r="C20" s="29">
        <v>46436</v>
      </c>
      <c r="D20" s="25">
        <f>(SUM(C$4:C20)-(F20*G20))</f>
        <v>-244375.66666666651</v>
      </c>
      <c r="E20" s="24">
        <f>SUM(C$4:C20)/G20</f>
        <v>56458.294117647056</v>
      </c>
      <c r="F20" s="30">
        <f t="shared" si="0"/>
        <v>70833.333333333328</v>
      </c>
      <c r="G20" s="20">
        <f t="shared" si="2"/>
        <v>17</v>
      </c>
      <c r="H20" s="19">
        <v>41113</v>
      </c>
      <c r="I20" s="13">
        <v>32666</v>
      </c>
      <c r="J20" s="10">
        <f>SUM(I$4:I20)-(L20*G20)</f>
        <v>-61074.666666666744</v>
      </c>
      <c r="K20" s="10">
        <f>SUM(I$4:I20)/G20</f>
        <v>29740.705882352941</v>
      </c>
      <c r="L20" s="10">
        <f t="shared" si="1"/>
        <v>33333.333333333336</v>
      </c>
    </row>
    <row r="21" spans="2:12" ht="20.100000000000001" customHeight="1" x14ac:dyDescent="0.2">
      <c r="B21" s="19">
        <v>41114</v>
      </c>
      <c r="C21" s="29">
        <v>64772</v>
      </c>
      <c r="D21" s="25">
        <f>(SUM(C$4:C21)-(F21*G21))</f>
        <v>-250437</v>
      </c>
      <c r="E21" s="24">
        <f>SUM(C$4:C21)/G21</f>
        <v>56920.166666666664</v>
      </c>
      <c r="F21" s="30">
        <f t="shared" si="0"/>
        <v>70833.333333333328</v>
      </c>
      <c r="G21" s="20">
        <f t="shared" si="2"/>
        <v>18</v>
      </c>
      <c r="H21" s="19">
        <v>41114</v>
      </c>
      <c r="I21" s="12">
        <v>31580</v>
      </c>
      <c r="J21" s="10">
        <f>SUM(I$4:I21)-(L21*G21)</f>
        <v>-62828</v>
      </c>
      <c r="K21" s="10">
        <f>SUM(I$4:I21)/G21</f>
        <v>29842.888888888891</v>
      </c>
      <c r="L21" s="10">
        <f t="shared" si="1"/>
        <v>33333.333333333336</v>
      </c>
    </row>
    <row r="22" spans="2:12" ht="20.100000000000001" customHeight="1" x14ac:dyDescent="0.2">
      <c r="B22" s="19">
        <v>41115</v>
      </c>
      <c r="C22" s="29">
        <v>68493</v>
      </c>
      <c r="D22" s="25">
        <f>(SUM(C$4:C22)-(F22*G22))</f>
        <v>-252777.33333333326</v>
      </c>
      <c r="E22" s="24">
        <f>SUM(C$4:C22)/G22</f>
        <v>57529.26315789474</v>
      </c>
      <c r="F22" s="30">
        <f t="shared" si="0"/>
        <v>70833.333333333328</v>
      </c>
      <c r="G22" s="20">
        <v>19</v>
      </c>
      <c r="H22" s="19">
        <v>41115</v>
      </c>
      <c r="I22" s="12">
        <v>33951</v>
      </c>
      <c r="J22" s="10">
        <f>SUM(I$4:I22)-(L22*G22)</f>
        <v>-62210.333333333372</v>
      </c>
      <c r="K22" s="10">
        <f>SUM(I$4:I22)/G22</f>
        <v>30059.105263157893</v>
      </c>
      <c r="L22" s="10">
        <f t="shared" si="1"/>
        <v>33333.333333333336</v>
      </c>
    </row>
    <row r="23" spans="2:12" ht="20.100000000000001" customHeight="1" x14ac:dyDescent="0.2">
      <c r="B23" s="19">
        <v>41116</v>
      </c>
      <c r="C23" s="29">
        <v>71083</v>
      </c>
      <c r="D23" s="25">
        <f>(SUM(C$4:C23)-(F23*G23))</f>
        <v>-252527.66666666651</v>
      </c>
      <c r="E23" s="24">
        <f>SUM(C$4:C23)/G23</f>
        <v>58206.95</v>
      </c>
      <c r="F23" s="30">
        <f t="shared" si="0"/>
        <v>70833.333333333328</v>
      </c>
      <c r="G23" s="20">
        <f>G22+$G$4</f>
        <v>20</v>
      </c>
      <c r="H23" s="19">
        <v>41116</v>
      </c>
      <c r="I23" s="12">
        <v>27726</v>
      </c>
      <c r="J23" s="10">
        <f>SUM(I$4:I23)-(L23*G23)</f>
        <v>-67817.666666666744</v>
      </c>
      <c r="K23" s="10">
        <f>SUM(I$4:I23)/G23</f>
        <v>29942.45</v>
      </c>
      <c r="L23" s="10">
        <f t="shared" si="1"/>
        <v>33333.333333333336</v>
      </c>
    </row>
    <row r="24" spans="2:12" ht="20.100000000000001" customHeight="1" x14ac:dyDescent="0.2">
      <c r="B24" s="19">
        <v>41117</v>
      </c>
      <c r="C24" s="29">
        <v>42341</v>
      </c>
      <c r="D24" s="25">
        <f>(SUM(C$4:C24)-(F24*G24))</f>
        <v>-281020</v>
      </c>
      <c r="E24" s="24">
        <f>SUM(C$4:C24)/G24</f>
        <v>57451.428571428572</v>
      </c>
      <c r="F24" s="30">
        <f t="shared" si="0"/>
        <v>70833.333333333328</v>
      </c>
      <c r="G24" s="20">
        <f t="shared" si="2"/>
        <v>21</v>
      </c>
      <c r="H24" s="19">
        <v>41117</v>
      </c>
      <c r="I24" s="12">
        <v>19419</v>
      </c>
      <c r="J24" s="10">
        <f>SUM(I$4:I24)-(L24*G24)</f>
        <v>-81732</v>
      </c>
      <c r="K24" s="10">
        <f>SUM(I$4:I24)/G24</f>
        <v>29441.333333333332</v>
      </c>
      <c r="L24" s="10">
        <f t="shared" si="1"/>
        <v>33333.333333333336</v>
      </c>
    </row>
    <row r="25" spans="2:12" ht="20.100000000000001" customHeight="1" x14ac:dyDescent="0.2">
      <c r="B25" s="19">
        <v>41118</v>
      </c>
      <c r="C25" s="29">
        <v>25335</v>
      </c>
      <c r="D25" s="25">
        <f>(SUM(C$4:C25)-(F25*G25))</f>
        <v>-326518.33333333326</v>
      </c>
      <c r="E25" s="24">
        <f>SUM(C$4:C25)/G25</f>
        <v>55991.590909090912</v>
      </c>
      <c r="F25" s="30">
        <f t="shared" si="0"/>
        <v>70833.333333333328</v>
      </c>
      <c r="G25" s="20">
        <f t="shared" si="2"/>
        <v>22</v>
      </c>
      <c r="H25" s="19">
        <v>41118</v>
      </c>
      <c r="I25" s="12">
        <v>15092</v>
      </c>
      <c r="J25" s="10">
        <f>SUM(I$4:I25)-(L25*G25)</f>
        <v>-99973.333333333372</v>
      </c>
      <c r="K25" s="10">
        <f>SUM(I$4:I25)/G25</f>
        <v>28789.090909090908</v>
      </c>
      <c r="L25" s="10">
        <f t="shared" si="1"/>
        <v>33333.333333333336</v>
      </c>
    </row>
    <row r="26" spans="2:12" ht="20.100000000000001" customHeight="1" x14ac:dyDescent="0.2">
      <c r="B26" s="19">
        <v>41120</v>
      </c>
      <c r="C26" s="29">
        <v>34179</v>
      </c>
      <c r="D26" s="25">
        <f>(SUM(C$4:C26)-(F26*G26))</f>
        <v>-363172.66666666651</v>
      </c>
      <c r="E26" s="24">
        <f>SUM(C$4:C26)/G26</f>
        <v>55043.217391304344</v>
      </c>
      <c r="F26" s="30">
        <f>$F$28/$G$27</f>
        <v>70833.333333333328</v>
      </c>
      <c r="G26" s="20">
        <f>G25+$G$4</f>
        <v>23</v>
      </c>
      <c r="H26" s="19">
        <v>41120</v>
      </c>
      <c r="I26" s="12">
        <v>15499</v>
      </c>
      <c r="J26" s="10">
        <f>SUM(I$4:I26)-(L26*G26)</f>
        <v>-117807.66666666674</v>
      </c>
      <c r="K26" s="10">
        <f>SUM(I$4:I26)/G26</f>
        <v>28211.260869565216</v>
      </c>
      <c r="L26" s="10">
        <f>$L$28/$G$27</f>
        <v>33333.333333333336</v>
      </c>
    </row>
    <row r="27" spans="2:12" ht="20.100000000000001" customHeight="1" x14ac:dyDescent="0.2">
      <c r="B27" s="19">
        <v>41121</v>
      </c>
      <c r="C27" s="29">
        <v>68115</v>
      </c>
      <c r="D27" s="25">
        <f>(SUM(C$4:C27)-(F27*G27))</f>
        <v>-365891</v>
      </c>
      <c r="E27" s="24">
        <f>SUM(C$4:C27)/G27</f>
        <v>55587.875</v>
      </c>
      <c r="F27" s="30">
        <f>$F$28/$G$27</f>
        <v>70833.333333333328</v>
      </c>
      <c r="G27" s="20">
        <f t="shared" si="2"/>
        <v>24</v>
      </c>
      <c r="H27" s="19">
        <v>41121</v>
      </c>
      <c r="I27" s="12">
        <v>38970</v>
      </c>
      <c r="J27" s="10">
        <f>SUM(I$4:I27)-(L27*G27)</f>
        <v>-112171</v>
      </c>
      <c r="K27" s="10">
        <f>SUM(I$4:I27)/G27</f>
        <v>28659.541666666668</v>
      </c>
      <c r="L27" s="10">
        <f>$L$28/$G$27</f>
        <v>33333.333333333336</v>
      </c>
    </row>
    <row r="28" spans="2:12" ht="20.100000000000001" customHeight="1" x14ac:dyDescent="0.2">
      <c r="B28" s="19" t="s">
        <v>8</v>
      </c>
      <c r="C28" s="12">
        <f>SUM(C4:C27)</f>
        <v>1334109</v>
      </c>
      <c r="D28" s="23"/>
      <c r="E28" s="23"/>
      <c r="F28" s="30">
        <v>1700000</v>
      </c>
      <c r="G28" s="18"/>
      <c r="H28" s="11" t="s">
        <v>8</v>
      </c>
      <c r="I28" s="12">
        <f>SUM(I4:I27)</f>
        <v>687829</v>
      </c>
      <c r="J28" s="8"/>
      <c r="K28" s="8"/>
      <c r="L28" s="10">
        <v>800000</v>
      </c>
    </row>
    <row r="29" spans="2:12" ht="19.5" customHeight="1" x14ac:dyDescent="0.2"/>
    <row r="30" spans="2:12" ht="19.5" customHeight="1" x14ac:dyDescent="0.2"/>
    <row r="32" spans="2:12" x14ac:dyDescent="0.2">
      <c r="I32" s="34"/>
      <c r="J32" s="32"/>
    </row>
    <row r="33" spans="12:12" x14ac:dyDescent="0.2">
      <c r="L33" s="33"/>
    </row>
  </sheetData>
  <mergeCells count="4">
    <mergeCell ref="B1:F1"/>
    <mergeCell ref="H1:L1"/>
    <mergeCell ref="B2:F2"/>
    <mergeCell ref="H2:L2"/>
  </mergeCells>
  <conditionalFormatting sqref="D4:D27 J4:J28">
    <cfRule type="cellIs" dxfId="325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Plan112">
    <tabColor rgb="FF92D050"/>
  </sheetPr>
  <dimension ref="A1:L30"/>
  <sheetViews>
    <sheetView topLeftCell="A10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89">
        <v>42401</v>
      </c>
      <c r="C4" s="24">
        <v>27452</v>
      </c>
      <c r="D4" s="85">
        <f>(SUM(C4:C4)-(F4*1))</f>
        <v>-24928.952380952382</v>
      </c>
      <c r="E4" s="24">
        <f>C4/1</f>
        <v>27452</v>
      </c>
      <c r="F4" s="30">
        <f t="shared" ref="F4:F24" si="0">$F$25/$G$24</f>
        <v>52380.952380952382</v>
      </c>
      <c r="G4" s="20">
        <v>1</v>
      </c>
      <c r="H4" s="89">
        <v>42401</v>
      </c>
      <c r="I4" s="12">
        <v>5144</v>
      </c>
      <c r="J4" s="10">
        <f>(SUM(I4:I4)-(L4*G4))</f>
        <v>-28189.333333333336</v>
      </c>
      <c r="K4" s="10">
        <f>I4/1</f>
        <v>5144</v>
      </c>
      <c r="L4" s="10">
        <f t="shared" ref="L4:L24" si="1">$L$25/$G$24</f>
        <v>33333.333333333336</v>
      </c>
    </row>
    <row r="5" spans="2:12" ht="20.100000000000001" customHeight="1" x14ac:dyDescent="0.2">
      <c r="B5" s="89">
        <v>42402</v>
      </c>
      <c r="C5" s="26">
        <v>53056</v>
      </c>
      <c r="D5" s="85">
        <f>(SUM(C$4:C5)-(F5*G5))</f>
        <v>-24253.904761904763</v>
      </c>
      <c r="E5" s="24">
        <f>SUM(C$4:C5)/G5</f>
        <v>40254</v>
      </c>
      <c r="F5" s="30">
        <f t="shared" si="0"/>
        <v>52380.952380952382</v>
      </c>
      <c r="G5" s="20">
        <f>G4+1</f>
        <v>2</v>
      </c>
      <c r="H5" s="89">
        <v>42402</v>
      </c>
      <c r="I5" s="21">
        <v>39541</v>
      </c>
      <c r="J5" s="85">
        <f>(SUM(I$4:I5)-(L5*G5))</f>
        <v>-21981.666666666672</v>
      </c>
      <c r="K5" s="10">
        <f>SUM(I$4:I5)/G5</f>
        <v>22342.5</v>
      </c>
      <c r="L5" s="10">
        <f t="shared" si="1"/>
        <v>33333.333333333336</v>
      </c>
    </row>
    <row r="6" spans="2:12" ht="20.100000000000001" customHeight="1" x14ac:dyDescent="0.2">
      <c r="B6" s="89">
        <v>42403</v>
      </c>
      <c r="C6" s="24">
        <v>50481</v>
      </c>
      <c r="D6" s="85">
        <f>(SUM(C$4:C6)-(F6*G6))</f>
        <v>-26153.857142857159</v>
      </c>
      <c r="E6" s="24">
        <f>SUM(C$4:C6)/G6</f>
        <v>43663</v>
      </c>
      <c r="F6" s="30">
        <f t="shared" si="0"/>
        <v>52380.952380952382</v>
      </c>
      <c r="G6" s="20">
        <f>G5+1</f>
        <v>3</v>
      </c>
      <c r="H6" s="89">
        <v>42403</v>
      </c>
      <c r="I6" s="21">
        <v>31171</v>
      </c>
      <c r="J6" s="85">
        <f>(SUM(I$4:I6)-(L6*G6))</f>
        <v>-24144</v>
      </c>
      <c r="K6" s="10">
        <f>SUM(I$4:I6)/G6</f>
        <v>25285.333333333332</v>
      </c>
      <c r="L6" s="10">
        <f t="shared" si="1"/>
        <v>33333.333333333336</v>
      </c>
    </row>
    <row r="7" spans="2:12" ht="19.5" customHeight="1" x14ac:dyDescent="0.2">
      <c r="B7" s="89">
        <v>42404</v>
      </c>
      <c r="C7" s="24">
        <v>26826</v>
      </c>
      <c r="D7" s="85">
        <f>(SUM(C$4:C7)-(F7*G7))</f>
        <v>-51708.809523809527</v>
      </c>
      <c r="E7" s="24">
        <f>SUM(C$4:C7)/G7</f>
        <v>39453.75</v>
      </c>
      <c r="F7" s="30">
        <f t="shared" si="0"/>
        <v>52380.952380952382</v>
      </c>
      <c r="G7" s="20">
        <f>G6+1</f>
        <v>4</v>
      </c>
      <c r="H7" s="89">
        <v>42404</v>
      </c>
      <c r="I7" s="21">
        <v>10902</v>
      </c>
      <c r="J7" s="85">
        <f>(SUM(I$4:I7)-(L7*G7))</f>
        <v>-46575.333333333343</v>
      </c>
      <c r="K7" s="10">
        <f>SUM(I$4:I7)/G7</f>
        <v>21689.5</v>
      </c>
      <c r="L7" s="10">
        <f t="shared" si="1"/>
        <v>33333.333333333336</v>
      </c>
    </row>
    <row r="8" spans="2:12" ht="20.100000000000001" customHeight="1" x14ac:dyDescent="0.2">
      <c r="B8" s="89">
        <v>42405</v>
      </c>
      <c r="C8" s="27">
        <v>56214</v>
      </c>
      <c r="D8" s="85">
        <f>(SUM(C$4:C8)-(F8*G8))</f>
        <v>-47875.761904761894</v>
      </c>
      <c r="E8" s="24">
        <f>SUM(C$4:C8)/G8</f>
        <v>42805.8</v>
      </c>
      <c r="F8" s="30">
        <f t="shared" si="0"/>
        <v>52380.952380952382</v>
      </c>
      <c r="G8" s="20">
        <f>G7+1</f>
        <v>5</v>
      </c>
      <c r="H8" s="89">
        <v>42405</v>
      </c>
      <c r="I8" s="22">
        <v>31182</v>
      </c>
      <c r="J8" s="85">
        <f>(SUM(I$4:I8)-(L8*G8))</f>
        <v>-48726.666666666686</v>
      </c>
      <c r="K8" s="10">
        <f>SUM(I$4:I8)/G8</f>
        <v>23588</v>
      </c>
      <c r="L8" s="10">
        <f t="shared" si="1"/>
        <v>33333.333333333336</v>
      </c>
    </row>
    <row r="9" spans="2:12" ht="20.100000000000001" customHeight="1" x14ac:dyDescent="0.2">
      <c r="B9" s="89">
        <v>42408</v>
      </c>
      <c r="C9" s="27">
        <v>60286</v>
      </c>
      <c r="D9" s="85">
        <f>(SUM(C$4:C9)-(F9*G9))</f>
        <v>-39970.714285714319</v>
      </c>
      <c r="E9" s="24">
        <f>SUM(C$4:C9)/G9</f>
        <v>45719.166666666664</v>
      </c>
      <c r="F9" s="30">
        <f t="shared" si="0"/>
        <v>52380.952380952382</v>
      </c>
      <c r="G9" s="20">
        <f>G8+1</f>
        <v>6</v>
      </c>
      <c r="H9" s="89">
        <v>42408</v>
      </c>
      <c r="I9" s="22">
        <v>36550</v>
      </c>
      <c r="J9" s="85">
        <f>(SUM(I$4:I9)-(L9*G9))</f>
        <v>-45510</v>
      </c>
      <c r="K9" s="10">
        <f>SUM(I$4:I9)/G9</f>
        <v>25748.333333333332</v>
      </c>
      <c r="L9" s="10">
        <f t="shared" si="1"/>
        <v>33333.333333333336</v>
      </c>
    </row>
    <row r="10" spans="2:12" ht="20.100000000000001" customHeight="1" x14ac:dyDescent="0.2">
      <c r="B10" s="89">
        <v>42409</v>
      </c>
      <c r="C10" s="24">
        <v>57837</v>
      </c>
      <c r="D10" s="85">
        <f>(SUM(C$4:C10)-(F10*G10))</f>
        <v>-34514.666666666686</v>
      </c>
      <c r="E10" s="24">
        <f>SUM(C$4:C10)/G10</f>
        <v>47450.285714285717</v>
      </c>
      <c r="F10" s="30">
        <f t="shared" si="0"/>
        <v>52380.952380952382</v>
      </c>
      <c r="G10" s="20">
        <v>7</v>
      </c>
      <c r="H10" s="89">
        <v>42409</v>
      </c>
      <c r="I10" s="21">
        <v>35870</v>
      </c>
      <c r="J10" s="85">
        <f>(SUM(I$4:I10)-(L10*G10))</f>
        <v>-42973.333333333343</v>
      </c>
      <c r="K10" s="10">
        <f>SUM(I$4:I10)/G10</f>
        <v>27194.285714285714</v>
      </c>
      <c r="L10" s="10">
        <f t="shared" si="1"/>
        <v>33333.333333333336</v>
      </c>
    </row>
    <row r="11" spans="2:12" ht="20.100000000000001" customHeight="1" x14ac:dyDescent="0.2">
      <c r="B11" s="89">
        <v>42410</v>
      </c>
      <c r="C11" s="24">
        <v>41361</v>
      </c>
      <c r="D11" s="85">
        <f>(SUM(C$4:C11)-(F11*G11))</f>
        <v>-45534.619047619053</v>
      </c>
      <c r="E11" s="24">
        <f>SUM(C$4:C11)/G11</f>
        <v>46689.125</v>
      </c>
      <c r="F11" s="30">
        <f t="shared" si="0"/>
        <v>52380.952380952382</v>
      </c>
      <c r="G11" s="20">
        <v>8</v>
      </c>
      <c r="H11" s="89">
        <v>42410</v>
      </c>
      <c r="I11" s="21">
        <v>51523</v>
      </c>
      <c r="J11" s="85">
        <f>(SUM(I$4:I11)-(L11*G11))</f>
        <v>-24783.666666666686</v>
      </c>
      <c r="K11" s="10">
        <f>SUM(I$4:I11)/G11</f>
        <v>30235.375</v>
      </c>
      <c r="L11" s="10">
        <f t="shared" si="1"/>
        <v>33333.333333333336</v>
      </c>
    </row>
    <row r="12" spans="2:12" ht="20.100000000000001" customHeight="1" x14ac:dyDescent="0.2">
      <c r="B12" s="89">
        <v>42411</v>
      </c>
      <c r="C12" s="29">
        <v>62041</v>
      </c>
      <c r="D12" s="85">
        <f>(SUM(C$4:C12)-(F12*G12))</f>
        <v>-35874.57142857142</v>
      </c>
      <c r="E12" s="24">
        <f>SUM(C$4:C12)/G12</f>
        <v>48394.888888888891</v>
      </c>
      <c r="F12" s="30">
        <f t="shared" si="0"/>
        <v>52380.952380952382</v>
      </c>
      <c r="G12" s="20">
        <v>9</v>
      </c>
      <c r="H12" s="89">
        <v>42411</v>
      </c>
      <c r="I12" s="13">
        <v>25673</v>
      </c>
      <c r="J12" s="85">
        <f>(SUM(I$4:I12)-(L12*G12))</f>
        <v>-32444</v>
      </c>
      <c r="K12" s="10">
        <f>SUM(I$4:I12)/G12</f>
        <v>29728.444444444445</v>
      </c>
      <c r="L12" s="10">
        <f t="shared" si="1"/>
        <v>33333.333333333336</v>
      </c>
    </row>
    <row r="13" spans="2:12" ht="20.100000000000001" customHeight="1" x14ac:dyDescent="0.2">
      <c r="B13" s="89">
        <v>42412</v>
      </c>
      <c r="C13" s="24">
        <v>30269</v>
      </c>
      <c r="D13" s="85">
        <f>(SUM(C$4:C13)-(F13*G13))</f>
        <v>-57986.523809523787</v>
      </c>
      <c r="E13" s="24">
        <f>SUM(C$4:C13)/G13</f>
        <v>46582.3</v>
      </c>
      <c r="F13" s="30">
        <f t="shared" si="0"/>
        <v>52380.952380952382</v>
      </c>
      <c r="G13" s="20">
        <v>10</v>
      </c>
      <c r="H13" s="89">
        <v>42412</v>
      </c>
      <c r="I13" s="21">
        <v>38798</v>
      </c>
      <c r="J13" s="85">
        <f>(SUM(I$4:I13)-(L13*G13))</f>
        <v>-26979.333333333372</v>
      </c>
      <c r="K13" s="10">
        <f>SUM(I$4:I13)/G13</f>
        <v>30635.4</v>
      </c>
      <c r="L13" s="10">
        <f t="shared" si="1"/>
        <v>33333.333333333336</v>
      </c>
    </row>
    <row r="14" spans="2:12" ht="20.100000000000001" customHeight="1" x14ac:dyDescent="0.2">
      <c r="B14" s="89">
        <v>42415</v>
      </c>
      <c r="C14" s="29">
        <v>39851</v>
      </c>
      <c r="D14" s="85">
        <f>(SUM(C$4:C14)-(F14*G14))</f>
        <v>-70516.476190476213</v>
      </c>
      <c r="E14" s="24">
        <f>SUM(C$4:C14)/G14</f>
        <v>45970.36363636364</v>
      </c>
      <c r="F14" s="30">
        <f t="shared" si="0"/>
        <v>52380.952380952382</v>
      </c>
      <c r="G14" s="20">
        <v>11</v>
      </c>
      <c r="H14" s="89">
        <v>42415</v>
      </c>
      <c r="I14" s="13">
        <v>39879</v>
      </c>
      <c r="J14" s="85">
        <f>(SUM(I$4:I14)-(L14*G14))</f>
        <v>-20433.666666666686</v>
      </c>
      <c r="K14" s="10">
        <f>SUM(I$4:I14)/G14</f>
        <v>31475.727272727272</v>
      </c>
      <c r="L14" s="10">
        <f t="shared" si="1"/>
        <v>33333.333333333336</v>
      </c>
    </row>
    <row r="15" spans="2:12" ht="20.100000000000001" customHeight="1" x14ac:dyDescent="0.2">
      <c r="B15" s="89">
        <v>42416</v>
      </c>
      <c r="C15" s="29">
        <v>39348</v>
      </c>
      <c r="D15" s="85">
        <f>(SUM(C$4:C15)-(F15*G15))</f>
        <v>-83549.428571428638</v>
      </c>
      <c r="E15" s="24">
        <f>SUM(C$4:C15)/G15</f>
        <v>45418.5</v>
      </c>
      <c r="F15" s="30">
        <f t="shared" si="0"/>
        <v>52380.952380952382</v>
      </c>
      <c r="G15" s="20">
        <v>12</v>
      </c>
      <c r="H15" s="89">
        <v>42416</v>
      </c>
      <c r="I15" s="12">
        <v>29402</v>
      </c>
      <c r="J15" s="85">
        <f>(SUM(I$4:I15)-(L15*G15))</f>
        <v>-24365</v>
      </c>
      <c r="K15" s="10">
        <f>SUM(I$4:I15)/G15</f>
        <v>31302.916666666668</v>
      </c>
      <c r="L15" s="10">
        <f t="shared" si="1"/>
        <v>33333.333333333336</v>
      </c>
    </row>
    <row r="16" spans="2:12" ht="20.100000000000001" customHeight="1" x14ac:dyDescent="0.2">
      <c r="B16" s="89">
        <v>42417</v>
      </c>
      <c r="C16" s="29">
        <v>64519</v>
      </c>
      <c r="D16" s="85">
        <f>(SUM(C$4:C16)-(F16*G16))</f>
        <v>-71411.380952380947</v>
      </c>
      <c r="E16" s="24">
        <f>SUM(C$4:C16)/G16</f>
        <v>46887.769230769234</v>
      </c>
      <c r="F16" s="30">
        <f t="shared" si="0"/>
        <v>52380.952380952382</v>
      </c>
      <c r="G16" s="20">
        <v>13</v>
      </c>
      <c r="H16" s="89">
        <v>42417</v>
      </c>
      <c r="I16" s="12">
        <v>27636</v>
      </c>
      <c r="J16" s="85">
        <f>(SUM(I$4:I16)-(L16*G16))</f>
        <v>-30062.333333333372</v>
      </c>
      <c r="K16" s="10">
        <f>SUM(I$4:I16)/G16</f>
        <v>31020.846153846152</v>
      </c>
      <c r="L16" s="10">
        <f t="shared" si="1"/>
        <v>33333.333333333336</v>
      </c>
    </row>
    <row r="17" spans="1:12" ht="20.100000000000001" customHeight="1" x14ac:dyDescent="0.2">
      <c r="B17" s="89">
        <v>42418</v>
      </c>
      <c r="C17" s="29">
        <v>34130</v>
      </c>
      <c r="D17" s="85">
        <f>(SUM(C$4:C17)-(F17*G17))</f>
        <v>-89662.333333333372</v>
      </c>
      <c r="E17" s="24">
        <f>SUM(C$4:C17)/G17</f>
        <v>45976.5</v>
      </c>
      <c r="F17" s="30">
        <f t="shared" si="0"/>
        <v>52380.952380952382</v>
      </c>
      <c r="G17" s="20">
        <v>14</v>
      </c>
      <c r="H17" s="89">
        <v>42418</v>
      </c>
      <c r="I17" s="12">
        <v>47169</v>
      </c>
      <c r="J17" s="85">
        <f>(SUM(I$4:I17)-(L17*G17))</f>
        <v>-16226.666666666686</v>
      </c>
      <c r="K17" s="10">
        <f>SUM(I$4:I17)/G17</f>
        <v>32174.285714285714</v>
      </c>
      <c r="L17" s="10">
        <f t="shared" si="1"/>
        <v>33333.333333333336</v>
      </c>
    </row>
    <row r="18" spans="1:12" ht="20.100000000000001" customHeight="1" x14ac:dyDescent="0.2">
      <c r="B18" s="89">
        <v>42419</v>
      </c>
      <c r="C18" s="29">
        <v>79128</v>
      </c>
      <c r="D18" s="85">
        <f>(SUM(C$4:C18)-(F18*G18))</f>
        <v>-62915.285714285681</v>
      </c>
      <c r="E18" s="24">
        <f>SUM(C$4:C18)/G18</f>
        <v>48186.6</v>
      </c>
      <c r="F18" s="30">
        <f t="shared" si="0"/>
        <v>52380.952380952382</v>
      </c>
      <c r="G18" s="20">
        <v>15</v>
      </c>
      <c r="H18" s="89">
        <v>42419</v>
      </c>
      <c r="I18" s="12">
        <v>41707</v>
      </c>
      <c r="J18" s="85">
        <f>(SUM(I$4:I18)-(L18*G18))</f>
        <v>-7853.0000000000582</v>
      </c>
      <c r="K18" s="10">
        <f>SUM(I$4:I18)/G18</f>
        <v>32809.800000000003</v>
      </c>
      <c r="L18" s="10">
        <f t="shared" si="1"/>
        <v>33333.333333333336</v>
      </c>
    </row>
    <row r="19" spans="1:12" ht="20.100000000000001" customHeight="1" x14ac:dyDescent="0.2">
      <c r="B19" s="89">
        <v>42422</v>
      </c>
      <c r="C19" s="29">
        <v>70794</v>
      </c>
      <c r="D19" s="85">
        <f>(SUM(C$4:C19)-(F19*G19))</f>
        <v>-44502.238095238106</v>
      </c>
      <c r="E19" s="24">
        <f>SUM(C$4:C19)/G19</f>
        <v>49599.5625</v>
      </c>
      <c r="F19" s="30">
        <f t="shared" si="0"/>
        <v>52380.952380952382</v>
      </c>
      <c r="G19" s="20">
        <v>16</v>
      </c>
      <c r="H19" s="89">
        <v>42422</v>
      </c>
      <c r="I19" s="12">
        <v>33132</v>
      </c>
      <c r="J19" s="85">
        <f>(SUM(I$4:I19)-(L19*G19))</f>
        <v>-8054.3333333333721</v>
      </c>
      <c r="K19" s="10">
        <f>SUM(I$4:I19)/G19</f>
        <v>32829.9375</v>
      </c>
      <c r="L19" s="10">
        <f t="shared" si="1"/>
        <v>33333.333333333336</v>
      </c>
    </row>
    <row r="20" spans="1:12" ht="20.100000000000001" customHeight="1" x14ac:dyDescent="0.2">
      <c r="B20" s="89">
        <v>42423</v>
      </c>
      <c r="C20" s="29">
        <v>19583</v>
      </c>
      <c r="D20" s="85">
        <f>(SUM(C$4:C20)-(F20*G20))</f>
        <v>-77300.190476190532</v>
      </c>
      <c r="E20" s="24">
        <f>SUM(C$4:C20)/G20</f>
        <v>47833.882352941175</v>
      </c>
      <c r="F20" s="30">
        <f t="shared" si="0"/>
        <v>52380.952380952382</v>
      </c>
      <c r="G20" s="20">
        <v>17</v>
      </c>
      <c r="H20" s="89">
        <v>42423</v>
      </c>
      <c r="I20" s="12">
        <v>18981</v>
      </c>
      <c r="J20" s="85">
        <f>(SUM(I$4:I20)-(L20*G20))</f>
        <v>-22406.666666666744</v>
      </c>
      <c r="K20" s="10">
        <f>SUM(I$4:I20)/G20</f>
        <v>32015.294117647059</v>
      </c>
      <c r="L20" s="10">
        <f t="shared" si="1"/>
        <v>33333.333333333336</v>
      </c>
    </row>
    <row r="21" spans="1:12" ht="20.100000000000001" customHeight="1" x14ac:dyDescent="0.2">
      <c r="B21" s="89">
        <v>42424</v>
      </c>
      <c r="C21" s="29">
        <v>42202</v>
      </c>
      <c r="D21" s="85">
        <f>(SUM(C$4:C21)-(F21*G21))</f>
        <v>-87479.142857142841</v>
      </c>
      <c r="E21" s="24">
        <f>SUM(C$4:C21)/G21</f>
        <v>47521</v>
      </c>
      <c r="F21" s="30">
        <f t="shared" si="0"/>
        <v>52380.952380952382</v>
      </c>
      <c r="G21" s="20">
        <v>18</v>
      </c>
      <c r="H21" s="89">
        <v>42424</v>
      </c>
      <c r="I21" s="12">
        <v>33415</v>
      </c>
      <c r="J21" s="85">
        <f>(SUM(I$4:I21)-(L21*G21))</f>
        <v>-22325</v>
      </c>
      <c r="K21" s="10">
        <f>SUM(I$4:I21)/G21</f>
        <v>32093.055555555555</v>
      </c>
      <c r="L21" s="10">
        <f t="shared" si="1"/>
        <v>33333.333333333336</v>
      </c>
    </row>
    <row r="22" spans="1:12" ht="20.100000000000001" customHeight="1" x14ac:dyDescent="0.2">
      <c r="B22" s="89">
        <v>42425</v>
      </c>
      <c r="C22" s="29">
        <v>51222</v>
      </c>
      <c r="D22" s="85">
        <f>(SUM(C$4:C22)-(F22*G22))</f>
        <v>-88638.095238095266</v>
      </c>
      <c r="E22" s="24">
        <f>SUM(C$4:C22)/G22</f>
        <v>47715.789473684214</v>
      </c>
      <c r="F22" s="30">
        <f t="shared" si="0"/>
        <v>52380.952380952382</v>
      </c>
      <c r="G22" s="20">
        <v>19</v>
      </c>
      <c r="H22" s="89">
        <v>42425</v>
      </c>
      <c r="I22" s="12">
        <v>44545</v>
      </c>
      <c r="J22" s="85">
        <f>(SUM(I$4:I22)-(L22*G22))</f>
        <v>-11113.333333333372</v>
      </c>
      <c r="K22" s="10">
        <f>SUM(I$4:I22)/G22</f>
        <v>32748.42105263158</v>
      </c>
      <c r="L22" s="10">
        <f t="shared" si="1"/>
        <v>33333.333333333336</v>
      </c>
    </row>
    <row r="23" spans="1:12" ht="20.100000000000001" customHeight="1" x14ac:dyDescent="0.2">
      <c r="B23" s="89">
        <v>42426</v>
      </c>
      <c r="C23" s="29">
        <v>52731</v>
      </c>
      <c r="D23" s="85">
        <f>(SUM(C$4:C23)-(F23*G23))</f>
        <v>-88288.047619047575</v>
      </c>
      <c r="E23" s="24">
        <f>SUM(C$4:C23)/G23</f>
        <v>47966.55</v>
      </c>
      <c r="F23" s="30">
        <f t="shared" si="0"/>
        <v>52380.952380952382</v>
      </c>
      <c r="G23" s="20">
        <v>20</v>
      </c>
      <c r="H23" s="89">
        <v>42426</v>
      </c>
      <c r="I23" s="12">
        <v>33093</v>
      </c>
      <c r="J23" s="85">
        <f>(SUM(I$4:I23)-(L23*G23))</f>
        <v>-11353.666666666744</v>
      </c>
      <c r="K23" s="10">
        <f>SUM(I$4:I23)/G23</f>
        <v>32765.65</v>
      </c>
      <c r="L23" s="10">
        <f t="shared" si="1"/>
        <v>33333.333333333336</v>
      </c>
    </row>
    <row r="24" spans="1:12" ht="20.100000000000001" customHeight="1" x14ac:dyDescent="0.2">
      <c r="B24" s="89">
        <v>42429</v>
      </c>
      <c r="C24" s="29">
        <v>66523</v>
      </c>
      <c r="D24" s="85">
        <f>(SUM(C$4:C24)-(F24*G24))</f>
        <v>-74146</v>
      </c>
      <c r="E24" s="24">
        <f>SUM(C$4:C24)/G24</f>
        <v>48850.190476190473</v>
      </c>
      <c r="F24" s="30">
        <f t="shared" si="0"/>
        <v>52380.952380952382</v>
      </c>
      <c r="G24" s="20">
        <v>21</v>
      </c>
      <c r="H24" s="89">
        <v>42429</v>
      </c>
      <c r="I24" s="12">
        <v>59656</v>
      </c>
      <c r="J24" s="85">
        <f>(SUM(I$4:I24)-(L24*G24))</f>
        <v>14969</v>
      </c>
      <c r="K24" s="10">
        <f>SUM(I$4:I24)/G24</f>
        <v>34046.142857142855</v>
      </c>
      <c r="L24" s="10">
        <f t="shared" si="1"/>
        <v>33333.333333333336</v>
      </c>
    </row>
    <row r="25" spans="1:12" ht="20.100000000000001" customHeight="1" x14ac:dyDescent="0.2">
      <c r="B25" s="19" t="s">
        <v>8</v>
      </c>
      <c r="C25" s="12">
        <f>SUM(C4:C24)</f>
        <v>1025854</v>
      </c>
      <c r="D25" s="86"/>
      <c r="E25" s="23"/>
      <c r="F25" s="30">
        <v>1100000</v>
      </c>
      <c r="G25" s="18"/>
      <c r="H25" s="11" t="s">
        <v>8</v>
      </c>
      <c r="I25" s="12">
        <f>SUM(I4:I24)</f>
        <v>714969</v>
      </c>
      <c r="J25" s="8"/>
      <c r="K25" s="8"/>
      <c r="L25" s="10">
        <v>700000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1"/>
    <mergeCell ref="H1:L1"/>
    <mergeCell ref="B2:F2"/>
    <mergeCell ref="H2:L2"/>
    <mergeCell ref="A29:D29"/>
  </mergeCells>
  <conditionalFormatting sqref="D4:D24 J4:J25">
    <cfRule type="cellIs" dxfId="1812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Plan114">
    <tabColor rgb="FF92D050"/>
  </sheetPr>
  <dimension ref="A1:L31"/>
  <sheetViews>
    <sheetView topLeftCell="A4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84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89">
        <v>42430</v>
      </c>
      <c r="C4" s="24">
        <v>64489</v>
      </c>
      <c r="D4" s="85">
        <f>(SUM(C4:C4)-(F4*1))</f>
        <v>1489</v>
      </c>
      <c r="E4" s="24">
        <f>C4/1</f>
        <v>64489</v>
      </c>
      <c r="F4" s="30">
        <f t="shared" ref="F4:F25" si="0">$F$26/$G$25</f>
        <v>63000</v>
      </c>
      <c r="G4" s="20">
        <v>1</v>
      </c>
      <c r="H4" s="89">
        <v>42430</v>
      </c>
      <c r="I4" s="12">
        <v>23381</v>
      </c>
      <c r="J4" s="10">
        <f>(SUM(I4:I4)-(L4*G4))</f>
        <v>-9619</v>
      </c>
      <c r="K4" s="10">
        <f>I4/1</f>
        <v>23381</v>
      </c>
      <c r="L4" s="10">
        <f t="shared" ref="L4:L25" si="1">$L$26/$G$25</f>
        <v>33000</v>
      </c>
    </row>
    <row r="5" spans="2:12" ht="20.100000000000001" customHeight="1" x14ac:dyDescent="0.2">
      <c r="B5" s="89">
        <v>42431</v>
      </c>
      <c r="C5" s="26">
        <v>40218</v>
      </c>
      <c r="D5" s="85">
        <f>(SUM(C$4:C5)-(F5*G5))</f>
        <v>-21293</v>
      </c>
      <c r="E5" s="24">
        <f>SUM(C$4:C5)/G5</f>
        <v>52353.5</v>
      </c>
      <c r="F5" s="30">
        <f t="shared" si="0"/>
        <v>63000</v>
      </c>
      <c r="G5" s="20">
        <f>G4+1</f>
        <v>2</v>
      </c>
      <c r="H5" s="89">
        <v>42431</v>
      </c>
      <c r="I5" s="21">
        <v>28468</v>
      </c>
      <c r="J5" s="85">
        <f>(SUM(I$4:I5)-(L5*G5))</f>
        <v>-14151</v>
      </c>
      <c r="K5" s="10">
        <f>SUM(I$4:I5)/G5</f>
        <v>25924.5</v>
      </c>
      <c r="L5" s="10">
        <f t="shared" si="1"/>
        <v>33000</v>
      </c>
    </row>
    <row r="6" spans="2:12" ht="20.100000000000001" customHeight="1" x14ac:dyDescent="0.2">
      <c r="B6" s="89">
        <v>42432</v>
      </c>
      <c r="C6" s="24">
        <v>67208</v>
      </c>
      <c r="D6" s="85">
        <f>(SUM(C$4:C6)-(F6*G6))</f>
        <v>-17085</v>
      </c>
      <c r="E6" s="24">
        <f>SUM(C$4:C6)/G6</f>
        <v>57305</v>
      </c>
      <c r="F6" s="30">
        <f t="shared" si="0"/>
        <v>63000</v>
      </c>
      <c r="G6" s="20">
        <f>G5+1</f>
        <v>3</v>
      </c>
      <c r="H6" s="89">
        <v>42432</v>
      </c>
      <c r="I6" s="21">
        <v>42286</v>
      </c>
      <c r="J6" s="85">
        <f>(SUM(I$4:I6)-(L6*G6))</f>
        <v>-4865</v>
      </c>
      <c r="K6" s="10">
        <f>SUM(I$4:I6)/G6</f>
        <v>31378.333333333332</v>
      </c>
      <c r="L6" s="10">
        <f t="shared" si="1"/>
        <v>33000</v>
      </c>
    </row>
    <row r="7" spans="2:12" ht="19.5" customHeight="1" x14ac:dyDescent="0.2">
      <c r="B7" s="89">
        <v>42433</v>
      </c>
      <c r="C7" s="24">
        <v>112728</v>
      </c>
      <c r="D7" s="85">
        <f>(SUM(C$4:C7)-(F7*G7))</f>
        <v>32643</v>
      </c>
      <c r="E7" s="24">
        <f>SUM(C$4:C7)/G7</f>
        <v>71160.75</v>
      </c>
      <c r="F7" s="30">
        <f t="shared" si="0"/>
        <v>63000</v>
      </c>
      <c r="G7" s="20">
        <f>G6+1</f>
        <v>4</v>
      </c>
      <c r="H7" s="89">
        <v>42433</v>
      </c>
      <c r="I7" s="21">
        <v>26230</v>
      </c>
      <c r="J7" s="85">
        <f>(SUM(I$4:I7)-(L7*G7))</f>
        <v>-11635</v>
      </c>
      <c r="K7" s="10">
        <f>SUM(I$4:I7)/G7</f>
        <v>30091.25</v>
      </c>
      <c r="L7" s="10">
        <f t="shared" si="1"/>
        <v>33000</v>
      </c>
    </row>
    <row r="8" spans="2:12" ht="20.100000000000001" customHeight="1" x14ac:dyDescent="0.2">
      <c r="B8" s="89">
        <v>42436</v>
      </c>
      <c r="C8" s="27">
        <v>48890</v>
      </c>
      <c r="D8" s="85">
        <f>(SUM(C$4:C8)-(F8*G8))</f>
        <v>18533</v>
      </c>
      <c r="E8" s="24">
        <f>SUM(C$4:C8)/G8</f>
        <v>66706.600000000006</v>
      </c>
      <c r="F8" s="30">
        <f t="shared" si="0"/>
        <v>63000</v>
      </c>
      <c r="G8" s="20">
        <f>G7+1</f>
        <v>5</v>
      </c>
      <c r="H8" s="89">
        <v>42436</v>
      </c>
      <c r="I8" s="22">
        <v>28917</v>
      </c>
      <c r="J8" s="85">
        <f>(SUM(I$4:I8)-(L8*G8))</f>
        <v>-15718</v>
      </c>
      <c r="K8" s="10">
        <f>SUM(I$4:I8)/G8</f>
        <v>29856.400000000001</v>
      </c>
      <c r="L8" s="10">
        <f t="shared" si="1"/>
        <v>33000</v>
      </c>
    </row>
    <row r="9" spans="2:12" ht="20.100000000000001" customHeight="1" x14ac:dyDescent="0.2">
      <c r="B9" s="89">
        <v>42437</v>
      </c>
      <c r="C9" s="27">
        <v>57285</v>
      </c>
      <c r="D9" s="85">
        <f>(SUM(C$4:C9)-(F9*G9))</f>
        <v>12818</v>
      </c>
      <c r="E9" s="24">
        <f>SUM(C$4:C9)/G9</f>
        <v>65136.333333333336</v>
      </c>
      <c r="F9" s="30">
        <f t="shared" si="0"/>
        <v>63000</v>
      </c>
      <c r="G9" s="20">
        <f>G8+1</f>
        <v>6</v>
      </c>
      <c r="H9" s="89">
        <v>42437</v>
      </c>
      <c r="I9" s="22">
        <v>27670</v>
      </c>
      <c r="J9" s="85">
        <f>(SUM(I$4:I9)-(L9*G9))</f>
        <v>-21048</v>
      </c>
      <c r="K9" s="10">
        <f>SUM(I$4:I9)/G9</f>
        <v>29492</v>
      </c>
      <c r="L9" s="10">
        <f t="shared" si="1"/>
        <v>33000</v>
      </c>
    </row>
    <row r="10" spans="2:12" ht="20.100000000000001" customHeight="1" x14ac:dyDescent="0.2">
      <c r="B10" s="89">
        <v>42438</v>
      </c>
      <c r="C10" s="24">
        <v>56352</v>
      </c>
      <c r="D10" s="85">
        <f>(SUM(C$4:C10)-(F10*G10))</f>
        <v>6170</v>
      </c>
      <c r="E10" s="24">
        <f>SUM(C$4:C10)/G10</f>
        <v>63881.428571428572</v>
      </c>
      <c r="F10" s="30">
        <f t="shared" si="0"/>
        <v>63000</v>
      </c>
      <c r="G10" s="20">
        <v>7</v>
      </c>
      <c r="H10" s="89">
        <v>42438</v>
      </c>
      <c r="I10" s="21">
        <v>41572</v>
      </c>
      <c r="J10" s="85">
        <f>(SUM(I$4:I10)-(L10*G10))</f>
        <v>-12476</v>
      </c>
      <c r="K10" s="10">
        <f>SUM(I$4:I10)/G10</f>
        <v>31217.714285714286</v>
      </c>
      <c r="L10" s="10">
        <f t="shared" si="1"/>
        <v>33000</v>
      </c>
    </row>
    <row r="11" spans="2:12" ht="20.100000000000001" customHeight="1" x14ac:dyDescent="0.2">
      <c r="B11" s="89">
        <v>42439</v>
      </c>
      <c r="C11" s="24">
        <v>68011</v>
      </c>
      <c r="D11" s="85">
        <f>(SUM(C$4:C11)-(F11*G11))</f>
        <v>11181</v>
      </c>
      <c r="E11" s="24">
        <f>SUM(C$4:C11)/G11</f>
        <v>64397.625</v>
      </c>
      <c r="F11" s="30">
        <f t="shared" si="0"/>
        <v>63000</v>
      </c>
      <c r="G11" s="20">
        <v>8</v>
      </c>
      <c r="H11" s="89">
        <v>42439</v>
      </c>
      <c r="I11" s="21">
        <v>26044</v>
      </c>
      <c r="J11" s="85">
        <f>(SUM(I$4:I11)-(L11*G11))</f>
        <v>-19432</v>
      </c>
      <c r="K11" s="10">
        <f>SUM(I$4:I11)/G11</f>
        <v>30571</v>
      </c>
      <c r="L11" s="10">
        <f t="shared" si="1"/>
        <v>33000</v>
      </c>
    </row>
    <row r="12" spans="2:12" ht="20.100000000000001" customHeight="1" x14ac:dyDescent="0.2">
      <c r="B12" s="89">
        <v>42440</v>
      </c>
      <c r="C12" s="29">
        <v>58390</v>
      </c>
      <c r="D12" s="85">
        <f>(SUM(C$4:C12)-(F12*G12))</f>
        <v>6571</v>
      </c>
      <c r="E12" s="24">
        <f>SUM(C$4:C12)/G12</f>
        <v>63730.111111111109</v>
      </c>
      <c r="F12" s="30">
        <f t="shared" si="0"/>
        <v>63000</v>
      </c>
      <c r="G12" s="20">
        <v>9</v>
      </c>
      <c r="H12" s="89">
        <v>42440</v>
      </c>
      <c r="I12" s="13">
        <v>42930</v>
      </c>
      <c r="J12" s="85">
        <f>(SUM(I$4:I12)-(L12*G12))</f>
        <v>-9502</v>
      </c>
      <c r="K12" s="10">
        <f>SUM(I$4:I12)/G12</f>
        <v>31944.222222222223</v>
      </c>
      <c r="L12" s="10">
        <f t="shared" si="1"/>
        <v>33000</v>
      </c>
    </row>
    <row r="13" spans="2:12" ht="20.100000000000001" customHeight="1" x14ac:dyDescent="0.2">
      <c r="B13" s="89">
        <v>42443</v>
      </c>
      <c r="C13" s="24">
        <v>55480</v>
      </c>
      <c r="D13" s="85">
        <f>(SUM(C$4:C13)-(F13*G13))</f>
        <v>-949</v>
      </c>
      <c r="E13" s="24">
        <f>SUM(C$4:C13)/G13</f>
        <v>62905.1</v>
      </c>
      <c r="F13" s="30">
        <f t="shared" si="0"/>
        <v>63000</v>
      </c>
      <c r="G13" s="20">
        <v>10</v>
      </c>
      <c r="H13" s="89">
        <v>42443</v>
      </c>
      <c r="I13" s="21">
        <v>30868</v>
      </c>
      <c r="J13" s="85">
        <f>(SUM(I$4:I13)-(L13*G13))</f>
        <v>-11634</v>
      </c>
      <c r="K13" s="10">
        <f>SUM(I$4:I13)/G13</f>
        <v>31836.6</v>
      </c>
      <c r="L13" s="10">
        <f t="shared" si="1"/>
        <v>33000</v>
      </c>
    </row>
    <row r="14" spans="2:12" ht="20.100000000000001" customHeight="1" x14ac:dyDescent="0.2">
      <c r="B14" s="89">
        <v>42444</v>
      </c>
      <c r="C14" s="29">
        <v>58018</v>
      </c>
      <c r="D14" s="85">
        <f>(SUM(C$4:C14)-(F14*G14))</f>
        <v>-5931</v>
      </c>
      <c r="E14" s="24">
        <f>SUM(C$4:C14)/G14</f>
        <v>62460.818181818184</v>
      </c>
      <c r="F14" s="30">
        <f t="shared" si="0"/>
        <v>63000</v>
      </c>
      <c r="G14" s="20">
        <v>11</v>
      </c>
      <c r="H14" s="89">
        <v>42444</v>
      </c>
      <c r="I14" s="13">
        <v>20831</v>
      </c>
      <c r="J14" s="85">
        <f>(SUM(I$4:I14)-(L14*G14))</f>
        <v>-23803</v>
      </c>
      <c r="K14" s="10">
        <f>SUM(I$4:I14)/G14</f>
        <v>30836.090909090908</v>
      </c>
      <c r="L14" s="10">
        <f t="shared" si="1"/>
        <v>33000</v>
      </c>
    </row>
    <row r="15" spans="2:12" ht="20.100000000000001" customHeight="1" x14ac:dyDescent="0.2">
      <c r="B15" s="89">
        <v>42445</v>
      </c>
      <c r="C15" s="29">
        <v>69020</v>
      </c>
      <c r="D15" s="85">
        <f>(SUM(C$4:C15)-(F15*G15))</f>
        <v>89</v>
      </c>
      <c r="E15" s="24">
        <f>SUM(C$4:C15)/G15</f>
        <v>63007.416666666664</v>
      </c>
      <c r="F15" s="30">
        <f t="shared" si="0"/>
        <v>63000</v>
      </c>
      <c r="G15" s="20">
        <v>12</v>
      </c>
      <c r="H15" s="89">
        <v>42445</v>
      </c>
      <c r="I15" s="12">
        <v>34342</v>
      </c>
      <c r="J15" s="85">
        <f>(SUM(I$4:I15)-(L15*G15))</f>
        <v>-22461</v>
      </c>
      <c r="K15" s="10">
        <f>SUM(I$4:I15)/G15</f>
        <v>31128.25</v>
      </c>
      <c r="L15" s="10">
        <f t="shared" si="1"/>
        <v>33000</v>
      </c>
    </row>
    <row r="16" spans="2:12" ht="20.100000000000001" customHeight="1" x14ac:dyDescent="0.2">
      <c r="B16" s="89">
        <v>42446</v>
      </c>
      <c r="C16" s="29">
        <v>73977</v>
      </c>
      <c r="D16" s="85">
        <f>(SUM(C$4:C16)-(F16*G16))</f>
        <v>11066</v>
      </c>
      <c r="E16" s="24">
        <f>SUM(C$4:C16)/G16</f>
        <v>63851.230769230766</v>
      </c>
      <c r="F16" s="30">
        <f t="shared" si="0"/>
        <v>63000</v>
      </c>
      <c r="G16" s="20">
        <v>13</v>
      </c>
      <c r="H16" s="89">
        <v>42446</v>
      </c>
      <c r="I16" s="12">
        <v>34088</v>
      </c>
      <c r="J16" s="85">
        <f>(SUM(I$4:I16)-(L16*G16))</f>
        <v>-21373</v>
      </c>
      <c r="K16" s="10">
        <f>SUM(I$4:I16)/G16</f>
        <v>31355.923076923078</v>
      </c>
      <c r="L16" s="10">
        <f t="shared" si="1"/>
        <v>33000</v>
      </c>
    </row>
    <row r="17" spans="1:12" ht="20.100000000000001" customHeight="1" x14ac:dyDescent="0.2">
      <c r="B17" s="89">
        <v>42447</v>
      </c>
      <c r="C17" s="29">
        <v>46083</v>
      </c>
      <c r="D17" s="85">
        <f>(SUM(C$4:C17)-(F17*G17))</f>
        <v>-5851</v>
      </c>
      <c r="E17" s="24">
        <f>SUM(C$4:C17)/G17</f>
        <v>62582.071428571428</v>
      </c>
      <c r="F17" s="30">
        <f t="shared" si="0"/>
        <v>63000</v>
      </c>
      <c r="G17" s="20">
        <v>14</v>
      </c>
      <c r="H17" s="89">
        <v>42447</v>
      </c>
      <c r="I17" s="12">
        <v>32710</v>
      </c>
      <c r="J17" s="85">
        <f>(SUM(I$4:I17)-(L17*G17))</f>
        <v>-21663</v>
      </c>
      <c r="K17" s="10">
        <f>SUM(I$4:I17)/G17</f>
        <v>31452.642857142859</v>
      </c>
      <c r="L17" s="10">
        <f t="shared" si="1"/>
        <v>33000</v>
      </c>
    </row>
    <row r="18" spans="1:12" ht="20.100000000000001" customHeight="1" x14ac:dyDescent="0.2">
      <c r="B18" s="89">
        <v>42450</v>
      </c>
      <c r="C18" s="29">
        <v>52669</v>
      </c>
      <c r="D18" s="85">
        <f>(SUM(C$4:C18)-(F18*G18))</f>
        <v>-16182</v>
      </c>
      <c r="E18" s="24">
        <f>SUM(C$4:C18)/G18</f>
        <v>61921.2</v>
      </c>
      <c r="F18" s="30">
        <f t="shared" si="0"/>
        <v>63000</v>
      </c>
      <c r="G18" s="20">
        <v>15</v>
      </c>
      <c r="H18" s="89">
        <v>42450</v>
      </c>
      <c r="I18" s="12">
        <v>32813</v>
      </c>
      <c r="J18" s="85">
        <f>(SUM(I$4:I18)-(L18*G18))</f>
        <v>-21850</v>
      </c>
      <c r="K18" s="10">
        <f>SUM(I$4:I18)/G18</f>
        <v>31543.333333333332</v>
      </c>
      <c r="L18" s="10">
        <f t="shared" si="1"/>
        <v>33000</v>
      </c>
    </row>
    <row r="19" spans="1:12" ht="20.100000000000001" customHeight="1" x14ac:dyDescent="0.2">
      <c r="B19" s="89">
        <v>42451</v>
      </c>
      <c r="C19" s="29">
        <v>80120</v>
      </c>
      <c r="D19" s="85">
        <f>(SUM(C$4:C19)-(F19*G19))</f>
        <v>938</v>
      </c>
      <c r="E19" s="24">
        <f>SUM(C$4:C19)/G19</f>
        <v>63058.625</v>
      </c>
      <c r="F19" s="30">
        <f t="shared" si="0"/>
        <v>63000</v>
      </c>
      <c r="G19" s="20">
        <v>16</v>
      </c>
      <c r="H19" s="89">
        <v>42451</v>
      </c>
      <c r="I19" s="12">
        <v>43248</v>
      </c>
      <c r="J19" s="85">
        <f>(SUM(I$4:I19)-(L19*G19))</f>
        <v>-11602</v>
      </c>
      <c r="K19" s="10">
        <f>SUM(I$4:I19)/G19</f>
        <v>32274.875</v>
      </c>
      <c r="L19" s="10">
        <f t="shared" si="1"/>
        <v>33000</v>
      </c>
    </row>
    <row r="20" spans="1:12" ht="20.100000000000001" customHeight="1" x14ac:dyDescent="0.2">
      <c r="B20" s="89">
        <v>42452</v>
      </c>
      <c r="C20" s="29">
        <v>52666</v>
      </c>
      <c r="D20" s="85">
        <f>(SUM(C$4:C20)-(F20*G20))</f>
        <v>-9396</v>
      </c>
      <c r="E20" s="24">
        <f>SUM(C$4:C20)/G20</f>
        <v>62447.294117647056</v>
      </c>
      <c r="F20" s="30">
        <f t="shared" si="0"/>
        <v>63000</v>
      </c>
      <c r="G20" s="20">
        <v>17</v>
      </c>
      <c r="H20" s="89">
        <v>42452</v>
      </c>
      <c r="I20" s="12">
        <v>53849</v>
      </c>
      <c r="J20" s="85">
        <f>(SUM(I$4:I20)-(L20*G20))</f>
        <v>9247</v>
      </c>
      <c r="K20" s="10">
        <f>SUM(I$4:I20)/G20</f>
        <v>33543.941176470587</v>
      </c>
      <c r="L20" s="10">
        <f t="shared" si="1"/>
        <v>33000</v>
      </c>
    </row>
    <row r="21" spans="1:12" ht="20.100000000000001" customHeight="1" x14ac:dyDescent="0.2">
      <c r="B21" s="89">
        <v>42453</v>
      </c>
      <c r="C21" s="29">
        <v>60762</v>
      </c>
      <c r="D21" s="85">
        <f>(SUM(C$4:C21)-(F21*G21))</f>
        <v>-11634</v>
      </c>
      <c r="E21" s="24">
        <f>SUM(C$4:C21)/G21</f>
        <v>62353.666666666664</v>
      </c>
      <c r="F21" s="30">
        <f t="shared" si="0"/>
        <v>63000</v>
      </c>
      <c r="G21" s="20">
        <v>18</v>
      </c>
      <c r="H21" s="89">
        <v>42453</v>
      </c>
      <c r="I21" s="12">
        <v>49759</v>
      </c>
      <c r="J21" s="85">
        <f>(SUM(I$4:I21)-(L21*G21))</f>
        <v>26006</v>
      </c>
      <c r="K21" s="10">
        <f>SUM(I$4:I21)/G21</f>
        <v>34444.777777777781</v>
      </c>
      <c r="L21" s="10">
        <f t="shared" si="1"/>
        <v>33000</v>
      </c>
    </row>
    <row r="22" spans="1:12" ht="20.100000000000001" customHeight="1" x14ac:dyDescent="0.2">
      <c r="B22" s="89">
        <v>42457</v>
      </c>
      <c r="C22" s="29">
        <v>61311</v>
      </c>
      <c r="D22" s="85">
        <f>(SUM(C$4:C22)-(F22*G22))</f>
        <v>-13323</v>
      </c>
      <c r="E22" s="24">
        <f>SUM(C$4:C22)/G22</f>
        <v>62298.789473684214</v>
      </c>
      <c r="F22" s="30">
        <f t="shared" si="0"/>
        <v>63000</v>
      </c>
      <c r="G22" s="20">
        <v>19</v>
      </c>
      <c r="H22" s="89">
        <v>42457</v>
      </c>
      <c r="I22" s="12">
        <v>51111</v>
      </c>
      <c r="J22" s="85">
        <f>(SUM(I$4:I22)-(L22*G22))</f>
        <v>44117</v>
      </c>
      <c r="K22" s="10">
        <f>SUM(I$4:I22)/G22</f>
        <v>35321.947368421053</v>
      </c>
      <c r="L22" s="10">
        <f t="shared" si="1"/>
        <v>33000</v>
      </c>
    </row>
    <row r="23" spans="1:12" ht="20.100000000000001" customHeight="1" x14ac:dyDescent="0.2">
      <c r="B23" s="89">
        <v>42458</v>
      </c>
      <c r="C23" s="29">
        <v>56762</v>
      </c>
      <c r="D23" s="85">
        <f>(SUM(C$4:C23)-(F23*G23))</f>
        <v>-19561</v>
      </c>
      <c r="E23" s="24">
        <f>SUM(C$4:C23)/G23</f>
        <v>62021.95</v>
      </c>
      <c r="F23" s="30">
        <f t="shared" si="0"/>
        <v>63000</v>
      </c>
      <c r="G23" s="20">
        <v>20</v>
      </c>
      <c r="H23" s="89">
        <v>42458</v>
      </c>
      <c r="I23" s="12">
        <v>29773</v>
      </c>
      <c r="J23" s="85">
        <f>(SUM(I$4:I23)-(L23*G23))</f>
        <v>40890</v>
      </c>
      <c r="K23" s="10">
        <f>SUM(I$4:I23)/G23</f>
        <v>35044.5</v>
      </c>
      <c r="L23" s="10">
        <f t="shared" si="1"/>
        <v>33000</v>
      </c>
    </row>
    <row r="24" spans="1:12" ht="20.100000000000001" customHeight="1" x14ac:dyDescent="0.2">
      <c r="B24" s="89">
        <v>42459</v>
      </c>
      <c r="C24" s="29">
        <v>41591</v>
      </c>
      <c r="D24" s="85">
        <f>(SUM(C$4:C24)-(F24*G24))</f>
        <v>-40970</v>
      </c>
      <c r="E24" s="24">
        <f>SUM(C$4:C24)/G24</f>
        <v>61049.047619047618</v>
      </c>
      <c r="F24" s="30">
        <f t="shared" si="0"/>
        <v>63000</v>
      </c>
      <c r="G24" s="20">
        <v>21</v>
      </c>
      <c r="H24" s="89">
        <v>42459</v>
      </c>
      <c r="I24" s="12">
        <v>27079</v>
      </c>
      <c r="J24" s="85">
        <f>(SUM(I$4:I24)-(L24*G24))</f>
        <v>34969</v>
      </c>
      <c r="K24" s="10">
        <f>SUM(I$4:I24)/G24</f>
        <v>34665.190476190473</v>
      </c>
      <c r="L24" s="10">
        <f t="shared" si="1"/>
        <v>33000</v>
      </c>
    </row>
    <row r="25" spans="1:12" ht="20.100000000000001" customHeight="1" x14ac:dyDescent="0.2">
      <c r="B25" s="89">
        <v>42460</v>
      </c>
      <c r="C25" s="29">
        <v>13929</v>
      </c>
      <c r="D25" s="85">
        <f>(SUM(C$4:C25)-(F25*G25))</f>
        <v>-90041</v>
      </c>
      <c r="E25" s="24">
        <f>SUM(C$4:C25)/G25</f>
        <v>58907.227272727272</v>
      </c>
      <c r="F25" s="30">
        <f t="shared" si="0"/>
        <v>63000</v>
      </c>
      <c r="G25" s="20">
        <v>22</v>
      </c>
      <c r="H25" s="89">
        <v>42460</v>
      </c>
      <c r="I25" s="12">
        <v>9491</v>
      </c>
      <c r="J25" s="85">
        <f>(SUM(I$4:I25)-(L25*G25))</f>
        <v>11460</v>
      </c>
      <c r="K25" s="10">
        <f>SUM(I$4:I25)/G25</f>
        <v>33520.909090909088</v>
      </c>
      <c r="L25" s="10">
        <f t="shared" si="1"/>
        <v>33000</v>
      </c>
    </row>
    <row r="26" spans="1:12" ht="20.100000000000001" customHeight="1" x14ac:dyDescent="0.2">
      <c r="B26" s="19" t="s">
        <v>8</v>
      </c>
      <c r="C26" s="12">
        <f>SUM(C4:C25)</f>
        <v>1295959</v>
      </c>
      <c r="D26" s="86"/>
      <c r="E26" s="23"/>
      <c r="F26" s="30">
        <v>1386000</v>
      </c>
      <c r="G26" s="18"/>
      <c r="H26" s="11" t="s">
        <v>8</v>
      </c>
      <c r="I26" s="12">
        <f>SUM(I4:I25)</f>
        <v>737460</v>
      </c>
      <c r="J26" s="8"/>
      <c r="K26" s="8"/>
      <c r="L26" s="10">
        <v>726000</v>
      </c>
    </row>
    <row r="27" spans="1:12" ht="19.5" customHeight="1" x14ac:dyDescent="0.2"/>
    <row r="28" spans="1:12" ht="19.5" customHeight="1" x14ac:dyDescent="0.2"/>
    <row r="30" spans="1:12" x14ac:dyDescent="0.2">
      <c r="A30" s="156"/>
      <c r="B30" s="156"/>
      <c r="C30" s="156"/>
      <c r="D30" s="156"/>
      <c r="I30" s="34"/>
      <c r="J30" s="32"/>
    </row>
    <row r="31" spans="1:12" x14ac:dyDescent="0.2">
      <c r="L31" s="33"/>
    </row>
  </sheetData>
  <mergeCells count="5">
    <mergeCell ref="B1:F1"/>
    <mergeCell ref="H1:L1"/>
    <mergeCell ref="B2:F2"/>
    <mergeCell ref="H2:L2"/>
    <mergeCell ref="A30:D30"/>
  </mergeCells>
  <conditionalFormatting sqref="D4:D25 J4:J26">
    <cfRule type="cellIs" dxfId="181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Plan132">
    <tabColor rgb="FF92D050"/>
  </sheetPr>
  <dimension ref="A1:V30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42705</v>
      </c>
      <c r="C5" s="24">
        <v>83582</v>
      </c>
      <c r="D5" s="85">
        <f>SUM(C5:C5)-(F5*1)</f>
        <v>33582</v>
      </c>
      <c r="E5" s="24">
        <f>C5/1</f>
        <v>83582</v>
      </c>
      <c r="F5" s="30">
        <f t="shared" ref="F5:F24" si="0">$F$25/$G$24</f>
        <v>50000</v>
      </c>
      <c r="G5" s="20">
        <v>1</v>
      </c>
      <c r="H5" s="89">
        <v>42705</v>
      </c>
      <c r="I5" s="12">
        <v>35466</v>
      </c>
      <c r="J5" s="10">
        <f>SUM(I5:I5)-(L5*G5)</f>
        <v>8466</v>
      </c>
      <c r="K5" s="10">
        <f>I5/1</f>
        <v>35466</v>
      </c>
      <c r="L5" s="10">
        <f t="shared" ref="L5:L24" si="1">$L$25/$G$24</f>
        <v>27000</v>
      </c>
    </row>
    <row r="6" spans="2:22" ht="20.100000000000001" customHeight="1" x14ac:dyDescent="0.2">
      <c r="B6" s="89">
        <v>42706</v>
      </c>
      <c r="C6" s="26">
        <v>61484</v>
      </c>
      <c r="D6" s="85">
        <f>SUM(C$5:C6)-(F6*G6)</f>
        <v>45066</v>
      </c>
      <c r="E6" s="24">
        <f>SUM(C$5:C6)/G6</f>
        <v>72533</v>
      </c>
      <c r="F6" s="30">
        <f t="shared" si="0"/>
        <v>50000</v>
      </c>
      <c r="G6" s="20">
        <v>2</v>
      </c>
      <c r="H6" s="89">
        <v>42706</v>
      </c>
      <c r="I6" s="21">
        <v>50578</v>
      </c>
      <c r="J6" s="85">
        <f>SUM(I$5:I6)-(L6*G6)</f>
        <v>32044</v>
      </c>
      <c r="K6" s="10">
        <f>SUM(I$5:I6)/G6</f>
        <v>43022</v>
      </c>
      <c r="L6" s="10">
        <f t="shared" si="1"/>
        <v>27000</v>
      </c>
    </row>
    <row r="7" spans="2:22" ht="20.100000000000001" customHeight="1" x14ac:dyDescent="0.2">
      <c r="B7" s="89">
        <v>42709</v>
      </c>
      <c r="C7" s="24">
        <v>43656</v>
      </c>
      <c r="D7" s="85">
        <f>SUM(C$5:C7)-(F7*G7)</f>
        <v>38722</v>
      </c>
      <c r="E7" s="24">
        <f>SUM(C$5:C7)/G7</f>
        <v>62907.333333333336</v>
      </c>
      <c r="F7" s="30">
        <f t="shared" si="0"/>
        <v>50000</v>
      </c>
      <c r="G7" s="20">
        <v>3</v>
      </c>
      <c r="H7" s="89">
        <v>42709</v>
      </c>
      <c r="I7" s="21">
        <v>23367</v>
      </c>
      <c r="J7" s="85">
        <f>SUM(I$5:I7)-(L7*G7)</f>
        <v>28411</v>
      </c>
      <c r="K7" s="10">
        <f>SUM(I$5:I7)/G7</f>
        <v>36470.333333333336</v>
      </c>
      <c r="L7" s="10">
        <f t="shared" si="1"/>
        <v>27000</v>
      </c>
    </row>
    <row r="8" spans="2:22" ht="19.5" customHeight="1" x14ac:dyDescent="0.2">
      <c r="B8" s="89">
        <v>42710</v>
      </c>
      <c r="C8" s="24">
        <v>39780</v>
      </c>
      <c r="D8" s="85">
        <f>SUM(C$5:C8)-(F8*G8)</f>
        <v>28502</v>
      </c>
      <c r="E8" s="24">
        <f>SUM(C$5:C8)/G8</f>
        <v>57125.5</v>
      </c>
      <c r="F8" s="30">
        <f t="shared" si="0"/>
        <v>50000</v>
      </c>
      <c r="G8" s="20">
        <v>4</v>
      </c>
      <c r="H8" s="89">
        <v>42710</v>
      </c>
      <c r="I8" s="21">
        <v>20494</v>
      </c>
      <c r="J8" s="85">
        <f>SUM(I$5:I8)-(L8*G8)</f>
        <v>21905</v>
      </c>
      <c r="K8" s="10">
        <f>SUM(I$5:I8)/G8</f>
        <v>32476.25</v>
      </c>
      <c r="L8" s="10">
        <f t="shared" si="1"/>
        <v>27000</v>
      </c>
    </row>
    <row r="9" spans="2:22" ht="20.100000000000001" customHeight="1" x14ac:dyDescent="0.2">
      <c r="B9" s="89">
        <v>42711</v>
      </c>
      <c r="C9" s="27">
        <v>51878</v>
      </c>
      <c r="D9" s="85">
        <f>SUM(C$5:C9)-(F9*G9)</f>
        <v>30380</v>
      </c>
      <c r="E9" s="24">
        <f>SUM(C$5:C9)/G9</f>
        <v>56076</v>
      </c>
      <c r="F9" s="30">
        <f t="shared" si="0"/>
        <v>50000</v>
      </c>
      <c r="G9" s="20">
        <v>5</v>
      </c>
      <c r="H9" s="89">
        <v>42711</v>
      </c>
      <c r="I9" s="22">
        <v>31435</v>
      </c>
      <c r="J9" s="85">
        <f>SUM(I$5:I9)-(L9*G9)</f>
        <v>26340</v>
      </c>
      <c r="K9" s="10">
        <f>SUM(I$5:I9)/G9</f>
        <v>32268</v>
      </c>
      <c r="L9" s="10">
        <f t="shared" si="1"/>
        <v>27000</v>
      </c>
    </row>
    <row r="10" spans="2:22" ht="20.100000000000001" customHeight="1" x14ac:dyDescent="0.2">
      <c r="B10" s="89">
        <v>42712</v>
      </c>
      <c r="C10" s="27">
        <v>70276</v>
      </c>
      <c r="D10" s="85">
        <f>SUM(C$5:C10)-(F10*G10)</f>
        <v>50656</v>
      </c>
      <c r="E10" s="24">
        <f>SUM(C$5:C10)/G10</f>
        <v>58442.666666666664</v>
      </c>
      <c r="F10" s="30">
        <f t="shared" si="0"/>
        <v>50000</v>
      </c>
      <c r="G10" s="20">
        <v>6</v>
      </c>
      <c r="H10" s="89">
        <v>42712</v>
      </c>
      <c r="I10" s="22">
        <v>29805</v>
      </c>
      <c r="J10" s="85">
        <f>SUM(I$5:I10)-(L10*G10)</f>
        <v>29145</v>
      </c>
      <c r="K10" s="10">
        <f>SUM(I$5:I10)/G10</f>
        <v>31857.5</v>
      </c>
      <c r="L10" s="10">
        <f t="shared" si="1"/>
        <v>27000</v>
      </c>
    </row>
    <row r="11" spans="2:22" ht="20.100000000000001" customHeight="1" x14ac:dyDescent="0.2">
      <c r="B11" s="89">
        <v>42713</v>
      </c>
      <c r="C11" s="24">
        <v>88063</v>
      </c>
      <c r="D11" s="85">
        <f>SUM(C$5:C11)-(F11*G11)</f>
        <v>88719</v>
      </c>
      <c r="E11" s="24">
        <f>SUM(C$5:C11)/G11</f>
        <v>62674.142857142855</v>
      </c>
      <c r="F11" s="30">
        <f t="shared" si="0"/>
        <v>50000</v>
      </c>
      <c r="G11" s="20">
        <v>7</v>
      </c>
      <c r="H11" s="89">
        <v>42713</v>
      </c>
      <c r="I11" s="21">
        <v>51801</v>
      </c>
      <c r="J11" s="85">
        <f>SUM(I$5:I11)-(L11*G11)</f>
        <v>53946</v>
      </c>
      <c r="K11" s="10">
        <f>SUM(I$5:I11)/G11</f>
        <v>34706.571428571428</v>
      </c>
      <c r="L11" s="10">
        <f t="shared" si="1"/>
        <v>27000</v>
      </c>
    </row>
    <row r="12" spans="2:22" ht="20.100000000000001" customHeight="1" x14ac:dyDescent="0.2">
      <c r="B12" s="89">
        <v>42716</v>
      </c>
      <c r="C12" s="24">
        <v>51098</v>
      </c>
      <c r="D12" s="85">
        <f>SUM(C$5:C12)-(F12*G12)</f>
        <v>89817</v>
      </c>
      <c r="E12" s="24">
        <f>SUM(C$5:C12)/G12</f>
        <v>61227.125</v>
      </c>
      <c r="F12" s="30">
        <f t="shared" si="0"/>
        <v>50000</v>
      </c>
      <c r="G12" s="20">
        <v>8</v>
      </c>
      <c r="H12" s="89">
        <v>42716</v>
      </c>
      <c r="I12" s="21">
        <v>10471</v>
      </c>
      <c r="J12" s="85">
        <f>SUM(I$5:I12)-(L12*G12)</f>
        <v>37417</v>
      </c>
      <c r="K12" s="10">
        <f>SUM(I$5:I12)/G12</f>
        <v>31677.125</v>
      </c>
      <c r="L12" s="10">
        <f t="shared" si="1"/>
        <v>27000</v>
      </c>
    </row>
    <row r="13" spans="2:22" ht="20.100000000000001" customHeight="1" x14ac:dyDescent="0.2">
      <c r="B13" s="89">
        <v>42717</v>
      </c>
      <c r="C13" s="29">
        <v>22344</v>
      </c>
      <c r="D13" s="85">
        <f>SUM(C$5:C13)-(F13*G13)</f>
        <v>62161</v>
      </c>
      <c r="E13" s="24">
        <f>SUM(C$5:C13)/G13</f>
        <v>56906.777777777781</v>
      </c>
      <c r="F13" s="30">
        <f t="shared" si="0"/>
        <v>50000</v>
      </c>
      <c r="G13" s="20">
        <v>9</v>
      </c>
      <c r="H13" s="89">
        <v>42717</v>
      </c>
      <c r="I13" s="13">
        <v>29099</v>
      </c>
      <c r="J13" s="85">
        <f>SUM(I$5:I13)-(L13*G13)</f>
        <v>39516</v>
      </c>
      <c r="K13" s="10">
        <f>SUM(I$5:I13)/G13</f>
        <v>31390.666666666668</v>
      </c>
      <c r="L13" s="10">
        <f t="shared" si="1"/>
        <v>27000</v>
      </c>
    </row>
    <row r="14" spans="2:22" ht="20.100000000000001" customHeight="1" x14ac:dyDescent="0.2">
      <c r="B14" s="89">
        <v>42718</v>
      </c>
      <c r="C14" s="24">
        <v>24218</v>
      </c>
      <c r="D14" s="85">
        <f>SUM(C$5:C14)-(F14*G14)</f>
        <v>36379</v>
      </c>
      <c r="E14" s="24">
        <f>SUM(C$5:C14)/G14</f>
        <v>53637.9</v>
      </c>
      <c r="F14" s="30">
        <f t="shared" si="0"/>
        <v>50000</v>
      </c>
      <c r="G14" s="20">
        <v>10</v>
      </c>
      <c r="H14" s="89">
        <v>42718</v>
      </c>
      <c r="I14" s="21">
        <v>40494</v>
      </c>
      <c r="J14" s="85">
        <f>SUM(I$5:I14)-(L14*G14)</f>
        <v>53010</v>
      </c>
      <c r="K14" s="10">
        <f>SUM(I$5:I14)/G14</f>
        <v>32301</v>
      </c>
      <c r="L14" s="10">
        <f t="shared" si="1"/>
        <v>27000</v>
      </c>
    </row>
    <row r="15" spans="2:22" ht="20.100000000000001" customHeight="1" x14ac:dyDescent="0.2">
      <c r="B15" s="89">
        <v>42719</v>
      </c>
      <c r="C15" s="29">
        <v>45380</v>
      </c>
      <c r="D15" s="85">
        <f>SUM(C$5:C15)-(F15*G15)</f>
        <v>31759</v>
      </c>
      <c r="E15" s="24">
        <f>SUM(C$5:C15)/G15</f>
        <v>52887.181818181816</v>
      </c>
      <c r="F15" s="30">
        <f t="shared" si="0"/>
        <v>50000</v>
      </c>
      <c r="G15" s="20">
        <v>11</v>
      </c>
      <c r="H15" s="89">
        <v>42719</v>
      </c>
      <c r="I15" s="13">
        <v>24052</v>
      </c>
      <c r="J15" s="85">
        <f>SUM(I$5:I15)-(L15*G15)</f>
        <v>50062</v>
      </c>
      <c r="K15" s="10">
        <f>SUM(I$5:I15)/G15</f>
        <v>31551.090909090908</v>
      </c>
      <c r="L15" s="10">
        <f t="shared" si="1"/>
        <v>27000</v>
      </c>
    </row>
    <row r="16" spans="2:22" ht="20.100000000000001" customHeight="1" x14ac:dyDescent="0.2">
      <c r="B16" s="89">
        <v>42720</v>
      </c>
      <c r="C16" s="29">
        <v>43056</v>
      </c>
      <c r="D16" s="85">
        <f>SUM(C$5:C16)-(F16*G16)</f>
        <v>24815</v>
      </c>
      <c r="E16" s="24">
        <f>SUM(C$5:C16)/G16</f>
        <v>52067.916666666664</v>
      </c>
      <c r="F16" s="30">
        <f t="shared" si="0"/>
        <v>50000</v>
      </c>
      <c r="G16" s="20">
        <v>12</v>
      </c>
      <c r="H16" s="89">
        <v>42720</v>
      </c>
      <c r="I16" s="12">
        <v>60434</v>
      </c>
      <c r="J16" s="85">
        <f>SUM(I$5:I16)-(L16*G16)</f>
        <v>83496</v>
      </c>
      <c r="K16" s="10">
        <f>SUM(I$5:I16)/G16</f>
        <v>33958</v>
      </c>
      <c r="L16" s="10">
        <f t="shared" si="1"/>
        <v>27000</v>
      </c>
    </row>
    <row r="17" spans="1:12" ht="20.100000000000001" customHeight="1" x14ac:dyDescent="0.2">
      <c r="B17" s="89">
        <v>42723</v>
      </c>
      <c r="C17" s="29">
        <v>33495</v>
      </c>
      <c r="D17" s="85">
        <f>SUM(C$5:C17)-(F17*G17)</f>
        <v>8310</v>
      </c>
      <c r="E17" s="24">
        <f>SUM(C$5:C17)/G17</f>
        <v>50639.230769230766</v>
      </c>
      <c r="F17" s="30">
        <f t="shared" si="0"/>
        <v>50000</v>
      </c>
      <c r="G17" s="20">
        <v>13</v>
      </c>
      <c r="H17" s="89">
        <v>42723</v>
      </c>
      <c r="I17" s="12">
        <v>26454</v>
      </c>
      <c r="J17" s="85">
        <f>SUM(I$5:I17)-(L17*G17)</f>
        <v>82950</v>
      </c>
      <c r="K17" s="10">
        <f>SUM(I$5:I17)/G17</f>
        <v>33380.769230769234</v>
      </c>
      <c r="L17" s="10">
        <f t="shared" si="1"/>
        <v>27000</v>
      </c>
    </row>
    <row r="18" spans="1:12" ht="20.100000000000001" customHeight="1" x14ac:dyDescent="0.2">
      <c r="B18" s="89">
        <v>42724</v>
      </c>
      <c r="C18" s="29">
        <v>41596</v>
      </c>
      <c r="D18" s="85">
        <f>SUM(C$5:C18)-(F18*G18)</f>
        <v>-94</v>
      </c>
      <c r="E18" s="24">
        <f>SUM(C$5:C18)/G18</f>
        <v>49993.285714285717</v>
      </c>
      <c r="F18" s="30">
        <f t="shared" si="0"/>
        <v>50000</v>
      </c>
      <c r="G18" s="20">
        <v>14</v>
      </c>
      <c r="H18" s="89">
        <v>42724</v>
      </c>
      <c r="I18" s="12">
        <v>8671</v>
      </c>
      <c r="J18" s="85">
        <f>SUM(I$5:I18)-(L18*G18)</f>
        <v>64621</v>
      </c>
      <c r="K18" s="10">
        <f>SUM(I$5:I18)/G18</f>
        <v>31615.785714285714</v>
      </c>
      <c r="L18" s="10">
        <f t="shared" si="1"/>
        <v>27000</v>
      </c>
    </row>
    <row r="19" spans="1:12" ht="20.100000000000001" customHeight="1" x14ac:dyDescent="0.2">
      <c r="B19" s="89">
        <v>42725</v>
      </c>
      <c r="C19" s="29">
        <v>45547</v>
      </c>
      <c r="D19" s="85">
        <f>SUM(C$5:C19)-(F19*G19)</f>
        <v>-4547</v>
      </c>
      <c r="E19" s="24">
        <f>SUM(C$5:C19)/G19</f>
        <v>49696.866666666669</v>
      </c>
      <c r="F19" s="30">
        <f t="shared" si="0"/>
        <v>50000</v>
      </c>
      <c r="G19" s="20">
        <v>15</v>
      </c>
      <c r="H19" s="89">
        <v>42725</v>
      </c>
      <c r="I19" s="12">
        <v>24012</v>
      </c>
      <c r="J19" s="85">
        <f>SUM(I$5:I19)-(L19*G19)</f>
        <v>61633</v>
      </c>
      <c r="K19" s="10">
        <f>SUM(I$5:I19)/G19</f>
        <v>31108.866666666665</v>
      </c>
      <c r="L19" s="10">
        <f t="shared" si="1"/>
        <v>27000</v>
      </c>
    </row>
    <row r="20" spans="1:12" ht="20.100000000000001" customHeight="1" x14ac:dyDescent="0.2">
      <c r="B20" s="89">
        <v>42726</v>
      </c>
      <c r="C20" s="29">
        <v>19581</v>
      </c>
      <c r="D20" s="85">
        <f>SUM(C$5:C20)-(F20*G20)</f>
        <v>-34966</v>
      </c>
      <c r="E20" s="24">
        <f>SUM(C$5:C20)/G20</f>
        <v>47814.625</v>
      </c>
      <c r="F20" s="30">
        <f t="shared" si="0"/>
        <v>50000</v>
      </c>
      <c r="G20" s="20">
        <v>16</v>
      </c>
      <c r="H20" s="89">
        <v>42726</v>
      </c>
      <c r="I20" s="12">
        <v>13580</v>
      </c>
      <c r="J20" s="85">
        <f>SUM(I$5:I20)-(L20*G20)</f>
        <v>48213</v>
      </c>
      <c r="K20" s="10">
        <f>SUM(I$5:I20)/G20</f>
        <v>30013.3125</v>
      </c>
      <c r="L20" s="10">
        <f t="shared" si="1"/>
        <v>27000</v>
      </c>
    </row>
    <row r="21" spans="1:12" ht="20.100000000000001" customHeight="1" x14ac:dyDescent="0.2">
      <c r="B21" s="89">
        <v>42727</v>
      </c>
      <c r="C21" s="29">
        <v>44969</v>
      </c>
      <c r="D21" s="85">
        <f>SUM(C$5:C21)-(F21*G21)</f>
        <v>-39997</v>
      </c>
      <c r="E21" s="24">
        <f>SUM(C$5:C21)/G21</f>
        <v>47647.23529411765</v>
      </c>
      <c r="F21" s="30">
        <f t="shared" si="0"/>
        <v>50000</v>
      </c>
      <c r="G21" s="20">
        <v>17</v>
      </c>
      <c r="H21" s="89">
        <v>42727</v>
      </c>
      <c r="I21" s="12">
        <v>17604</v>
      </c>
      <c r="J21" s="85">
        <f>SUM(I$5:I21)-(L21*G21)</f>
        <v>38817</v>
      </c>
      <c r="K21" s="10">
        <f>SUM(I$5:I21)/G21</f>
        <v>29283.352941176472</v>
      </c>
      <c r="L21" s="10">
        <f t="shared" si="1"/>
        <v>27000</v>
      </c>
    </row>
    <row r="22" spans="1:12" ht="20.100000000000001" customHeight="1" x14ac:dyDescent="0.2">
      <c r="B22" s="89">
        <v>42730</v>
      </c>
      <c r="C22" s="29">
        <v>53460</v>
      </c>
      <c r="D22" s="85">
        <f>SUM(C$5:C22)-(F22*G22)</f>
        <v>-36537</v>
      </c>
      <c r="E22" s="24">
        <f>SUM(C$5:C22)/G22</f>
        <v>47970.166666666664</v>
      </c>
      <c r="F22" s="30">
        <f t="shared" si="0"/>
        <v>50000</v>
      </c>
      <c r="G22" s="20">
        <v>18</v>
      </c>
      <c r="H22" s="89">
        <v>42730</v>
      </c>
      <c r="I22" s="12">
        <v>13926</v>
      </c>
      <c r="J22" s="85">
        <f>SUM(I$5:I22)-(L22*G22)</f>
        <v>25743</v>
      </c>
      <c r="K22" s="10">
        <f>SUM(I$5:I22)/G22</f>
        <v>28430.166666666668</v>
      </c>
      <c r="L22" s="10">
        <f t="shared" si="1"/>
        <v>27000</v>
      </c>
    </row>
    <row r="23" spans="1:12" ht="20.100000000000001" customHeight="1" x14ac:dyDescent="0.2">
      <c r="B23" s="89">
        <v>42731</v>
      </c>
      <c r="C23" s="29">
        <v>56742</v>
      </c>
      <c r="D23" s="85">
        <f>SUM(C$5:C23)-(F23*G23)</f>
        <v>-29795</v>
      </c>
      <c r="E23" s="24">
        <f>SUM(C$5:C23)/G23</f>
        <v>48431.84210526316</v>
      </c>
      <c r="F23" s="30">
        <f t="shared" si="0"/>
        <v>50000</v>
      </c>
      <c r="G23" s="20">
        <v>19</v>
      </c>
      <c r="H23" s="89">
        <v>42733</v>
      </c>
      <c r="I23" s="12">
        <v>20098</v>
      </c>
      <c r="J23" s="85">
        <f>SUM(I$5:I23)-(L23*G23)</f>
        <v>18841</v>
      </c>
      <c r="K23" s="10">
        <f>SUM(I$5:I23)/G23</f>
        <v>27991.63157894737</v>
      </c>
      <c r="L23" s="10">
        <f t="shared" si="1"/>
        <v>27000</v>
      </c>
    </row>
    <row r="24" spans="1:12" ht="20.100000000000001" customHeight="1" x14ac:dyDescent="0.2">
      <c r="B24" s="89">
        <v>42732</v>
      </c>
      <c r="C24" s="29">
        <v>45599</v>
      </c>
      <c r="D24" s="85">
        <f>SUM(C$5:C24)-(F24*G24)</f>
        <v>-34196</v>
      </c>
      <c r="E24" s="24">
        <f>SUM(C$5:C24)/G24</f>
        <v>48290.2</v>
      </c>
      <c r="F24" s="30">
        <f t="shared" si="0"/>
        <v>50000</v>
      </c>
      <c r="G24" s="20">
        <v>20</v>
      </c>
      <c r="H24" s="89">
        <v>42734</v>
      </c>
      <c r="I24" s="12">
        <v>14649</v>
      </c>
      <c r="J24" s="85">
        <f>SUM(I$5:I24)-(L24*G24)</f>
        <v>6490</v>
      </c>
      <c r="K24" s="10">
        <f>SUM(I$5:I24)/G24</f>
        <v>27324.5</v>
      </c>
      <c r="L24" s="10">
        <f t="shared" si="1"/>
        <v>27000</v>
      </c>
    </row>
    <row r="25" spans="1:12" ht="20.100000000000001" customHeight="1" x14ac:dyDescent="0.2">
      <c r="B25" s="19" t="s">
        <v>8</v>
      </c>
      <c r="C25" s="12">
        <f>SUM(C5:C24)</f>
        <v>965804</v>
      </c>
      <c r="D25" s="86"/>
      <c r="E25" s="23"/>
      <c r="F25" s="30">
        <v>1000000</v>
      </c>
      <c r="G25" s="18"/>
      <c r="H25" s="11" t="s">
        <v>8</v>
      </c>
      <c r="I25" s="12">
        <f>SUM(I5:I24)</f>
        <v>546490</v>
      </c>
      <c r="J25" s="8"/>
      <c r="K25" s="8"/>
      <c r="L25" s="10">
        <v>540000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3:F3"/>
    <mergeCell ref="H3:L3"/>
    <mergeCell ref="A29:D29"/>
    <mergeCell ref="B1:F2"/>
    <mergeCell ref="H1:L2"/>
  </mergeCells>
  <conditionalFormatting sqref="D5:D24 J5:J25">
    <cfRule type="cellIs" dxfId="1810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Plan134">
    <tabColor rgb="FF92D050"/>
  </sheetPr>
  <dimension ref="A1:V32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42737</v>
      </c>
      <c r="C5" s="24">
        <v>46836</v>
      </c>
      <c r="D5" s="85">
        <f>SUM(C5:C5)-(F5*1)</f>
        <v>-3164</v>
      </c>
      <c r="E5" s="24">
        <f>C5/1</f>
        <v>46836</v>
      </c>
      <c r="F5" s="30">
        <f t="shared" ref="F5:F26" si="0">$F$27/$G$26</f>
        <v>50000</v>
      </c>
      <c r="G5" s="20">
        <v>1</v>
      </c>
      <c r="H5" s="89">
        <v>42737</v>
      </c>
      <c r="I5" s="12">
        <v>13226</v>
      </c>
      <c r="J5" s="10">
        <f>SUM(I5:I5)-(L5*G5)</f>
        <v>-14046.727272727272</v>
      </c>
      <c r="K5" s="10">
        <f>I5/1</f>
        <v>13226</v>
      </c>
      <c r="L5" s="10">
        <f t="shared" ref="L5:L26" si="1">$L$27/$G$26</f>
        <v>27272.727272727272</v>
      </c>
    </row>
    <row r="6" spans="2:22" ht="20.100000000000001" customHeight="1" x14ac:dyDescent="0.2">
      <c r="B6" s="89">
        <v>42738</v>
      </c>
      <c r="C6" s="26">
        <v>49483</v>
      </c>
      <c r="D6" s="85">
        <f>SUM(C$5:C6)-(F6*G6)</f>
        <v>-3681</v>
      </c>
      <c r="E6" s="24">
        <f>SUM(C$5:C6)/G6</f>
        <v>48159.5</v>
      </c>
      <c r="F6" s="30">
        <f t="shared" si="0"/>
        <v>50000</v>
      </c>
      <c r="G6" s="20">
        <v>2</v>
      </c>
      <c r="H6" s="89">
        <v>42738</v>
      </c>
      <c r="I6" s="21">
        <v>19314</v>
      </c>
      <c r="J6" s="85">
        <f>SUM(I$5:I6)-(L6*G6)</f>
        <v>-22005.454545454544</v>
      </c>
      <c r="K6" s="10">
        <f>SUM(I$5:I6)/G6</f>
        <v>16270</v>
      </c>
      <c r="L6" s="10">
        <f t="shared" si="1"/>
        <v>27272.727272727272</v>
      </c>
    </row>
    <row r="7" spans="2:22" ht="20.100000000000001" customHeight="1" x14ac:dyDescent="0.2">
      <c r="B7" s="89">
        <v>42739</v>
      </c>
      <c r="C7" s="24">
        <v>22788</v>
      </c>
      <c r="D7" s="85">
        <f>SUM(C$5:C7)-(F7*G7)</f>
        <v>-30893</v>
      </c>
      <c r="E7" s="24">
        <f>SUM(C$5:C7)/G7</f>
        <v>39702.333333333336</v>
      </c>
      <c r="F7" s="30">
        <f t="shared" si="0"/>
        <v>50000</v>
      </c>
      <c r="G7" s="20">
        <v>3</v>
      </c>
      <c r="H7" s="89">
        <v>42739</v>
      </c>
      <c r="I7" s="21">
        <v>46260</v>
      </c>
      <c r="J7" s="85">
        <f>SUM(I$5:I7)-(L7*G7)</f>
        <v>-3018.1818181818235</v>
      </c>
      <c r="K7" s="10">
        <f>SUM(I$5:I7)/G7</f>
        <v>26266.666666666668</v>
      </c>
      <c r="L7" s="10">
        <f t="shared" si="1"/>
        <v>27272.727272727272</v>
      </c>
    </row>
    <row r="8" spans="2:22" ht="19.5" customHeight="1" x14ac:dyDescent="0.2">
      <c r="B8" s="89">
        <v>42740</v>
      </c>
      <c r="C8" s="24">
        <v>47903</v>
      </c>
      <c r="D8" s="85">
        <f>SUM(C$5:C8)-(F8*G8)</f>
        <v>-32990</v>
      </c>
      <c r="E8" s="24">
        <f>SUM(C$5:C8)/G8</f>
        <v>41752.5</v>
      </c>
      <c r="F8" s="30">
        <f t="shared" si="0"/>
        <v>50000</v>
      </c>
      <c r="G8" s="20">
        <v>4</v>
      </c>
      <c r="H8" s="89">
        <v>42740</v>
      </c>
      <c r="I8" s="21">
        <v>47303</v>
      </c>
      <c r="J8" s="85">
        <f>SUM(I$5:I8)-(L8*G8)</f>
        <v>17012.090909090912</v>
      </c>
      <c r="K8" s="10">
        <f>SUM(I$5:I8)/G8</f>
        <v>31525.75</v>
      </c>
      <c r="L8" s="10">
        <f t="shared" si="1"/>
        <v>27272.727272727272</v>
      </c>
    </row>
    <row r="9" spans="2:22" ht="20.100000000000001" customHeight="1" x14ac:dyDescent="0.2">
      <c r="B9" s="89">
        <v>42741</v>
      </c>
      <c r="C9" s="27">
        <v>67411</v>
      </c>
      <c r="D9" s="85">
        <f>SUM(C$5:C9)-(F9*G9)</f>
        <v>-15579</v>
      </c>
      <c r="E9" s="24">
        <f>SUM(C$5:C9)/G9</f>
        <v>46884.2</v>
      </c>
      <c r="F9" s="30">
        <f t="shared" si="0"/>
        <v>50000</v>
      </c>
      <c r="G9" s="20">
        <v>5</v>
      </c>
      <c r="H9" s="89">
        <v>42741</v>
      </c>
      <c r="I9" s="22">
        <v>60322</v>
      </c>
      <c r="J9" s="85">
        <f>SUM(I$5:I9)-(L9*G9)</f>
        <v>50061.363636363647</v>
      </c>
      <c r="K9" s="10">
        <f>SUM(I$5:I9)/G9</f>
        <v>37285</v>
      </c>
      <c r="L9" s="10">
        <f t="shared" si="1"/>
        <v>27272.727272727272</v>
      </c>
    </row>
    <row r="10" spans="2:22" ht="20.100000000000001" customHeight="1" x14ac:dyDescent="0.2">
      <c r="B10" s="89">
        <v>42744</v>
      </c>
      <c r="C10" s="27">
        <v>27848</v>
      </c>
      <c r="D10" s="85">
        <f>SUM(C$5:C10)-(F10*G10)</f>
        <v>-37731</v>
      </c>
      <c r="E10" s="24">
        <f>SUM(C$5:C10)/G10</f>
        <v>43711.5</v>
      </c>
      <c r="F10" s="30">
        <f t="shared" si="0"/>
        <v>50000</v>
      </c>
      <c r="G10" s="20">
        <v>6</v>
      </c>
      <c r="H10" s="89">
        <v>42744</v>
      </c>
      <c r="I10" s="22">
        <v>16090</v>
      </c>
      <c r="J10" s="85">
        <f>SUM(I$5:I10)-(L10*G10)</f>
        <v>38878.636363636353</v>
      </c>
      <c r="K10" s="10">
        <f>SUM(I$5:I10)/G10</f>
        <v>33752.5</v>
      </c>
      <c r="L10" s="10">
        <f t="shared" si="1"/>
        <v>27272.727272727272</v>
      </c>
    </row>
    <row r="11" spans="2:22" ht="20.100000000000001" customHeight="1" x14ac:dyDescent="0.2">
      <c r="B11" s="89">
        <v>42745</v>
      </c>
      <c r="C11" s="24">
        <v>43975</v>
      </c>
      <c r="D11" s="85">
        <f>SUM(C$5:C11)-(F11*G11)</f>
        <v>-43756</v>
      </c>
      <c r="E11" s="24">
        <f>SUM(C$5:C11)/G11</f>
        <v>43749.142857142855</v>
      </c>
      <c r="F11" s="30">
        <f t="shared" si="0"/>
        <v>50000</v>
      </c>
      <c r="G11" s="20">
        <v>7</v>
      </c>
      <c r="H11" s="89">
        <v>42745</v>
      </c>
      <c r="I11" s="21">
        <v>35450</v>
      </c>
      <c r="J11" s="85">
        <f>SUM(I$5:I11)-(L11*G11)</f>
        <v>47055.909090909088</v>
      </c>
      <c r="K11" s="10">
        <f>SUM(I$5:I11)/G11</f>
        <v>33995</v>
      </c>
      <c r="L11" s="10">
        <f t="shared" si="1"/>
        <v>27272.727272727272</v>
      </c>
    </row>
    <row r="12" spans="2:22" ht="20.100000000000001" customHeight="1" x14ac:dyDescent="0.2">
      <c r="B12" s="89">
        <v>42746</v>
      </c>
      <c r="C12" s="24">
        <v>48799</v>
      </c>
      <c r="D12" s="85">
        <f>SUM(C$5:C12)-(F12*G12)</f>
        <v>-44957</v>
      </c>
      <c r="E12" s="24">
        <f>SUM(C$5:C12)/G12</f>
        <v>44380.375</v>
      </c>
      <c r="F12" s="30">
        <f t="shared" si="0"/>
        <v>50000</v>
      </c>
      <c r="G12" s="20">
        <v>8</v>
      </c>
      <c r="H12" s="89">
        <v>42746</v>
      </c>
      <c r="I12" s="21">
        <v>44686</v>
      </c>
      <c r="J12" s="85">
        <f>SUM(I$5:I12)-(L12*G12)</f>
        <v>64469.181818181823</v>
      </c>
      <c r="K12" s="10">
        <f>SUM(I$5:I12)/G12</f>
        <v>35331.375</v>
      </c>
      <c r="L12" s="10">
        <f t="shared" si="1"/>
        <v>27272.727272727272</v>
      </c>
    </row>
    <row r="13" spans="2:22" ht="20.100000000000001" customHeight="1" x14ac:dyDescent="0.2">
      <c r="B13" s="89">
        <v>42747</v>
      </c>
      <c r="C13" s="29">
        <v>50959</v>
      </c>
      <c r="D13" s="85">
        <f>SUM(C$5:C13)-(F13*G13)</f>
        <v>-43998</v>
      </c>
      <c r="E13" s="24">
        <f>SUM(C$5:C13)/G13</f>
        <v>45111.333333333336</v>
      </c>
      <c r="F13" s="30">
        <f t="shared" si="0"/>
        <v>50000</v>
      </c>
      <c r="G13" s="20">
        <v>9</v>
      </c>
      <c r="H13" s="89">
        <v>42747</v>
      </c>
      <c r="I13" s="13">
        <v>32673</v>
      </c>
      <c r="J13" s="85">
        <f>SUM(I$5:I13)-(L13*G13)</f>
        <v>69869.454545454559</v>
      </c>
      <c r="K13" s="10">
        <f>SUM(I$5:I13)/G13</f>
        <v>35036</v>
      </c>
      <c r="L13" s="10">
        <f t="shared" si="1"/>
        <v>27272.727272727272</v>
      </c>
    </row>
    <row r="14" spans="2:22" ht="20.100000000000001" customHeight="1" x14ac:dyDescent="0.2">
      <c r="B14" s="89">
        <v>42748</v>
      </c>
      <c r="C14" s="24">
        <v>81906</v>
      </c>
      <c r="D14" s="85">
        <f>SUM(C$5:C14)-(F14*G14)</f>
        <v>-12092</v>
      </c>
      <c r="E14" s="24">
        <f>SUM(C$5:C14)/G14</f>
        <v>48790.8</v>
      </c>
      <c r="F14" s="30">
        <f t="shared" si="0"/>
        <v>50000</v>
      </c>
      <c r="G14" s="20">
        <v>10</v>
      </c>
      <c r="H14" s="89">
        <v>42748</v>
      </c>
      <c r="I14" s="21">
        <v>23222</v>
      </c>
      <c r="J14" s="85">
        <f>SUM(I$5:I14)-(L14*G14)</f>
        <v>65818.727272727294</v>
      </c>
      <c r="K14" s="10">
        <f>SUM(I$5:I14)/G14</f>
        <v>33854.6</v>
      </c>
      <c r="L14" s="10">
        <f t="shared" si="1"/>
        <v>27272.727272727272</v>
      </c>
    </row>
    <row r="15" spans="2:22" ht="20.100000000000001" customHeight="1" x14ac:dyDescent="0.2">
      <c r="B15" s="89">
        <v>42751</v>
      </c>
      <c r="C15" s="29">
        <v>44266</v>
      </c>
      <c r="D15" s="85">
        <f>SUM(C$5:C15)-(F15*G15)</f>
        <v>-17826</v>
      </c>
      <c r="E15" s="24">
        <f>SUM(C$5:C15)/G15</f>
        <v>48379.454545454544</v>
      </c>
      <c r="F15" s="30">
        <f t="shared" si="0"/>
        <v>50000</v>
      </c>
      <c r="G15" s="20">
        <v>11</v>
      </c>
      <c r="H15" s="89">
        <v>42751</v>
      </c>
      <c r="I15" s="13">
        <v>39368</v>
      </c>
      <c r="J15" s="85">
        <f>SUM(I$5:I15)-(L15*G15)</f>
        <v>77914</v>
      </c>
      <c r="K15" s="10">
        <f>SUM(I$5:I15)/G15</f>
        <v>34355.818181818184</v>
      </c>
      <c r="L15" s="10">
        <f t="shared" si="1"/>
        <v>27272.727272727272</v>
      </c>
    </row>
    <row r="16" spans="2:22" ht="20.100000000000001" customHeight="1" x14ac:dyDescent="0.2">
      <c r="B16" s="89">
        <v>42752</v>
      </c>
      <c r="C16" s="29">
        <v>78658</v>
      </c>
      <c r="D16" s="85">
        <f>SUM(C$5:C16)-(F16*G16)</f>
        <v>10832</v>
      </c>
      <c r="E16" s="24">
        <f>SUM(C$5:C16)/G16</f>
        <v>50902.666666666664</v>
      </c>
      <c r="F16" s="30">
        <f t="shared" si="0"/>
        <v>50000</v>
      </c>
      <c r="G16" s="20">
        <v>12</v>
      </c>
      <c r="H16" s="89">
        <v>42752</v>
      </c>
      <c r="I16" s="12">
        <v>23176</v>
      </c>
      <c r="J16" s="85">
        <f>SUM(I$5:I16)-(L16*G16)</f>
        <v>73817.272727272706</v>
      </c>
      <c r="K16" s="10">
        <f>SUM(I$5:I16)/G16</f>
        <v>33424.166666666664</v>
      </c>
      <c r="L16" s="10">
        <f t="shared" si="1"/>
        <v>27272.727272727272</v>
      </c>
    </row>
    <row r="17" spans="1:12" ht="20.100000000000001" customHeight="1" x14ac:dyDescent="0.2">
      <c r="B17" s="89">
        <v>42753</v>
      </c>
      <c r="C17" s="29">
        <v>55676</v>
      </c>
      <c r="D17" s="85">
        <f>SUM(C$5:C17)-(F17*G17)</f>
        <v>16508</v>
      </c>
      <c r="E17" s="24">
        <f>SUM(C$5:C17)/G17</f>
        <v>51269.846153846156</v>
      </c>
      <c r="F17" s="30">
        <f t="shared" si="0"/>
        <v>50000</v>
      </c>
      <c r="G17" s="20">
        <v>13</v>
      </c>
      <c r="H17" s="89">
        <v>42753</v>
      </c>
      <c r="I17" s="12">
        <v>12274</v>
      </c>
      <c r="J17" s="85">
        <f>SUM(I$5:I17)-(L17*G17)</f>
        <v>58818.54545454547</v>
      </c>
      <c r="K17" s="10">
        <f>SUM(I$5:I17)/G17</f>
        <v>31797.23076923077</v>
      </c>
      <c r="L17" s="10">
        <f t="shared" si="1"/>
        <v>27272.727272727272</v>
      </c>
    </row>
    <row r="18" spans="1:12" ht="20.100000000000001" customHeight="1" x14ac:dyDescent="0.2">
      <c r="B18" s="89">
        <v>42754</v>
      </c>
      <c r="C18" s="29">
        <v>48279</v>
      </c>
      <c r="D18" s="85">
        <f>SUM(C$5:C18)-(F18*G18)</f>
        <v>14787</v>
      </c>
      <c r="E18" s="24">
        <f>SUM(C$5:C18)/G18</f>
        <v>51056.214285714283</v>
      </c>
      <c r="F18" s="30">
        <f t="shared" si="0"/>
        <v>50000</v>
      </c>
      <c r="G18" s="20">
        <v>14</v>
      </c>
      <c r="H18" s="89">
        <v>42754</v>
      </c>
      <c r="I18" s="12">
        <v>20082</v>
      </c>
      <c r="J18" s="85">
        <f>SUM(I$5:I18)-(L18*G18)</f>
        <v>51627.818181818177</v>
      </c>
      <c r="K18" s="10">
        <f>SUM(I$5:I18)/G18</f>
        <v>30960.428571428572</v>
      </c>
      <c r="L18" s="10">
        <f t="shared" si="1"/>
        <v>27272.727272727272</v>
      </c>
    </row>
    <row r="19" spans="1:12" ht="20.100000000000001" customHeight="1" x14ac:dyDescent="0.2">
      <c r="B19" s="89">
        <v>42755</v>
      </c>
      <c r="C19" s="29">
        <v>52577</v>
      </c>
      <c r="D19" s="85">
        <f>SUM(C$5:C19)-(F19*G19)</f>
        <v>17364</v>
      </c>
      <c r="E19" s="24">
        <f>SUM(C$5:C19)/G19</f>
        <v>51157.599999999999</v>
      </c>
      <c r="F19" s="30">
        <f t="shared" si="0"/>
        <v>50000</v>
      </c>
      <c r="G19" s="20">
        <v>15</v>
      </c>
      <c r="H19" s="89">
        <v>42755</v>
      </c>
      <c r="I19" s="12">
        <v>34636</v>
      </c>
      <c r="J19" s="85">
        <f>SUM(I$5:I19)-(L19*G19)</f>
        <v>58991.090909090941</v>
      </c>
      <c r="K19" s="10">
        <f>SUM(I$5:I19)/G19</f>
        <v>31205.466666666667</v>
      </c>
      <c r="L19" s="10">
        <f t="shared" si="1"/>
        <v>27272.727272727272</v>
      </c>
    </row>
    <row r="20" spans="1:12" ht="20.100000000000001" customHeight="1" x14ac:dyDescent="0.2">
      <c r="B20" s="89">
        <v>42758</v>
      </c>
      <c r="C20" s="29">
        <v>50559</v>
      </c>
      <c r="D20" s="85">
        <f>SUM(C$5:C20)-(F20*G20)</f>
        <v>17923</v>
      </c>
      <c r="E20" s="24">
        <f>SUM(C$5:C20)/G20</f>
        <v>51120.1875</v>
      </c>
      <c r="F20" s="30">
        <f t="shared" si="0"/>
        <v>50000</v>
      </c>
      <c r="G20" s="20">
        <v>16</v>
      </c>
      <c r="H20" s="89">
        <v>42758</v>
      </c>
      <c r="I20" s="12">
        <v>28116</v>
      </c>
      <c r="J20" s="85">
        <f>SUM(I$5:I20)-(L20*G20)</f>
        <v>59834.363636363647</v>
      </c>
      <c r="K20" s="10">
        <f>SUM(I$5:I20)/G20</f>
        <v>31012.375</v>
      </c>
      <c r="L20" s="10">
        <f t="shared" si="1"/>
        <v>27272.727272727272</v>
      </c>
    </row>
    <row r="21" spans="1:12" ht="20.100000000000001" customHeight="1" x14ac:dyDescent="0.2">
      <c r="B21" s="89">
        <v>42759</v>
      </c>
      <c r="C21" s="29">
        <v>45791</v>
      </c>
      <c r="D21" s="85">
        <f>SUM(C$5:C21)-(F21*G21)</f>
        <v>13714</v>
      </c>
      <c r="E21" s="24">
        <f>SUM(C$5:C21)/G21</f>
        <v>50806.705882352944</v>
      </c>
      <c r="F21" s="30">
        <f t="shared" si="0"/>
        <v>50000</v>
      </c>
      <c r="G21" s="20">
        <v>17</v>
      </c>
      <c r="H21" s="89">
        <v>42759</v>
      </c>
      <c r="I21" s="12">
        <v>35113</v>
      </c>
      <c r="J21" s="85">
        <f>SUM(I$5:I21)-(L21*G21)</f>
        <v>67674.636363636353</v>
      </c>
      <c r="K21" s="10">
        <f>SUM(I$5:I21)/G21</f>
        <v>31253.588235294119</v>
      </c>
      <c r="L21" s="10">
        <f t="shared" si="1"/>
        <v>27272.727272727272</v>
      </c>
    </row>
    <row r="22" spans="1:12" ht="20.100000000000001" customHeight="1" x14ac:dyDescent="0.2">
      <c r="B22" s="89">
        <v>42760</v>
      </c>
      <c r="C22" s="29">
        <v>57970</v>
      </c>
      <c r="D22" s="85">
        <f>SUM(C$5:C22)-(F22*G22)</f>
        <v>21684</v>
      </c>
      <c r="E22" s="24">
        <f>SUM(C$5:C22)/G22</f>
        <v>51204.666666666664</v>
      </c>
      <c r="F22" s="30">
        <f t="shared" si="0"/>
        <v>50000</v>
      </c>
      <c r="G22" s="20">
        <v>18</v>
      </c>
      <c r="H22" s="89">
        <v>42760</v>
      </c>
      <c r="I22" s="12">
        <v>24206</v>
      </c>
      <c r="J22" s="85">
        <f>SUM(I$5:I22)-(L22*G22)</f>
        <v>64607.909090909117</v>
      </c>
      <c r="K22" s="10">
        <f>SUM(I$5:I22)/G22</f>
        <v>30862.055555555555</v>
      </c>
      <c r="L22" s="10">
        <f t="shared" si="1"/>
        <v>27272.727272727272</v>
      </c>
    </row>
    <row r="23" spans="1:12" ht="20.100000000000001" customHeight="1" x14ac:dyDescent="0.2">
      <c r="B23" s="89">
        <v>42761</v>
      </c>
      <c r="C23" s="29">
        <v>41852</v>
      </c>
      <c r="D23" s="85">
        <f>SUM(C$5:C23)-(F23*G23)</f>
        <v>13536</v>
      </c>
      <c r="E23" s="24">
        <f>SUM(C$5:C23)/G23</f>
        <v>50712.42105263158</v>
      </c>
      <c r="F23" s="30">
        <f t="shared" si="0"/>
        <v>50000</v>
      </c>
      <c r="G23" s="20">
        <v>19</v>
      </c>
      <c r="H23" s="89">
        <v>42761</v>
      </c>
      <c r="I23" s="12">
        <v>27603</v>
      </c>
      <c r="J23" s="85">
        <f>SUM(I$5:I23)-(L23*G23)</f>
        <v>64938.181818181823</v>
      </c>
      <c r="K23" s="10">
        <f>SUM(I$5:I23)/G23</f>
        <v>30690.526315789473</v>
      </c>
      <c r="L23" s="10">
        <f t="shared" si="1"/>
        <v>27272.727272727272</v>
      </c>
    </row>
    <row r="24" spans="1:12" ht="20.100000000000001" customHeight="1" x14ac:dyDescent="0.2">
      <c r="B24" s="89">
        <v>42762</v>
      </c>
      <c r="C24" s="29">
        <v>42196</v>
      </c>
      <c r="D24" s="85">
        <f>SUM(C$5:C24)-(F24*G24)</f>
        <v>5732</v>
      </c>
      <c r="E24" s="24">
        <f>SUM(C$5:C24)/G24</f>
        <v>50286.6</v>
      </c>
      <c r="F24" s="30">
        <f t="shared" si="0"/>
        <v>50000</v>
      </c>
      <c r="G24" s="20">
        <v>20</v>
      </c>
      <c r="H24" s="89">
        <v>42762</v>
      </c>
      <c r="I24" s="12">
        <v>25627</v>
      </c>
      <c r="J24" s="85">
        <f>SUM(I$5:I24)-(L24*G24)</f>
        <v>63292.454545454588</v>
      </c>
      <c r="K24" s="10">
        <f>SUM(I$5:I24)/G24</f>
        <v>30437.35</v>
      </c>
      <c r="L24" s="10">
        <f t="shared" si="1"/>
        <v>27272.727272727272</v>
      </c>
    </row>
    <row r="25" spans="1:12" ht="20.100000000000001" customHeight="1" x14ac:dyDescent="0.2">
      <c r="B25" s="89">
        <v>42765</v>
      </c>
      <c r="C25" s="29">
        <v>31165</v>
      </c>
      <c r="D25" s="85">
        <f>SUM(C$5:C25)-(F25*G25)</f>
        <v>-13103</v>
      </c>
      <c r="E25" s="24">
        <f>SUM(C$5:C25)/G25</f>
        <v>49376.047619047618</v>
      </c>
      <c r="F25" s="30">
        <f t="shared" si="0"/>
        <v>50000</v>
      </c>
      <c r="G25" s="20">
        <v>21</v>
      </c>
      <c r="H25" s="89">
        <v>42765</v>
      </c>
      <c r="I25" s="12">
        <v>26722</v>
      </c>
      <c r="J25" s="85">
        <f>SUM(I$5:I25)-(L25*G25)</f>
        <v>62741.727272727294</v>
      </c>
      <c r="K25" s="10">
        <f>SUM(I$5:I25)/G25</f>
        <v>30260.428571428572</v>
      </c>
      <c r="L25" s="10">
        <f t="shared" si="1"/>
        <v>27272.727272727272</v>
      </c>
    </row>
    <row r="26" spans="1:12" ht="20.100000000000001" customHeight="1" x14ac:dyDescent="0.2">
      <c r="B26" s="89">
        <v>42766</v>
      </c>
      <c r="C26" s="29">
        <v>22859</v>
      </c>
      <c r="D26" s="85">
        <f>SUM(C$5:C26)-(F26*G26)</f>
        <v>-40244</v>
      </c>
      <c r="E26" s="24">
        <f>SUM(C$5:C26)/G26</f>
        <v>48170.727272727272</v>
      </c>
      <c r="F26" s="30">
        <f t="shared" si="0"/>
        <v>50000</v>
      </c>
      <c r="G26" s="20">
        <v>22</v>
      </c>
      <c r="H26" s="89">
        <v>42766</v>
      </c>
      <c r="I26" s="12">
        <v>13763</v>
      </c>
      <c r="J26" s="85">
        <f>SUM(I$5:I26)-(L26*G26)</f>
        <v>49232</v>
      </c>
      <c r="K26" s="10">
        <f>SUM(I$5:I26)/G26</f>
        <v>29510.545454545456</v>
      </c>
      <c r="L26" s="10">
        <f t="shared" si="1"/>
        <v>27272.727272727272</v>
      </c>
    </row>
    <row r="27" spans="1:12" ht="20.100000000000001" customHeight="1" x14ac:dyDescent="0.2">
      <c r="B27" s="19" t="s">
        <v>8</v>
      </c>
      <c r="C27" s="12">
        <f>SUM(C5:C26)</f>
        <v>1059756</v>
      </c>
      <c r="D27" s="86"/>
      <c r="E27" s="23"/>
      <c r="F27" s="30">
        <v>1100000</v>
      </c>
      <c r="G27" s="18"/>
      <c r="H27" s="11" t="s">
        <v>8</v>
      </c>
      <c r="I27" s="12">
        <f>SUM(I5:I26)</f>
        <v>649232</v>
      </c>
      <c r="J27" s="8"/>
      <c r="K27" s="8"/>
      <c r="L27" s="10">
        <v>600000</v>
      </c>
    </row>
    <row r="28" spans="1:12" ht="19.5" customHeight="1" x14ac:dyDescent="0.2"/>
    <row r="29" spans="1:12" ht="19.5" customHeight="1" x14ac:dyDescent="0.2"/>
    <row r="31" spans="1:12" x14ac:dyDescent="0.2">
      <c r="A31" s="156"/>
      <c r="B31" s="156"/>
      <c r="C31" s="156"/>
      <c r="D31" s="156"/>
      <c r="I31" s="34"/>
      <c r="J31" s="32"/>
    </row>
    <row r="32" spans="1:12" x14ac:dyDescent="0.2">
      <c r="L32" s="33"/>
    </row>
  </sheetData>
  <mergeCells count="5">
    <mergeCell ref="B1:F2"/>
    <mergeCell ref="H1:L2"/>
    <mergeCell ref="B3:F3"/>
    <mergeCell ref="H3:L3"/>
    <mergeCell ref="A31:D31"/>
  </mergeCells>
  <conditionalFormatting sqref="D5:D26 J5:J27">
    <cfRule type="cellIs" dxfId="1809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Plan136">
    <tabColor rgb="FF92D050"/>
  </sheetPr>
  <dimension ref="A1:V30"/>
  <sheetViews>
    <sheetView topLeftCell="A7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42767</v>
      </c>
      <c r="C5" s="24">
        <v>68227</v>
      </c>
      <c r="D5" s="85">
        <f>SUM(C5:C5)-(F5*1)</f>
        <v>15727</v>
      </c>
      <c r="E5" s="24">
        <f>C5/1</f>
        <v>68227</v>
      </c>
      <c r="F5" s="30">
        <f t="shared" ref="F5:F24" si="0">$F$25/$G$24</f>
        <v>52500</v>
      </c>
      <c r="G5" s="20">
        <v>1</v>
      </c>
      <c r="H5" s="89">
        <v>42767</v>
      </c>
      <c r="I5" s="12">
        <v>23457</v>
      </c>
      <c r="J5" s="10">
        <f>SUM(I5:I5)-(L5*G5)</f>
        <v>-4043</v>
      </c>
      <c r="K5" s="10">
        <f>I5/1</f>
        <v>23457</v>
      </c>
      <c r="L5" s="10">
        <f t="shared" ref="L5:L24" si="1">$L$25/$G$24</f>
        <v>27500</v>
      </c>
    </row>
    <row r="6" spans="2:22" ht="20.100000000000001" customHeight="1" x14ac:dyDescent="0.2">
      <c r="B6" s="89">
        <v>42768</v>
      </c>
      <c r="C6" s="26">
        <v>54622</v>
      </c>
      <c r="D6" s="85">
        <f>SUM(C$5:C6)-(F6*G6)</f>
        <v>17849</v>
      </c>
      <c r="E6" s="24">
        <f>SUM(C$5:C6)/G6</f>
        <v>61424.5</v>
      </c>
      <c r="F6" s="30">
        <f t="shared" si="0"/>
        <v>52500</v>
      </c>
      <c r="G6" s="20">
        <v>2</v>
      </c>
      <c r="H6" s="89">
        <v>42768</v>
      </c>
      <c r="I6" s="21">
        <v>7917</v>
      </c>
      <c r="J6" s="85">
        <f>SUM(I$5:I6)-(L6*G6)</f>
        <v>-23626</v>
      </c>
      <c r="K6" s="10">
        <f>SUM(I$5:I6)/G6</f>
        <v>15687</v>
      </c>
      <c r="L6" s="10">
        <f t="shared" si="1"/>
        <v>27500</v>
      </c>
    </row>
    <row r="7" spans="2:22" ht="20.100000000000001" customHeight="1" x14ac:dyDescent="0.2">
      <c r="B7" s="89">
        <v>42769</v>
      </c>
      <c r="C7" s="24">
        <v>58326</v>
      </c>
      <c r="D7" s="85">
        <f>SUM(C$5:C7)-(F7*G7)</f>
        <v>23675</v>
      </c>
      <c r="E7" s="24">
        <f>SUM(C$5:C7)/G7</f>
        <v>60391.666666666664</v>
      </c>
      <c r="F7" s="30">
        <f t="shared" si="0"/>
        <v>52500</v>
      </c>
      <c r="G7" s="20">
        <v>3</v>
      </c>
      <c r="H7" s="89">
        <v>42769</v>
      </c>
      <c r="I7" s="21">
        <v>44235</v>
      </c>
      <c r="J7" s="85">
        <f>SUM(I$5:I7)-(L7*G7)</f>
        <v>-6891</v>
      </c>
      <c r="K7" s="10">
        <f>SUM(I$5:I7)/G7</f>
        <v>25203</v>
      </c>
      <c r="L7" s="10">
        <f t="shared" si="1"/>
        <v>27500</v>
      </c>
    </row>
    <row r="8" spans="2:22" ht="19.5" customHeight="1" x14ac:dyDescent="0.2">
      <c r="B8" s="89">
        <v>42772</v>
      </c>
      <c r="C8" s="24">
        <v>51463</v>
      </c>
      <c r="D8" s="85">
        <f>SUM(C$5:C8)-(F8*G8)</f>
        <v>22638</v>
      </c>
      <c r="E8" s="24">
        <f>SUM(C$5:C8)/G8</f>
        <v>58159.5</v>
      </c>
      <c r="F8" s="30">
        <f t="shared" si="0"/>
        <v>52500</v>
      </c>
      <c r="G8" s="20">
        <v>4</v>
      </c>
      <c r="H8" s="89">
        <v>42772</v>
      </c>
      <c r="I8" s="21">
        <v>34896</v>
      </c>
      <c r="J8" s="85">
        <f>SUM(I$5:I8)-(L8*G8)</f>
        <v>505</v>
      </c>
      <c r="K8" s="10">
        <f>SUM(I$5:I8)/G8</f>
        <v>27626.25</v>
      </c>
      <c r="L8" s="10">
        <f t="shared" si="1"/>
        <v>27500</v>
      </c>
    </row>
    <row r="9" spans="2:22" ht="20.100000000000001" customHeight="1" x14ac:dyDescent="0.2">
      <c r="B9" s="89">
        <v>42773</v>
      </c>
      <c r="C9" s="27">
        <v>46133</v>
      </c>
      <c r="D9" s="85">
        <f>SUM(C$5:C9)-(F9*G9)</f>
        <v>16271</v>
      </c>
      <c r="E9" s="24">
        <f>SUM(C$5:C9)/G9</f>
        <v>55754.2</v>
      </c>
      <c r="F9" s="30">
        <f t="shared" si="0"/>
        <v>52500</v>
      </c>
      <c r="G9" s="20">
        <v>5</v>
      </c>
      <c r="H9" s="89">
        <v>42773</v>
      </c>
      <c r="I9" s="22">
        <v>20652</v>
      </c>
      <c r="J9" s="85">
        <f>SUM(I$5:I9)-(L9*G9)</f>
        <v>-6343</v>
      </c>
      <c r="K9" s="10">
        <f>SUM(I$5:I9)/G9</f>
        <v>26231.4</v>
      </c>
      <c r="L9" s="10">
        <f t="shared" si="1"/>
        <v>27500</v>
      </c>
    </row>
    <row r="10" spans="2:22" ht="20.100000000000001" customHeight="1" x14ac:dyDescent="0.2">
      <c r="B10" s="89">
        <v>42774</v>
      </c>
      <c r="C10" s="27">
        <v>61769</v>
      </c>
      <c r="D10" s="85">
        <f>SUM(C$5:C10)-(F10*G10)</f>
        <v>25540</v>
      </c>
      <c r="E10" s="24">
        <f>SUM(C$5:C10)/G10</f>
        <v>56756.666666666664</v>
      </c>
      <c r="F10" s="30">
        <f t="shared" si="0"/>
        <v>52500</v>
      </c>
      <c r="G10" s="20">
        <v>6</v>
      </c>
      <c r="H10" s="89">
        <v>42774</v>
      </c>
      <c r="I10" s="22">
        <v>10063</v>
      </c>
      <c r="J10" s="85">
        <f>SUM(I$5:I10)-(L10*G10)</f>
        <v>-23780</v>
      </c>
      <c r="K10" s="10">
        <f>SUM(I$5:I10)/G10</f>
        <v>23536.666666666668</v>
      </c>
      <c r="L10" s="10">
        <f t="shared" si="1"/>
        <v>27500</v>
      </c>
    </row>
    <row r="11" spans="2:22" ht="20.100000000000001" customHeight="1" x14ac:dyDescent="0.2">
      <c r="B11" s="89">
        <v>42775</v>
      </c>
      <c r="C11" s="24">
        <v>72758</v>
      </c>
      <c r="D11" s="85">
        <f>SUM(C$5:C11)-(F11*G11)</f>
        <v>45798</v>
      </c>
      <c r="E11" s="24">
        <f>SUM(C$5:C11)/G11</f>
        <v>59042.571428571428</v>
      </c>
      <c r="F11" s="30">
        <f t="shared" si="0"/>
        <v>52500</v>
      </c>
      <c r="G11" s="20">
        <v>7</v>
      </c>
      <c r="H11" s="89">
        <v>42775</v>
      </c>
      <c r="I11" s="21">
        <v>23724</v>
      </c>
      <c r="J11" s="85">
        <f>SUM(I$5:I11)-(L11*G11)</f>
        <v>-27556</v>
      </c>
      <c r="K11" s="10">
        <f>SUM(I$5:I11)/G11</f>
        <v>23563.428571428572</v>
      </c>
      <c r="L11" s="10">
        <f t="shared" si="1"/>
        <v>27500</v>
      </c>
    </row>
    <row r="12" spans="2:22" ht="20.100000000000001" customHeight="1" x14ac:dyDescent="0.2">
      <c r="B12" s="89">
        <v>42776</v>
      </c>
      <c r="C12" s="24">
        <v>60270</v>
      </c>
      <c r="D12" s="85">
        <f>SUM(C$5:C12)-(F12*G12)</f>
        <v>53568</v>
      </c>
      <c r="E12" s="24">
        <f>SUM(C$5:C12)/G12</f>
        <v>59196</v>
      </c>
      <c r="F12" s="30">
        <f t="shared" si="0"/>
        <v>52500</v>
      </c>
      <c r="G12" s="20">
        <v>8</v>
      </c>
      <c r="H12" s="89">
        <v>42776</v>
      </c>
      <c r="I12" s="21">
        <v>50597</v>
      </c>
      <c r="J12" s="85">
        <f>SUM(I$5:I12)-(L12*G12)</f>
        <v>-4459</v>
      </c>
      <c r="K12" s="10">
        <f>SUM(I$5:I12)/G12</f>
        <v>26942.625</v>
      </c>
      <c r="L12" s="10">
        <f t="shared" si="1"/>
        <v>27500</v>
      </c>
    </row>
    <row r="13" spans="2:22" ht="20.100000000000001" customHeight="1" x14ac:dyDescent="0.2">
      <c r="B13" s="89">
        <v>42779</v>
      </c>
      <c r="C13" s="29">
        <v>31296</v>
      </c>
      <c r="D13" s="85">
        <f>SUM(C$5:C13)-(F13*G13)</f>
        <v>32364</v>
      </c>
      <c r="E13" s="24">
        <f>SUM(C$5:C13)/G13</f>
        <v>56096</v>
      </c>
      <c r="F13" s="30">
        <f t="shared" si="0"/>
        <v>52500</v>
      </c>
      <c r="G13" s="20">
        <v>9</v>
      </c>
      <c r="H13" s="89">
        <v>42779</v>
      </c>
      <c r="I13" s="13">
        <v>19708</v>
      </c>
      <c r="J13" s="85">
        <f>SUM(I$5:I13)-(L13*G13)</f>
        <v>-12251</v>
      </c>
      <c r="K13" s="10">
        <f>SUM(I$5:I13)/G13</f>
        <v>26138.777777777777</v>
      </c>
      <c r="L13" s="10">
        <f t="shared" si="1"/>
        <v>27500</v>
      </c>
    </row>
    <row r="14" spans="2:22" ht="20.100000000000001" customHeight="1" x14ac:dyDescent="0.2">
      <c r="B14" s="89">
        <v>42780</v>
      </c>
      <c r="C14" s="24">
        <v>38426</v>
      </c>
      <c r="D14" s="85">
        <f>SUM(C$5:C14)-(F14*G14)</f>
        <v>18290</v>
      </c>
      <c r="E14" s="24">
        <f>SUM(C$5:C14)/G14</f>
        <v>54329</v>
      </c>
      <c r="F14" s="30">
        <f t="shared" si="0"/>
        <v>52500</v>
      </c>
      <c r="G14" s="20">
        <v>10</v>
      </c>
      <c r="H14" s="89">
        <v>42780</v>
      </c>
      <c r="I14" s="21">
        <v>33987</v>
      </c>
      <c r="J14" s="85">
        <f>SUM(I$5:I14)-(L14*G14)</f>
        <v>-5764</v>
      </c>
      <c r="K14" s="10">
        <f>SUM(I$5:I14)/G14</f>
        <v>26923.599999999999</v>
      </c>
      <c r="L14" s="10">
        <f t="shared" si="1"/>
        <v>27500</v>
      </c>
    </row>
    <row r="15" spans="2:22" ht="20.100000000000001" customHeight="1" x14ac:dyDescent="0.2">
      <c r="B15" s="89">
        <v>42781</v>
      </c>
      <c r="C15" s="29">
        <v>48596</v>
      </c>
      <c r="D15" s="85">
        <f>SUM(C$5:C15)-(F15*G15)</f>
        <v>14386</v>
      </c>
      <c r="E15" s="24">
        <f>SUM(C$5:C15)/G15</f>
        <v>53807.818181818184</v>
      </c>
      <c r="F15" s="30">
        <f t="shared" si="0"/>
        <v>52500</v>
      </c>
      <c r="G15" s="20">
        <v>11</v>
      </c>
      <c r="H15" s="89">
        <v>42781</v>
      </c>
      <c r="I15" s="13">
        <v>30430</v>
      </c>
      <c r="J15" s="85">
        <f>SUM(I$5:I15)-(L15*G15)</f>
        <v>-2834</v>
      </c>
      <c r="K15" s="10">
        <f>SUM(I$5:I15)/G15</f>
        <v>27242.363636363636</v>
      </c>
      <c r="L15" s="10">
        <f t="shared" si="1"/>
        <v>27500</v>
      </c>
    </row>
    <row r="16" spans="2:22" ht="20.100000000000001" customHeight="1" x14ac:dyDescent="0.2">
      <c r="B16" s="89">
        <v>42782</v>
      </c>
      <c r="C16" s="29">
        <v>35249</v>
      </c>
      <c r="D16" s="85">
        <f>SUM(C$5:C16)-(F16*G16)</f>
        <v>-2865</v>
      </c>
      <c r="E16" s="24">
        <f>SUM(C$5:C16)/G16</f>
        <v>52261.25</v>
      </c>
      <c r="F16" s="30">
        <f t="shared" si="0"/>
        <v>52500</v>
      </c>
      <c r="G16" s="20">
        <v>12</v>
      </c>
      <c r="H16" s="89">
        <v>42782</v>
      </c>
      <c r="I16" s="12">
        <v>22018</v>
      </c>
      <c r="J16" s="85">
        <f>SUM(I$5:I16)-(L16*G16)</f>
        <v>-8316</v>
      </c>
      <c r="K16" s="10">
        <f>SUM(I$5:I16)/G16</f>
        <v>26807</v>
      </c>
      <c r="L16" s="10">
        <f t="shared" si="1"/>
        <v>27500</v>
      </c>
    </row>
    <row r="17" spans="1:12" ht="20.100000000000001" customHeight="1" x14ac:dyDescent="0.2">
      <c r="B17" s="89">
        <v>42783</v>
      </c>
      <c r="C17" s="29">
        <v>46868</v>
      </c>
      <c r="D17" s="85">
        <f>SUM(C$5:C17)-(F17*G17)</f>
        <v>-8497</v>
      </c>
      <c r="E17" s="24">
        <f>SUM(C$5:C17)/G17</f>
        <v>51846.384615384617</v>
      </c>
      <c r="F17" s="30">
        <f t="shared" si="0"/>
        <v>52500</v>
      </c>
      <c r="G17" s="20">
        <v>13</v>
      </c>
      <c r="H17" s="89">
        <v>42783</v>
      </c>
      <c r="I17" s="12">
        <v>40772</v>
      </c>
      <c r="J17" s="85">
        <f>SUM(I$5:I17)-(L17*G17)</f>
        <v>4956</v>
      </c>
      <c r="K17" s="10">
        <f>SUM(I$5:I17)/G17</f>
        <v>27881.23076923077</v>
      </c>
      <c r="L17" s="10">
        <f t="shared" si="1"/>
        <v>27500</v>
      </c>
    </row>
    <row r="18" spans="1:12" ht="20.100000000000001" customHeight="1" x14ac:dyDescent="0.2">
      <c r="B18" s="89">
        <v>42786</v>
      </c>
      <c r="C18" s="29">
        <v>39768</v>
      </c>
      <c r="D18" s="85">
        <f>SUM(C$5:C18)-(F18*G18)</f>
        <v>-21229</v>
      </c>
      <c r="E18" s="24">
        <f>SUM(C$5:C18)/G18</f>
        <v>50983.642857142855</v>
      </c>
      <c r="F18" s="30">
        <f t="shared" si="0"/>
        <v>52500</v>
      </c>
      <c r="G18" s="20">
        <v>14</v>
      </c>
      <c r="H18" s="89">
        <v>42786</v>
      </c>
      <c r="I18" s="12">
        <v>25870</v>
      </c>
      <c r="J18" s="85">
        <f>SUM(I$5:I18)-(L18*G18)</f>
        <v>3326</v>
      </c>
      <c r="K18" s="10">
        <f>SUM(I$5:I18)/G18</f>
        <v>27737.571428571428</v>
      </c>
      <c r="L18" s="10">
        <f t="shared" si="1"/>
        <v>27500</v>
      </c>
    </row>
    <row r="19" spans="1:12" ht="20.100000000000001" customHeight="1" x14ac:dyDescent="0.2">
      <c r="B19" s="89">
        <v>42787</v>
      </c>
      <c r="C19" s="29">
        <v>51242</v>
      </c>
      <c r="D19" s="85">
        <f>SUM(C$5:C19)-(F19*G19)</f>
        <v>-22487</v>
      </c>
      <c r="E19" s="24">
        <f>SUM(C$5:C19)/G19</f>
        <v>51000.866666666669</v>
      </c>
      <c r="F19" s="30">
        <f t="shared" si="0"/>
        <v>52500</v>
      </c>
      <c r="G19" s="20">
        <v>15</v>
      </c>
      <c r="H19" s="89">
        <v>42787</v>
      </c>
      <c r="I19" s="12">
        <v>25101</v>
      </c>
      <c r="J19" s="85">
        <f>SUM(I$5:I19)-(L19*G19)</f>
        <v>927</v>
      </c>
      <c r="K19" s="10">
        <f>SUM(I$5:I19)/G19</f>
        <v>27561.8</v>
      </c>
      <c r="L19" s="10">
        <f t="shared" si="1"/>
        <v>27500</v>
      </c>
    </row>
    <row r="20" spans="1:12" ht="20.100000000000001" customHeight="1" x14ac:dyDescent="0.2">
      <c r="B20" s="89">
        <v>42788</v>
      </c>
      <c r="C20" s="29">
        <v>56786</v>
      </c>
      <c r="D20" s="85">
        <f>SUM(C$5:C20)-(F20*G20)</f>
        <v>-18201</v>
      </c>
      <c r="E20" s="24">
        <f>SUM(C$5:C20)/G20</f>
        <v>51362.4375</v>
      </c>
      <c r="F20" s="30">
        <f t="shared" si="0"/>
        <v>52500</v>
      </c>
      <c r="G20" s="20">
        <v>16</v>
      </c>
      <c r="H20" s="89">
        <v>42788</v>
      </c>
      <c r="I20" s="12">
        <v>13451</v>
      </c>
      <c r="J20" s="85">
        <f>SUM(I$5:I20)-(L20*G20)</f>
        <v>-13122</v>
      </c>
      <c r="K20" s="10">
        <f>SUM(I$5:I20)/G20</f>
        <v>26679.875</v>
      </c>
      <c r="L20" s="10">
        <f t="shared" si="1"/>
        <v>27500</v>
      </c>
    </row>
    <row r="21" spans="1:12" ht="20.100000000000001" customHeight="1" x14ac:dyDescent="0.2">
      <c r="B21" s="89">
        <v>42789</v>
      </c>
      <c r="C21" s="29">
        <v>57487</v>
      </c>
      <c r="D21" s="85">
        <f>SUM(C$5:C21)-(F21*G21)</f>
        <v>-13214</v>
      </c>
      <c r="E21" s="24">
        <f>SUM(C$5:C21)/G21</f>
        <v>51722.705882352944</v>
      </c>
      <c r="F21" s="30">
        <f t="shared" si="0"/>
        <v>52500</v>
      </c>
      <c r="G21" s="20">
        <v>17</v>
      </c>
      <c r="H21" s="89">
        <v>42789</v>
      </c>
      <c r="I21" s="12">
        <v>25963</v>
      </c>
      <c r="J21" s="85">
        <f>SUM(I$5:I21)-(L21*G21)</f>
        <v>-14659</v>
      </c>
      <c r="K21" s="10">
        <f>SUM(I$5:I21)/G21</f>
        <v>26637.705882352941</v>
      </c>
      <c r="L21" s="10">
        <f t="shared" si="1"/>
        <v>27500</v>
      </c>
    </row>
    <row r="22" spans="1:12" ht="20.100000000000001" customHeight="1" x14ac:dyDescent="0.2">
      <c r="B22" s="89">
        <v>42790</v>
      </c>
      <c r="C22" s="29">
        <v>78441</v>
      </c>
      <c r="D22" s="85">
        <f>SUM(C$5:C22)-(F22*G22)</f>
        <v>12727</v>
      </c>
      <c r="E22" s="24">
        <f>SUM(C$5:C22)/G22</f>
        <v>53207.055555555555</v>
      </c>
      <c r="F22" s="30">
        <f t="shared" si="0"/>
        <v>52500</v>
      </c>
      <c r="G22" s="20">
        <v>18</v>
      </c>
      <c r="H22" s="89">
        <v>42790</v>
      </c>
      <c r="I22" s="12">
        <v>35359</v>
      </c>
      <c r="J22" s="85">
        <f>SUM(I$5:I22)-(L22*G22)</f>
        <v>-6800</v>
      </c>
      <c r="K22" s="10">
        <f>SUM(I$5:I22)/G22</f>
        <v>27122.222222222223</v>
      </c>
      <c r="L22" s="10">
        <f t="shared" si="1"/>
        <v>27500</v>
      </c>
    </row>
    <row r="23" spans="1:12" ht="20.100000000000001" customHeight="1" x14ac:dyDescent="0.2">
      <c r="B23" s="89">
        <v>42793</v>
      </c>
      <c r="C23" s="29">
        <v>37039</v>
      </c>
      <c r="D23" s="85">
        <f>SUM(C$5:C23)-(F23*G23)</f>
        <v>-2734</v>
      </c>
      <c r="E23" s="24">
        <f>SUM(C$5:C23)/G23</f>
        <v>52356.105263157893</v>
      </c>
      <c r="F23" s="30">
        <f t="shared" si="0"/>
        <v>52500</v>
      </c>
      <c r="G23" s="20">
        <v>19</v>
      </c>
      <c r="H23" s="89">
        <v>42793</v>
      </c>
      <c r="I23" s="12">
        <v>16671</v>
      </c>
      <c r="J23" s="85">
        <f>SUM(I$5:I23)-(L23*G23)</f>
        <v>-17629</v>
      </c>
      <c r="K23" s="10">
        <f>SUM(I$5:I23)/G23</f>
        <v>26572.157894736843</v>
      </c>
      <c r="L23" s="10">
        <f t="shared" si="1"/>
        <v>27500</v>
      </c>
    </row>
    <row r="24" spans="1:12" ht="20.100000000000001" customHeight="1" x14ac:dyDescent="0.2">
      <c r="B24" s="89">
        <v>42794</v>
      </c>
      <c r="C24" s="29">
        <v>14737</v>
      </c>
      <c r="D24" s="85">
        <f>SUM(C$5:C24)-(F24*G24)</f>
        <v>-40497</v>
      </c>
      <c r="E24" s="24">
        <f>SUM(C$5:C24)/G24</f>
        <v>50475.15</v>
      </c>
      <c r="F24" s="30">
        <f t="shared" si="0"/>
        <v>52500</v>
      </c>
      <c r="G24" s="20">
        <v>20</v>
      </c>
      <c r="H24" s="89">
        <v>42794</v>
      </c>
      <c r="I24" s="12">
        <v>7510</v>
      </c>
      <c r="J24" s="85">
        <f>SUM(I$5:I24)-(L24*G24)</f>
        <v>-37619</v>
      </c>
      <c r="K24" s="10">
        <f>SUM(I$5:I24)/G24</f>
        <v>25619.05</v>
      </c>
      <c r="L24" s="10">
        <f t="shared" si="1"/>
        <v>27500</v>
      </c>
    </row>
    <row r="25" spans="1:12" ht="20.100000000000001" customHeight="1" x14ac:dyDescent="0.2">
      <c r="B25" s="19" t="s">
        <v>8</v>
      </c>
      <c r="C25" s="12">
        <f>SUM(C5:C24)</f>
        <v>1009503</v>
      </c>
      <c r="D25" s="86"/>
      <c r="E25" s="23"/>
      <c r="F25" s="30">
        <v>1050000</v>
      </c>
      <c r="G25" s="18"/>
      <c r="H25" s="11" t="s">
        <v>8</v>
      </c>
      <c r="I25" s="12">
        <f>SUM(I5:I24)</f>
        <v>512381</v>
      </c>
      <c r="J25" s="8"/>
      <c r="K25" s="8"/>
      <c r="L25" s="10">
        <v>550000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2"/>
    <mergeCell ref="H1:L2"/>
    <mergeCell ref="B3:F3"/>
    <mergeCell ref="H3:L3"/>
    <mergeCell ref="A29:D29"/>
  </mergeCells>
  <conditionalFormatting sqref="D5:D24 J5:J25">
    <cfRule type="cellIs" dxfId="1808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Plan138">
    <tabColor rgb="FF92D050"/>
  </sheetPr>
  <dimension ref="A1:V33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1.710937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42795</v>
      </c>
      <c r="C5" s="24">
        <v>76120</v>
      </c>
      <c r="D5" s="85">
        <f>SUM(C5:C5)-(F5*1)</f>
        <v>26120</v>
      </c>
      <c r="E5" s="24">
        <f>C5/1</f>
        <v>76120</v>
      </c>
      <c r="F5" s="30">
        <f t="shared" ref="F5:F27" si="0">$F$28/$G$27</f>
        <v>50000</v>
      </c>
      <c r="G5" s="20">
        <v>1</v>
      </c>
      <c r="H5" s="89">
        <v>42795</v>
      </c>
      <c r="I5" s="12">
        <v>40914</v>
      </c>
      <c r="J5" s="10">
        <f>SUM(I5:I5)-(L5*G5)</f>
        <v>15261.82608695652</v>
      </c>
      <c r="K5" s="10">
        <f>I5/1</f>
        <v>40914</v>
      </c>
      <c r="L5" s="10">
        <f t="shared" ref="L5:L27" si="1">$L$28/$G$27</f>
        <v>25652.17391304348</v>
      </c>
    </row>
    <row r="6" spans="2:22" ht="20.100000000000001" customHeight="1" x14ac:dyDescent="0.2">
      <c r="B6" s="89">
        <v>42796</v>
      </c>
      <c r="C6" s="26">
        <v>36001</v>
      </c>
      <c r="D6" s="85">
        <f>SUM(C$5:C6)-(F6*G6)</f>
        <v>12121</v>
      </c>
      <c r="E6" s="24">
        <f>SUM(C$5:C6)/G6</f>
        <v>56060.5</v>
      </c>
      <c r="F6" s="30">
        <f t="shared" si="0"/>
        <v>50000</v>
      </c>
      <c r="G6" s="20">
        <v>2</v>
      </c>
      <c r="H6" s="89">
        <v>42796</v>
      </c>
      <c r="I6" s="21">
        <v>27156</v>
      </c>
      <c r="J6" s="85">
        <f>SUM(I$5:I6)-(L6*G6)</f>
        <v>16765.65217391304</v>
      </c>
      <c r="K6" s="10">
        <f>SUM(I$5:I6)/G6</f>
        <v>34035</v>
      </c>
      <c r="L6" s="10">
        <f t="shared" si="1"/>
        <v>25652.17391304348</v>
      </c>
    </row>
    <row r="7" spans="2:22" ht="20.100000000000001" customHeight="1" x14ac:dyDescent="0.2">
      <c r="B7" s="89">
        <v>42797</v>
      </c>
      <c r="C7" s="24">
        <v>63003</v>
      </c>
      <c r="D7" s="85">
        <f>SUM(C$5:C7)-(F7*G7)</f>
        <v>25124</v>
      </c>
      <c r="E7" s="24">
        <f>SUM(C$5:C7)/G7</f>
        <v>58374.666666666664</v>
      </c>
      <c r="F7" s="30">
        <f t="shared" si="0"/>
        <v>50000</v>
      </c>
      <c r="G7" s="20">
        <v>3</v>
      </c>
      <c r="H7" s="89">
        <v>42797</v>
      </c>
      <c r="I7" s="21">
        <v>33506</v>
      </c>
      <c r="J7" s="85">
        <f>SUM(I$5:I7)-(L7*G7)</f>
        <v>24619.478260869568</v>
      </c>
      <c r="K7" s="10">
        <f>SUM(I$5:I7)/G7</f>
        <v>33858.666666666664</v>
      </c>
      <c r="L7" s="10">
        <f t="shared" si="1"/>
        <v>25652.17391304348</v>
      </c>
    </row>
    <row r="8" spans="2:22" ht="19.5" customHeight="1" x14ac:dyDescent="0.2">
      <c r="B8" s="89">
        <v>42800</v>
      </c>
      <c r="C8" s="24">
        <v>20271</v>
      </c>
      <c r="D8" s="85">
        <f>SUM(C$5:C8)-(F8*G8)</f>
        <v>-4605</v>
      </c>
      <c r="E8" s="24">
        <f>SUM(C$5:C8)/G8</f>
        <v>48848.75</v>
      </c>
      <c r="F8" s="30">
        <f t="shared" si="0"/>
        <v>50000</v>
      </c>
      <c r="G8" s="20">
        <v>4</v>
      </c>
      <c r="H8" s="89">
        <v>42800</v>
      </c>
      <c r="I8" s="21">
        <v>11236</v>
      </c>
      <c r="J8" s="85">
        <f>SUM(I$5:I8)-(L8*G8)</f>
        <v>10203.304347826081</v>
      </c>
      <c r="K8" s="10">
        <f>SUM(I$5:I8)/G8</f>
        <v>28203</v>
      </c>
      <c r="L8" s="10">
        <f t="shared" si="1"/>
        <v>25652.17391304348</v>
      </c>
    </row>
    <row r="9" spans="2:22" ht="20.100000000000001" customHeight="1" x14ac:dyDescent="0.2">
      <c r="B9" s="89">
        <v>42801</v>
      </c>
      <c r="C9" s="27">
        <v>49786</v>
      </c>
      <c r="D9" s="85">
        <f>SUM(C$5:C9)-(F9*G9)</f>
        <v>-4819</v>
      </c>
      <c r="E9" s="24">
        <f>SUM(C$5:C9)/G9</f>
        <v>49036.2</v>
      </c>
      <c r="F9" s="30">
        <f t="shared" si="0"/>
        <v>50000</v>
      </c>
      <c r="G9" s="20">
        <v>5</v>
      </c>
      <c r="H9" s="89">
        <v>42801</v>
      </c>
      <c r="I9" s="22">
        <v>14850</v>
      </c>
      <c r="J9" s="85">
        <f>SUM(I$5:I9)-(L9*G9)</f>
        <v>-598.86956521740649</v>
      </c>
      <c r="K9" s="10">
        <f>SUM(I$5:I9)/G9</f>
        <v>25532.400000000001</v>
      </c>
      <c r="L9" s="10">
        <f t="shared" si="1"/>
        <v>25652.17391304348</v>
      </c>
    </row>
    <row r="10" spans="2:22" ht="20.100000000000001" customHeight="1" x14ac:dyDescent="0.2">
      <c r="B10" s="89">
        <v>42802</v>
      </c>
      <c r="C10" s="27">
        <v>47015</v>
      </c>
      <c r="D10" s="85">
        <f>SUM(C$5:C10)-(F10*G10)</f>
        <v>-7804</v>
      </c>
      <c r="E10" s="24">
        <f>SUM(C$5:C10)/G10</f>
        <v>48699.333333333336</v>
      </c>
      <c r="F10" s="30">
        <f t="shared" si="0"/>
        <v>50000</v>
      </c>
      <c r="G10" s="20">
        <v>6</v>
      </c>
      <c r="H10" s="89">
        <v>42802</v>
      </c>
      <c r="I10" s="22">
        <v>15991</v>
      </c>
      <c r="J10" s="85">
        <f>SUM(I$5:I10)-(L10*G10)</f>
        <v>-10260.043478260865</v>
      </c>
      <c r="K10" s="10">
        <f>SUM(I$5:I10)/G10</f>
        <v>23942.166666666668</v>
      </c>
      <c r="L10" s="10">
        <f t="shared" si="1"/>
        <v>25652.17391304348</v>
      </c>
    </row>
    <row r="11" spans="2:22" ht="20.100000000000001" customHeight="1" x14ac:dyDescent="0.2">
      <c r="B11" s="89">
        <v>42803</v>
      </c>
      <c r="C11" s="24">
        <v>53624</v>
      </c>
      <c r="D11" s="85">
        <f>SUM(C$5:C11)-(F11*G11)</f>
        <v>-4180</v>
      </c>
      <c r="E11" s="24">
        <f>SUM(C$5:C11)/G11</f>
        <v>49402.857142857145</v>
      </c>
      <c r="F11" s="30">
        <f t="shared" si="0"/>
        <v>50000</v>
      </c>
      <c r="G11" s="20">
        <v>7</v>
      </c>
      <c r="H11" s="89">
        <v>42803</v>
      </c>
      <c r="I11" s="21">
        <v>27453</v>
      </c>
      <c r="J11" s="85">
        <f>SUM(I$5:I11)-(L11*G11)</f>
        <v>-8459.2173913043516</v>
      </c>
      <c r="K11" s="10">
        <f>SUM(I$5:I11)/G11</f>
        <v>24443.714285714286</v>
      </c>
      <c r="L11" s="10">
        <f t="shared" si="1"/>
        <v>25652.17391304348</v>
      </c>
    </row>
    <row r="12" spans="2:22" ht="20.100000000000001" customHeight="1" x14ac:dyDescent="0.2">
      <c r="B12" s="89">
        <v>42804</v>
      </c>
      <c r="C12" s="24">
        <v>38584</v>
      </c>
      <c r="D12" s="85">
        <f>SUM(C$5:C12)-(F12*G12)</f>
        <v>-15596</v>
      </c>
      <c r="E12" s="24">
        <f>SUM(C$5:C12)/G12</f>
        <v>48050.5</v>
      </c>
      <c r="F12" s="30">
        <f t="shared" si="0"/>
        <v>50000</v>
      </c>
      <c r="G12" s="20">
        <v>8</v>
      </c>
      <c r="H12" s="89">
        <v>42804</v>
      </c>
      <c r="I12" s="21">
        <v>23524</v>
      </c>
      <c r="J12" s="85">
        <f>SUM(I$5:I12)-(L12*G12)</f>
        <v>-10587.391304347839</v>
      </c>
      <c r="K12" s="10">
        <f>SUM(I$5:I12)/G12</f>
        <v>24328.75</v>
      </c>
      <c r="L12" s="10">
        <f t="shared" si="1"/>
        <v>25652.17391304348</v>
      </c>
    </row>
    <row r="13" spans="2:22" ht="20.100000000000001" customHeight="1" x14ac:dyDescent="0.2">
      <c r="B13" s="89">
        <v>42807</v>
      </c>
      <c r="C13" s="29">
        <v>30676</v>
      </c>
      <c r="D13" s="85">
        <f>SUM(C$5:C13)-(F13*G13)</f>
        <v>-34920</v>
      </c>
      <c r="E13" s="24">
        <f>SUM(C$5:C13)/G13</f>
        <v>46120</v>
      </c>
      <c r="F13" s="30">
        <f t="shared" si="0"/>
        <v>50000</v>
      </c>
      <c r="G13" s="20">
        <v>9</v>
      </c>
      <c r="H13" s="89">
        <v>42807</v>
      </c>
      <c r="I13" s="13">
        <v>18880</v>
      </c>
      <c r="J13" s="85">
        <f>SUM(I$5:I13)-(L13*G13)</f>
        <v>-17359.565217391326</v>
      </c>
      <c r="K13" s="10">
        <f>SUM(I$5:I13)/G13</f>
        <v>23723.333333333332</v>
      </c>
      <c r="L13" s="10">
        <f t="shared" si="1"/>
        <v>25652.17391304348</v>
      </c>
    </row>
    <row r="14" spans="2:22" ht="20.100000000000001" customHeight="1" x14ac:dyDescent="0.2">
      <c r="B14" s="89">
        <v>42808</v>
      </c>
      <c r="C14" s="24">
        <v>55056</v>
      </c>
      <c r="D14" s="85">
        <f>SUM(C$5:C14)-(F14*G14)</f>
        <v>-29864</v>
      </c>
      <c r="E14" s="24">
        <f>SUM(C$5:C14)/G14</f>
        <v>47013.599999999999</v>
      </c>
      <c r="F14" s="30">
        <f t="shared" si="0"/>
        <v>50000</v>
      </c>
      <c r="G14" s="20">
        <v>10</v>
      </c>
      <c r="H14" s="89">
        <v>42808</v>
      </c>
      <c r="I14" s="21">
        <v>27499</v>
      </c>
      <c r="J14" s="85">
        <f>SUM(I$5:I14)-(L14*G14)</f>
        <v>-15512.739130434813</v>
      </c>
      <c r="K14" s="10">
        <f>SUM(I$5:I14)/G14</f>
        <v>24100.9</v>
      </c>
      <c r="L14" s="10">
        <f t="shared" si="1"/>
        <v>25652.17391304348</v>
      </c>
    </row>
    <row r="15" spans="2:22" ht="20.100000000000001" customHeight="1" x14ac:dyDescent="0.2">
      <c r="B15" s="89">
        <v>42809</v>
      </c>
      <c r="C15" s="29">
        <v>47064</v>
      </c>
      <c r="D15" s="85">
        <f>SUM(C$5:C15)-(F15*G15)</f>
        <v>-32800</v>
      </c>
      <c r="E15" s="24">
        <f>SUM(C$5:C15)/G15</f>
        <v>47018.181818181816</v>
      </c>
      <c r="F15" s="30">
        <f t="shared" si="0"/>
        <v>50000</v>
      </c>
      <c r="G15" s="20">
        <v>11</v>
      </c>
      <c r="H15" s="89">
        <v>42809</v>
      </c>
      <c r="I15" s="13">
        <v>18648</v>
      </c>
      <c r="J15" s="85">
        <f>SUM(I$5:I15)-(L15*G15)</f>
        <v>-22516.913043478271</v>
      </c>
      <c r="K15" s="10">
        <f>SUM(I$5:I15)/G15</f>
        <v>23605.18181818182</v>
      </c>
      <c r="L15" s="10">
        <f t="shared" si="1"/>
        <v>25652.17391304348</v>
      </c>
    </row>
    <row r="16" spans="2:22" ht="20.100000000000001" customHeight="1" x14ac:dyDescent="0.2">
      <c r="B16" s="89">
        <v>42810</v>
      </c>
      <c r="C16" s="29">
        <v>35149</v>
      </c>
      <c r="D16" s="85">
        <f>SUM(C$5:C16)-(F16*G16)</f>
        <v>-47651</v>
      </c>
      <c r="E16" s="24">
        <f>SUM(C$5:C16)/G16</f>
        <v>46029.083333333336</v>
      </c>
      <c r="F16" s="30">
        <f t="shared" si="0"/>
        <v>50000</v>
      </c>
      <c r="G16" s="20">
        <v>12</v>
      </c>
      <c r="H16" s="89">
        <v>42810</v>
      </c>
      <c r="I16" s="12">
        <v>19639</v>
      </c>
      <c r="J16" s="85">
        <f>SUM(I$5:I16)-(L16*G16)</f>
        <v>-28530.086956521729</v>
      </c>
      <c r="K16" s="10">
        <f>SUM(I$5:I16)/G16</f>
        <v>23274.666666666668</v>
      </c>
      <c r="L16" s="10">
        <f t="shared" si="1"/>
        <v>25652.17391304348</v>
      </c>
    </row>
    <row r="17" spans="1:12" ht="20.100000000000001" customHeight="1" x14ac:dyDescent="0.2">
      <c r="B17" s="89">
        <v>42811</v>
      </c>
      <c r="C17" s="29">
        <v>104532</v>
      </c>
      <c r="D17" s="85">
        <f>SUM(C$5:C17)-(F17*G17)</f>
        <v>6881</v>
      </c>
      <c r="E17" s="24">
        <f>SUM(C$5:C17)/G17</f>
        <v>50529.307692307695</v>
      </c>
      <c r="F17" s="30">
        <f t="shared" si="0"/>
        <v>50000</v>
      </c>
      <c r="G17" s="20">
        <v>13</v>
      </c>
      <c r="H17" s="89">
        <v>42811</v>
      </c>
      <c r="I17" s="12">
        <v>44494</v>
      </c>
      <c r="J17" s="85">
        <f>SUM(I$5:I17)-(L17*G17)</f>
        <v>-9688.2608695652452</v>
      </c>
      <c r="K17" s="10">
        <f>SUM(I$5:I17)/G17</f>
        <v>24906.923076923078</v>
      </c>
      <c r="L17" s="10">
        <f t="shared" si="1"/>
        <v>25652.17391304348</v>
      </c>
    </row>
    <row r="18" spans="1:12" ht="20.100000000000001" customHeight="1" x14ac:dyDescent="0.2">
      <c r="B18" s="89">
        <v>42814</v>
      </c>
      <c r="C18" s="29">
        <v>41251</v>
      </c>
      <c r="D18" s="85">
        <f>SUM(C$5:C18)-(F18*G18)</f>
        <v>-1868</v>
      </c>
      <c r="E18" s="24">
        <f>SUM(C$5:C18)/G18</f>
        <v>49866.571428571428</v>
      </c>
      <c r="F18" s="30">
        <f t="shared" si="0"/>
        <v>50000</v>
      </c>
      <c r="G18" s="20">
        <v>14</v>
      </c>
      <c r="H18" s="89">
        <v>42814</v>
      </c>
      <c r="I18" s="12">
        <v>23953</v>
      </c>
      <c r="J18" s="85">
        <f>SUM(I$5:I18)-(L18*G18)</f>
        <v>-11387.434782608703</v>
      </c>
      <c r="K18" s="10">
        <f>SUM(I$5:I18)/G18</f>
        <v>24838.785714285714</v>
      </c>
      <c r="L18" s="10">
        <f t="shared" si="1"/>
        <v>25652.17391304348</v>
      </c>
    </row>
    <row r="19" spans="1:12" ht="20.100000000000001" customHeight="1" x14ac:dyDescent="0.2">
      <c r="B19" s="89">
        <v>42815</v>
      </c>
      <c r="C19" s="29">
        <v>37795</v>
      </c>
      <c r="D19" s="85">
        <f>SUM(C$5:C19)-(F19*G19)</f>
        <v>-14073</v>
      </c>
      <c r="E19" s="24">
        <f>SUM(C$5:C19)/G19</f>
        <v>49061.8</v>
      </c>
      <c r="F19" s="30">
        <f t="shared" si="0"/>
        <v>50000</v>
      </c>
      <c r="G19" s="20">
        <v>15</v>
      </c>
      <c r="H19" s="89">
        <v>42815</v>
      </c>
      <c r="I19" s="12">
        <v>16489</v>
      </c>
      <c r="J19" s="85">
        <f>SUM(I$5:I19)-(L19*G19)</f>
        <v>-20550.608695652219</v>
      </c>
      <c r="K19" s="10">
        <f>SUM(I$5:I19)/G19</f>
        <v>24282.133333333335</v>
      </c>
      <c r="L19" s="10">
        <f t="shared" si="1"/>
        <v>25652.17391304348</v>
      </c>
    </row>
    <row r="20" spans="1:12" ht="20.100000000000001" customHeight="1" x14ac:dyDescent="0.2">
      <c r="B20" s="89">
        <v>42816</v>
      </c>
      <c r="C20" s="29">
        <v>25863</v>
      </c>
      <c r="D20" s="85">
        <f>SUM(C$5:C20)-(F20*G20)</f>
        <v>-38210</v>
      </c>
      <c r="E20" s="24">
        <f>SUM(C$5:C20)/G20</f>
        <v>47611.875</v>
      </c>
      <c r="F20" s="30">
        <f t="shared" si="0"/>
        <v>50000</v>
      </c>
      <c r="G20" s="20">
        <v>16</v>
      </c>
      <c r="H20" s="89">
        <v>42816</v>
      </c>
      <c r="I20" s="12">
        <v>14474</v>
      </c>
      <c r="J20" s="85">
        <f>SUM(I$5:I20)-(L20*G20)</f>
        <v>-31728.782608695677</v>
      </c>
      <c r="K20" s="10">
        <f>SUM(I$5:I20)/G20</f>
        <v>23669.125</v>
      </c>
      <c r="L20" s="10">
        <f t="shared" si="1"/>
        <v>25652.17391304348</v>
      </c>
    </row>
    <row r="21" spans="1:12" ht="20.100000000000001" customHeight="1" x14ac:dyDescent="0.2">
      <c r="B21" s="89">
        <v>42817</v>
      </c>
      <c r="C21" s="29">
        <v>27341</v>
      </c>
      <c r="D21" s="85">
        <f>SUM(C$5:C21)-(F21*G21)</f>
        <v>-60869</v>
      </c>
      <c r="E21" s="24">
        <f>SUM(C$5:C21)/G21</f>
        <v>46419.470588235294</v>
      </c>
      <c r="F21" s="30">
        <f t="shared" si="0"/>
        <v>50000</v>
      </c>
      <c r="G21" s="20">
        <v>17</v>
      </c>
      <c r="H21" s="89">
        <v>42817</v>
      </c>
      <c r="I21" s="12">
        <v>19468</v>
      </c>
      <c r="J21" s="85">
        <f>SUM(I$5:I21)-(L21*G21)</f>
        <v>-37912.956521739135</v>
      </c>
      <c r="K21" s="10">
        <f>SUM(I$5:I21)/G21</f>
        <v>23422</v>
      </c>
      <c r="L21" s="10">
        <f t="shared" si="1"/>
        <v>25652.17391304348</v>
      </c>
    </row>
    <row r="22" spans="1:12" ht="20.100000000000001" customHeight="1" x14ac:dyDescent="0.2">
      <c r="B22" s="89">
        <v>42818</v>
      </c>
      <c r="C22" s="29">
        <v>29821</v>
      </c>
      <c r="D22" s="85">
        <f>SUM(C$5:C22)-(F22*G22)</f>
        <v>-81048</v>
      </c>
      <c r="E22" s="24">
        <f>SUM(C$5:C22)/G22</f>
        <v>45497.333333333336</v>
      </c>
      <c r="F22" s="30">
        <f t="shared" si="0"/>
        <v>50000</v>
      </c>
      <c r="G22" s="20">
        <v>18</v>
      </c>
      <c r="H22" s="89">
        <v>42818</v>
      </c>
      <c r="I22" s="12">
        <v>34334</v>
      </c>
      <c r="J22" s="85">
        <f>SUM(I$5:I22)-(L22*G22)</f>
        <v>-29231.130434782652</v>
      </c>
      <c r="K22" s="10">
        <f>SUM(I$5:I22)/G22</f>
        <v>24028.222222222223</v>
      </c>
      <c r="L22" s="10">
        <f t="shared" si="1"/>
        <v>25652.17391304348</v>
      </c>
    </row>
    <row r="23" spans="1:12" ht="20.100000000000001" customHeight="1" x14ac:dyDescent="0.2">
      <c r="B23" s="89">
        <v>42821</v>
      </c>
      <c r="C23" s="29">
        <v>17597</v>
      </c>
      <c r="D23" s="85">
        <f>SUM(C$5:C23)-(F23*G23)</f>
        <v>-113451</v>
      </c>
      <c r="E23" s="24">
        <f>SUM(C$5:C23)/G23</f>
        <v>44028.894736842107</v>
      </c>
      <c r="F23" s="30">
        <f t="shared" si="0"/>
        <v>50000</v>
      </c>
      <c r="G23" s="20">
        <v>19</v>
      </c>
      <c r="H23" s="89">
        <v>42821</v>
      </c>
      <c r="I23" s="12">
        <v>11312</v>
      </c>
      <c r="J23" s="85">
        <f>SUM(I$5:I23)-(L23*G23)</f>
        <v>-43571.30434782611</v>
      </c>
      <c r="K23" s="10">
        <f>SUM(I$5:I23)/G23</f>
        <v>23358.947368421053</v>
      </c>
      <c r="L23" s="10">
        <f t="shared" si="1"/>
        <v>25652.17391304348</v>
      </c>
    </row>
    <row r="24" spans="1:12" ht="20.100000000000001" customHeight="1" x14ac:dyDescent="0.2">
      <c r="B24" s="89">
        <v>42822</v>
      </c>
      <c r="C24" s="29">
        <v>33889</v>
      </c>
      <c r="D24" s="85">
        <f>SUM(C$5:C24)-(F24*G24)</f>
        <v>-129562</v>
      </c>
      <c r="E24" s="24">
        <f>SUM(C$5:C24)/G24</f>
        <v>43521.9</v>
      </c>
      <c r="F24" s="30">
        <f t="shared" si="0"/>
        <v>50000</v>
      </c>
      <c r="G24" s="20">
        <v>20</v>
      </c>
      <c r="H24" s="89">
        <v>42822</v>
      </c>
      <c r="I24" s="12">
        <v>16501</v>
      </c>
      <c r="J24" s="85">
        <f>SUM(I$5:I24)-(L24*G24)</f>
        <v>-52722.478260869626</v>
      </c>
      <c r="K24" s="10">
        <f>SUM(I$5:I24)/G24</f>
        <v>23016.05</v>
      </c>
      <c r="L24" s="10">
        <f t="shared" si="1"/>
        <v>25652.17391304348</v>
      </c>
    </row>
    <row r="25" spans="1:12" ht="20.100000000000001" customHeight="1" x14ac:dyDescent="0.2">
      <c r="B25" s="89">
        <v>42823</v>
      </c>
      <c r="C25" s="29">
        <v>61681</v>
      </c>
      <c r="D25" s="85">
        <f>SUM(C$5:C25)-(F25*G25)</f>
        <v>-117881</v>
      </c>
      <c r="E25" s="24">
        <f>SUM(C$5:C25)/G25</f>
        <v>44386.619047619046</v>
      </c>
      <c r="F25" s="30">
        <f t="shared" si="0"/>
        <v>50000</v>
      </c>
      <c r="G25" s="20">
        <v>21</v>
      </c>
      <c r="H25" s="89">
        <v>42823</v>
      </c>
      <c r="I25" s="12">
        <v>21211</v>
      </c>
      <c r="J25" s="85">
        <f>SUM(I$5:I25)-(L25*G25)</f>
        <v>-57163.652173913084</v>
      </c>
      <c r="K25" s="10">
        <f>SUM(I$5:I25)/G25</f>
        <v>22930.095238095237</v>
      </c>
      <c r="L25" s="10">
        <f t="shared" si="1"/>
        <v>25652.17391304348</v>
      </c>
    </row>
    <row r="26" spans="1:12" ht="20.100000000000001" customHeight="1" x14ac:dyDescent="0.2">
      <c r="B26" s="89">
        <v>42824</v>
      </c>
      <c r="C26" s="29">
        <v>44010</v>
      </c>
      <c r="D26" s="85">
        <f>SUM(C$5:C26)-(F26*G26)</f>
        <v>-123871</v>
      </c>
      <c r="E26" s="24">
        <f>SUM(C$5:C26)/G26</f>
        <v>44369.5</v>
      </c>
      <c r="F26" s="30">
        <f t="shared" si="0"/>
        <v>50000</v>
      </c>
      <c r="G26" s="20">
        <v>22</v>
      </c>
      <c r="H26" s="89">
        <v>42824</v>
      </c>
      <c r="I26" s="12">
        <v>23813</v>
      </c>
      <c r="J26" s="85">
        <f>SUM(I$5:I26)-(L26*G26)</f>
        <v>-59002.826086956542</v>
      </c>
      <c r="K26" s="10">
        <f>SUM(I$5:I26)/G26</f>
        <v>22970.227272727272</v>
      </c>
      <c r="L26" s="10">
        <f t="shared" si="1"/>
        <v>25652.17391304348</v>
      </c>
    </row>
    <row r="27" spans="1:12" ht="20.100000000000001" customHeight="1" x14ac:dyDescent="0.2">
      <c r="B27" s="89">
        <v>42825</v>
      </c>
      <c r="C27" s="29">
        <v>27032</v>
      </c>
      <c r="D27" s="85">
        <f>SUM(C$5:C27)-(F27*G27)</f>
        <v>-146839</v>
      </c>
      <c r="E27" s="24">
        <f>SUM(C$5:C27)/G27</f>
        <v>43615.695652173912</v>
      </c>
      <c r="F27" s="30">
        <f t="shared" si="0"/>
        <v>50000</v>
      </c>
      <c r="G27" s="20">
        <v>23</v>
      </c>
      <c r="H27" s="89">
        <v>42825</v>
      </c>
      <c r="I27" s="12">
        <v>26142</v>
      </c>
      <c r="J27" s="85">
        <f>SUM(I$5:I27)-(L27*G27)</f>
        <v>-58513</v>
      </c>
      <c r="K27" s="10">
        <f>SUM(I$5:I27)/G27</f>
        <v>23108.130434782608</v>
      </c>
      <c r="L27" s="10">
        <f t="shared" si="1"/>
        <v>25652.17391304348</v>
      </c>
    </row>
    <row r="28" spans="1:12" ht="20.100000000000001" customHeight="1" x14ac:dyDescent="0.2">
      <c r="B28" s="19" t="s">
        <v>8</v>
      </c>
      <c r="C28" s="12">
        <f>SUM(C5:C27)</f>
        <v>1003161</v>
      </c>
      <c r="D28" s="86"/>
      <c r="E28" s="23"/>
      <c r="F28" s="30">
        <v>1150000</v>
      </c>
      <c r="G28" s="18"/>
      <c r="H28" s="11" t="s">
        <v>8</v>
      </c>
      <c r="I28" s="12">
        <f>SUM(I5:I27)</f>
        <v>531487</v>
      </c>
      <c r="J28" s="8"/>
      <c r="K28" s="8"/>
      <c r="L28" s="10">
        <v>590000</v>
      </c>
    </row>
    <row r="29" spans="1:12" ht="19.5" customHeight="1" x14ac:dyDescent="0.2"/>
    <row r="30" spans="1:12" ht="19.5" customHeight="1" x14ac:dyDescent="0.2"/>
    <row r="32" spans="1:12" x14ac:dyDescent="0.2">
      <c r="A32" s="156"/>
      <c r="B32" s="156"/>
      <c r="C32" s="156"/>
      <c r="D32" s="156"/>
      <c r="I32" s="34"/>
      <c r="J32" s="32"/>
    </row>
    <row r="33" spans="12:12" x14ac:dyDescent="0.2">
      <c r="L33" s="33"/>
    </row>
  </sheetData>
  <mergeCells count="5">
    <mergeCell ref="B1:F2"/>
    <mergeCell ref="H1:L2"/>
    <mergeCell ref="B3:F3"/>
    <mergeCell ref="H3:L3"/>
    <mergeCell ref="A32:D32"/>
  </mergeCells>
  <conditionalFormatting sqref="D5:D27 J5:J28">
    <cfRule type="cellIs" dxfId="1807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Plan150">
    <tabColor rgb="FF92D050"/>
  </sheetPr>
  <dimension ref="A1:V35"/>
  <sheetViews>
    <sheetView tabSelected="1" topLeftCell="A3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42979</v>
      </c>
      <c r="C5" s="24">
        <v>38551</v>
      </c>
      <c r="D5" s="85">
        <f>SUM(C5:C5)-(F5*1)</f>
        <v>-11449</v>
      </c>
      <c r="E5" s="24">
        <f>C5/1</f>
        <v>38551</v>
      </c>
      <c r="F5" s="30">
        <f t="shared" ref="F5:F29" si="0">$F$30/$G$29</f>
        <v>50000</v>
      </c>
      <c r="G5" s="20">
        <v>1</v>
      </c>
      <c r="H5" s="89">
        <v>42979</v>
      </c>
      <c r="I5" s="12">
        <v>30614</v>
      </c>
      <c r="J5" s="10">
        <f>SUM(I5:I5)-(L5*G5)</f>
        <v>6614</v>
      </c>
      <c r="K5" s="10">
        <f>I5/1</f>
        <v>30614</v>
      </c>
      <c r="L5" s="10">
        <f t="shared" ref="L5:L29" si="1">$L$30/$G$29</f>
        <v>24000</v>
      </c>
    </row>
    <row r="6" spans="2:22" ht="20.100000000000001" customHeight="1" x14ac:dyDescent="0.2">
      <c r="B6" s="89">
        <v>42980</v>
      </c>
      <c r="C6" s="26">
        <v>65289</v>
      </c>
      <c r="D6" s="85">
        <f>SUM(C$5:C6)-(F6*G6)</f>
        <v>3840</v>
      </c>
      <c r="E6" s="24">
        <f>SUM(C$5:C6)/G6</f>
        <v>51920</v>
      </c>
      <c r="F6" s="30">
        <f t="shared" si="0"/>
        <v>50000</v>
      </c>
      <c r="G6" s="20">
        <v>2</v>
      </c>
      <c r="H6" s="89">
        <v>42980</v>
      </c>
      <c r="I6" s="21">
        <v>21662</v>
      </c>
      <c r="J6" s="85">
        <f>SUM(I$5:I6)-(L6*G6)</f>
        <v>4276</v>
      </c>
      <c r="K6" s="10">
        <f>SUM(I$5:I6)/G6</f>
        <v>26138</v>
      </c>
      <c r="L6" s="10">
        <f t="shared" si="1"/>
        <v>24000</v>
      </c>
    </row>
    <row r="7" spans="2:22" ht="20.100000000000001" customHeight="1" x14ac:dyDescent="0.2">
      <c r="B7" s="89">
        <v>42982</v>
      </c>
      <c r="C7" s="24">
        <v>34523</v>
      </c>
      <c r="D7" s="85">
        <f>SUM(C$5:C7)-(F7*G7)</f>
        <v>-11637</v>
      </c>
      <c r="E7" s="24">
        <f>SUM(C$5:C7)/G7</f>
        <v>46121</v>
      </c>
      <c r="F7" s="30">
        <f t="shared" si="0"/>
        <v>50000</v>
      </c>
      <c r="G7" s="20">
        <v>3</v>
      </c>
      <c r="H7" s="89">
        <v>42982</v>
      </c>
      <c r="I7" s="21">
        <v>14753</v>
      </c>
      <c r="J7" s="85">
        <f>SUM(I$5:I7)-(L7*G7)</f>
        <v>-4971</v>
      </c>
      <c r="K7" s="10">
        <f>SUM(I$5:I7)/G7</f>
        <v>22343</v>
      </c>
      <c r="L7" s="10">
        <f t="shared" si="1"/>
        <v>24000</v>
      </c>
    </row>
    <row r="8" spans="2:22" ht="19.5" customHeight="1" x14ac:dyDescent="0.2">
      <c r="B8" s="89">
        <v>42983</v>
      </c>
      <c r="C8" s="24">
        <v>46990</v>
      </c>
      <c r="D8" s="85">
        <f>SUM(C$5:C8)-(F8*G8)</f>
        <v>-14647</v>
      </c>
      <c r="E8" s="24">
        <f>SUM(C$5:C8)/G8</f>
        <v>46338.25</v>
      </c>
      <c r="F8" s="30">
        <f t="shared" si="0"/>
        <v>50000</v>
      </c>
      <c r="G8" s="20">
        <v>4</v>
      </c>
      <c r="H8" s="89">
        <v>42983</v>
      </c>
      <c r="I8" s="21">
        <v>16324</v>
      </c>
      <c r="J8" s="85">
        <f>SUM(I$5:I8)-(L8*G8)</f>
        <v>-12647</v>
      </c>
      <c r="K8" s="10">
        <f>SUM(I$5:I8)/G8</f>
        <v>20838.25</v>
      </c>
      <c r="L8" s="10">
        <f t="shared" si="1"/>
        <v>24000</v>
      </c>
    </row>
    <row r="9" spans="2:22" ht="20.100000000000001" customHeight="1" x14ac:dyDescent="0.2">
      <c r="B9" s="89">
        <v>42984</v>
      </c>
      <c r="C9" s="27">
        <v>25287</v>
      </c>
      <c r="D9" s="85">
        <f>SUM(C$5:C9)-(F9*G9)</f>
        <v>-39360</v>
      </c>
      <c r="E9" s="24">
        <f>SUM(C$5:C9)/G9</f>
        <v>42128</v>
      </c>
      <c r="F9" s="30">
        <f t="shared" si="0"/>
        <v>50000</v>
      </c>
      <c r="G9" s="20">
        <v>5</v>
      </c>
      <c r="H9" s="89">
        <v>42984</v>
      </c>
      <c r="I9" s="22">
        <v>12859</v>
      </c>
      <c r="J9" s="85">
        <f>SUM(I$5:I9)-(L9*G9)</f>
        <v>-23788</v>
      </c>
      <c r="K9" s="10">
        <f>SUM(I$5:I9)/G9</f>
        <v>19242.400000000001</v>
      </c>
      <c r="L9" s="10">
        <f t="shared" si="1"/>
        <v>24000</v>
      </c>
    </row>
    <row r="10" spans="2:22" ht="20.100000000000001" customHeight="1" x14ac:dyDescent="0.2">
      <c r="B10" s="89">
        <v>42985</v>
      </c>
      <c r="C10" s="27">
        <v>30084</v>
      </c>
      <c r="D10" s="85">
        <f>SUM(C$5:C10)-(F10*G10)</f>
        <v>-59276</v>
      </c>
      <c r="E10" s="24">
        <f>SUM(C$5:C10)/G10</f>
        <v>40120.666666666664</v>
      </c>
      <c r="F10" s="30">
        <f t="shared" si="0"/>
        <v>50000</v>
      </c>
      <c r="G10" s="20">
        <v>6</v>
      </c>
      <c r="H10" s="89">
        <v>42985</v>
      </c>
      <c r="I10" s="22">
        <v>9947</v>
      </c>
      <c r="J10" s="85">
        <f>SUM(I$5:I10)-(L10*G10)</f>
        <v>-37841</v>
      </c>
      <c r="K10" s="10">
        <f>SUM(I$5:I10)/G10</f>
        <v>17693.166666666668</v>
      </c>
      <c r="L10" s="10">
        <f t="shared" si="1"/>
        <v>24000</v>
      </c>
    </row>
    <row r="11" spans="2:22" ht="20.100000000000001" customHeight="1" x14ac:dyDescent="0.2">
      <c r="B11" s="89">
        <v>42986</v>
      </c>
      <c r="C11" s="24">
        <v>38910</v>
      </c>
      <c r="D11" s="85">
        <f>SUM(C$5:C11)-(F11*G11)</f>
        <v>-70366</v>
      </c>
      <c r="E11" s="24">
        <f>SUM(C$5:C11)/G11</f>
        <v>39947.714285714283</v>
      </c>
      <c r="F11" s="30">
        <f t="shared" si="0"/>
        <v>50000</v>
      </c>
      <c r="G11" s="20">
        <v>7</v>
      </c>
      <c r="H11" s="89">
        <v>42986</v>
      </c>
      <c r="I11" s="21">
        <v>7673</v>
      </c>
      <c r="J11" s="85">
        <f>SUM(I$5:I11)-(L11*G11)</f>
        <v>-54168</v>
      </c>
      <c r="K11" s="10">
        <f>SUM(I$5:I11)/G11</f>
        <v>16261.714285714286</v>
      </c>
      <c r="L11" s="10">
        <f t="shared" si="1"/>
        <v>24000</v>
      </c>
    </row>
    <row r="12" spans="2:22" ht="20.100000000000001" customHeight="1" x14ac:dyDescent="0.2">
      <c r="B12" s="89">
        <v>42989</v>
      </c>
      <c r="C12" s="24">
        <v>25791</v>
      </c>
      <c r="D12" s="85">
        <f>SUM(C$5:C12)-(F12*G12)</f>
        <v>-94575</v>
      </c>
      <c r="E12" s="24">
        <f>SUM(C$5:C12)/G12</f>
        <v>38178.125</v>
      </c>
      <c r="F12" s="30">
        <f t="shared" si="0"/>
        <v>50000</v>
      </c>
      <c r="G12" s="20">
        <v>8</v>
      </c>
      <c r="H12" s="89">
        <v>42989</v>
      </c>
      <c r="I12" s="21">
        <v>7399</v>
      </c>
      <c r="J12" s="85">
        <f>SUM(I$5:I12)-(L12*G12)</f>
        <v>-70769</v>
      </c>
      <c r="K12" s="10">
        <f>SUM(I$5:I12)/G12</f>
        <v>15153.875</v>
      </c>
      <c r="L12" s="10">
        <f t="shared" si="1"/>
        <v>24000</v>
      </c>
    </row>
    <row r="13" spans="2:22" ht="20.100000000000001" customHeight="1" x14ac:dyDescent="0.2">
      <c r="B13" s="89">
        <v>42990</v>
      </c>
      <c r="C13" s="29">
        <v>33283</v>
      </c>
      <c r="D13" s="85">
        <f>SUM(C$5:C13)-(F13*G13)</f>
        <v>-111292</v>
      </c>
      <c r="E13" s="24">
        <f>SUM(C$5:C13)/G13</f>
        <v>37634.222222222219</v>
      </c>
      <c r="F13" s="30">
        <f t="shared" si="0"/>
        <v>50000</v>
      </c>
      <c r="G13" s="20">
        <v>9</v>
      </c>
      <c r="H13" s="89">
        <v>42990</v>
      </c>
      <c r="I13" s="13">
        <v>16934</v>
      </c>
      <c r="J13" s="85">
        <f>SUM(I$5:I13)-(L13*G13)</f>
        <v>-77835</v>
      </c>
      <c r="K13" s="10">
        <f>SUM(I$5:I13)/G13</f>
        <v>15351.666666666666</v>
      </c>
      <c r="L13" s="10">
        <f t="shared" si="1"/>
        <v>24000</v>
      </c>
    </row>
    <row r="14" spans="2:22" ht="20.100000000000001" customHeight="1" x14ac:dyDescent="0.2">
      <c r="B14" s="89">
        <v>42991</v>
      </c>
      <c r="C14" s="29">
        <v>36422</v>
      </c>
      <c r="D14" s="85">
        <f>SUM(C$5:C14)-(F14*G14)</f>
        <v>-124870</v>
      </c>
      <c r="E14" s="24">
        <f>SUM(C$5:C14)/G14</f>
        <v>37513</v>
      </c>
      <c r="F14" s="30">
        <f t="shared" si="0"/>
        <v>50000</v>
      </c>
      <c r="G14" s="20">
        <v>10</v>
      </c>
      <c r="H14" s="89">
        <v>42991</v>
      </c>
      <c r="I14" s="13">
        <v>21909</v>
      </c>
      <c r="J14" s="85">
        <f>SUM(I$5:I14)-(L14*G14)</f>
        <v>-79926</v>
      </c>
      <c r="K14" s="10">
        <f>SUM(I$5:I14)/G14</f>
        <v>16007.4</v>
      </c>
      <c r="L14" s="10">
        <f t="shared" si="1"/>
        <v>24000</v>
      </c>
    </row>
    <row r="15" spans="2:22" ht="20.100000000000001" customHeight="1" x14ac:dyDescent="0.2">
      <c r="B15" s="89">
        <v>42992</v>
      </c>
      <c r="C15" s="29">
        <v>48923</v>
      </c>
      <c r="D15" s="85">
        <f>SUM(C$5:C15)-(F15*G15)</f>
        <v>-125947</v>
      </c>
      <c r="E15" s="24">
        <f>SUM(C$5:C15)/G15</f>
        <v>38550.272727272728</v>
      </c>
      <c r="F15" s="30">
        <f t="shared" si="0"/>
        <v>50000</v>
      </c>
      <c r="G15" s="20">
        <v>11</v>
      </c>
      <c r="H15" s="89">
        <v>42992</v>
      </c>
      <c r="I15" s="13">
        <v>15471</v>
      </c>
      <c r="J15" s="85">
        <f>SUM(I$5:I15)-(L15*G15)</f>
        <v>-88455</v>
      </c>
      <c r="K15" s="10">
        <f>SUM(I$5:I15)/G15</f>
        <v>15958.636363636364</v>
      </c>
      <c r="L15" s="10">
        <f t="shared" si="1"/>
        <v>24000</v>
      </c>
    </row>
    <row r="16" spans="2:22" ht="20.100000000000001" customHeight="1" x14ac:dyDescent="0.2">
      <c r="B16" s="89">
        <v>42993</v>
      </c>
      <c r="C16" s="29">
        <v>12429</v>
      </c>
      <c r="D16" s="85">
        <f>SUM(C$5:C16)-(F16*G16)</f>
        <v>-163518</v>
      </c>
      <c r="E16" s="24">
        <f>SUM(C$5:C16)/G16</f>
        <v>36373.5</v>
      </c>
      <c r="F16" s="30">
        <f t="shared" si="0"/>
        <v>50000</v>
      </c>
      <c r="G16" s="20">
        <v>12</v>
      </c>
      <c r="H16" s="89">
        <v>42993</v>
      </c>
      <c r="I16" s="13">
        <v>5996</v>
      </c>
      <c r="J16" s="85">
        <f>SUM(I$5:I16)-(L16*G16)</f>
        <v>-106459</v>
      </c>
      <c r="K16" s="10">
        <f>SUM(I$5:I16)/G16</f>
        <v>15128.416666666666</v>
      </c>
      <c r="L16" s="10">
        <f t="shared" si="1"/>
        <v>24000</v>
      </c>
    </row>
    <row r="17" spans="2:12" ht="20.100000000000001" customHeight="1" x14ac:dyDescent="0.2">
      <c r="B17" s="89">
        <v>42994</v>
      </c>
      <c r="C17" s="29">
        <v>52849</v>
      </c>
      <c r="D17" s="85">
        <f>SUM(C$5:C17)-(F17*G17)</f>
        <v>-160669</v>
      </c>
      <c r="E17" s="24">
        <f>SUM(C$5:C17)/G17</f>
        <v>37640.846153846156</v>
      </c>
      <c r="F17" s="30">
        <f t="shared" si="0"/>
        <v>50000</v>
      </c>
      <c r="G17" s="20">
        <v>13</v>
      </c>
      <c r="H17" s="89">
        <v>42994</v>
      </c>
      <c r="I17" s="13">
        <v>26856</v>
      </c>
      <c r="J17" s="85">
        <f>SUM(I$5:I17)-(L17*G17)</f>
        <v>-103603</v>
      </c>
      <c r="K17" s="10">
        <f>SUM(I$5:I17)/G17</f>
        <v>16030.538461538461</v>
      </c>
      <c r="L17" s="10">
        <f t="shared" si="1"/>
        <v>24000</v>
      </c>
    </row>
    <row r="18" spans="2:12" ht="20.100000000000001" customHeight="1" x14ac:dyDescent="0.2">
      <c r="B18" s="89">
        <v>42996</v>
      </c>
      <c r="C18" s="29">
        <v>42832</v>
      </c>
      <c r="D18" s="85">
        <f>SUM(C$5:C18)-(F18*G18)</f>
        <v>-167837</v>
      </c>
      <c r="E18" s="24">
        <f>SUM(C$5:C18)/G18</f>
        <v>38011.642857142855</v>
      </c>
      <c r="F18" s="30">
        <f t="shared" si="0"/>
        <v>50000</v>
      </c>
      <c r="G18" s="20">
        <v>14</v>
      </c>
      <c r="H18" s="89">
        <v>42996</v>
      </c>
      <c r="I18" s="13">
        <v>25169</v>
      </c>
      <c r="J18" s="85">
        <f>SUM(I$5:I18)-(L18*G18)</f>
        <v>-102434</v>
      </c>
      <c r="K18" s="10">
        <f>SUM(I$5:I18)/G18</f>
        <v>16683.285714285714</v>
      </c>
      <c r="L18" s="10">
        <f t="shared" si="1"/>
        <v>24000</v>
      </c>
    </row>
    <row r="19" spans="2:12" ht="20.100000000000001" customHeight="1" x14ac:dyDescent="0.2">
      <c r="B19" s="89">
        <v>42997</v>
      </c>
      <c r="C19" s="24">
        <v>16882</v>
      </c>
      <c r="D19" s="85">
        <f>SUM(C$5:C19)-(F19*G19)</f>
        <v>-200955</v>
      </c>
      <c r="E19" s="24">
        <f>SUM(C$5:C19)/G19</f>
        <v>36603</v>
      </c>
      <c r="F19" s="30">
        <f t="shared" si="0"/>
        <v>50000</v>
      </c>
      <c r="G19" s="20">
        <v>15</v>
      </c>
      <c r="H19" s="89">
        <v>42997</v>
      </c>
      <c r="I19" s="21">
        <v>19296</v>
      </c>
      <c r="J19" s="85">
        <f>SUM(I$5:I19)-(L19*G19)</f>
        <v>-107138</v>
      </c>
      <c r="K19" s="10">
        <f>SUM(I$5:I19)/G19</f>
        <v>16857.466666666667</v>
      </c>
      <c r="L19" s="10">
        <f t="shared" si="1"/>
        <v>24000</v>
      </c>
    </row>
    <row r="20" spans="2:12" ht="20.100000000000001" customHeight="1" x14ac:dyDescent="0.2">
      <c r="B20" s="89">
        <v>42998</v>
      </c>
      <c r="C20" s="29">
        <v>50916</v>
      </c>
      <c r="D20" s="85">
        <f>SUM(C$5:C20)-(F20*G20)</f>
        <v>-200039</v>
      </c>
      <c r="E20" s="24">
        <f>SUM(C$5:C20)/G20</f>
        <v>37497.5625</v>
      </c>
      <c r="F20" s="30">
        <f t="shared" si="0"/>
        <v>50000</v>
      </c>
      <c r="G20" s="20">
        <v>16</v>
      </c>
      <c r="H20" s="89">
        <v>42998</v>
      </c>
      <c r="I20" s="13">
        <v>32443</v>
      </c>
      <c r="J20" s="85">
        <f>SUM(I$5:I20)-(L20*G20)</f>
        <v>-98695</v>
      </c>
      <c r="K20" s="10">
        <f>SUM(I$5:I20)/G20</f>
        <v>17831.5625</v>
      </c>
      <c r="L20" s="10">
        <f t="shared" si="1"/>
        <v>24000</v>
      </c>
    </row>
    <row r="21" spans="2:12" ht="20.100000000000001" customHeight="1" x14ac:dyDescent="0.2">
      <c r="B21" s="89">
        <v>42999</v>
      </c>
      <c r="C21" s="29">
        <v>30330</v>
      </c>
      <c r="D21" s="85">
        <f>SUM(C$5:C21)-(F21*G21)</f>
        <v>-219709</v>
      </c>
      <c r="E21" s="24">
        <f>SUM(C$5:C21)/G21</f>
        <v>37075.941176470587</v>
      </c>
      <c r="F21" s="30">
        <f t="shared" si="0"/>
        <v>50000</v>
      </c>
      <c r="G21" s="20">
        <v>17</v>
      </c>
      <c r="H21" s="89">
        <v>42999</v>
      </c>
      <c r="I21" s="12">
        <v>12213</v>
      </c>
      <c r="J21" s="85">
        <f>SUM(I$5:I21)-(L21*G21)</f>
        <v>-110482</v>
      </c>
      <c r="K21" s="10">
        <f>SUM(I$5:I21)/G21</f>
        <v>17501.058823529413</v>
      </c>
      <c r="L21" s="10">
        <f t="shared" si="1"/>
        <v>24000</v>
      </c>
    </row>
    <row r="22" spans="2:12" ht="20.100000000000001" customHeight="1" x14ac:dyDescent="0.2">
      <c r="B22" s="89">
        <v>43000</v>
      </c>
      <c r="C22" s="29">
        <v>24890</v>
      </c>
      <c r="D22" s="85">
        <f>SUM(C$5:C22)-(F22*G22)</f>
        <v>-244819</v>
      </c>
      <c r="E22" s="24">
        <f>SUM(C$5:C22)/G22</f>
        <v>36398.944444444445</v>
      </c>
      <c r="F22" s="30">
        <f t="shared" si="0"/>
        <v>50000</v>
      </c>
      <c r="G22" s="20">
        <v>18</v>
      </c>
      <c r="H22" s="89">
        <v>43000</v>
      </c>
      <c r="I22" s="12">
        <v>13768</v>
      </c>
      <c r="J22" s="85">
        <f>SUM(I$5:I22)-(L22*G22)</f>
        <v>-120714</v>
      </c>
      <c r="K22" s="10">
        <f>SUM(I$5:I22)/G22</f>
        <v>17293.666666666668</v>
      </c>
      <c r="L22" s="10">
        <f t="shared" si="1"/>
        <v>24000</v>
      </c>
    </row>
    <row r="23" spans="2:12" ht="20.100000000000001" customHeight="1" x14ac:dyDescent="0.2">
      <c r="B23" s="89">
        <v>43001</v>
      </c>
      <c r="C23" s="29">
        <v>50657</v>
      </c>
      <c r="D23" s="85">
        <f>SUM(C$5:C23)-(F23*G23)</f>
        <v>-244162</v>
      </c>
      <c r="E23" s="24">
        <f>SUM(C$5:C23)/G23</f>
        <v>37149.368421052633</v>
      </c>
      <c r="F23" s="30">
        <f t="shared" si="0"/>
        <v>50000</v>
      </c>
      <c r="G23" s="20">
        <v>19</v>
      </c>
      <c r="H23" s="89">
        <v>43001</v>
      </c>
      <c r="I23" s="12">
        <v>34174</v>
      </c>
      <c r="J23" s="85">
        <f>SUM(I$5:I23)-(L23*G23)</f>
        <v>-110540</v>
      </c>
      <c r="K23" s="10">
        <f>SUM(I$5:I23)/G23</f>
        <v>18182.105263157893</v>
      </c>
      <c r="L23" s="10">
        <f t="shared" si="1"/>
        <v>24000</v>
      </c>
    </row>
    <row r="24" spans="2:12" ht="20.100000000000001" customHeight="1" x14ac:dyDescent="0.2">
      <c r="B24" s="89">
        <v>43003</v>
      </c>
      <c r="C24" s="29">
        <v>8816</v>
      </c>
      <c r="D24" s="85">
        <f>SUM(C$5:C24)-(F24*G24)</f>
        <v>-285346</v>
      </c>
      <c r="E24" s="24">
        <f>SUM(C$5:C24)/G24</f>
        <v>35732.699999999997</v>
      </c>
      <c r="F24" s="30">
        <f t="shared" si="0"/>
        <v>50000</v>
      </c>
      <c r="G24" s="20">
        <v>20</v>
      </c>
      <c r="H24" s="89">
        <v>43003</v>
      </c>
      <c r="I24" s="12">
        <v>11034</v>
      </c>
      <c r="J24" s="85">
        <f>SUM(I$5:I24)-(L24*G24)</f>
        <v>-123506</v>
      </c>
      <c r="K24" s="10">
        <f>SUM(I$5:I24)/G24</f>
        <v>17824.7</v>
      </c>
      <c r="L24" s="10">
        <f t="shared" si="1"/>
        <v>24000</v>
      </c>
    </row>
    <row r="25" spans="2:12" ht="20.100000000000001" customHeight="1" x14ac:dyDescent="0.2">
      <c r="B25" s="89">
        <v>43004</v>
      </c>
      <c r="C25" s="29">
        <v>22345</v>
      </c>
      <c r="D25" s="85">
        <f>SUM(C$5:C25)-(F25*G25)</f>
        <v>-313001</v>
      </c>
      <c r="E25" s="24">
        <f>SUM(C$5:C25)/G25</f>
        <v>35095.190476190473</v>
      </c>
      <c r="F25" s="30">
        <f t="shared" si="0"/>
        <v>50000</v>
      </c>
      <c r="G25" s="20">
        <v>21</v>
      </c>
      <c r="H25" s="89">
        <v>43004</v>
      </c>
      <c r="I25" s="12">
        <v>23614</v>
      </c>
      <c r="J25" s="85">
        <f>SUM(I$5:I25)-(L25*G25)</f>
        <v>-123892</v>
      </c>
      <c r="K25" s="10">
        <f>SUM(I$5:I25)/G25</f>
        <v>18100.380952380954</v>
      </c>
      <c r="L25" s="10">
        <f t="shared" si="1"/>
        <v>24000</v>
      </c>
    </row>
    <row r="26" spans="2:12" ht="20.100000000000001" customHeight="1" x14ac:dyDescent="0.2">
      <c r="B26" s="89">
        <v>43005</v>
      </c>
      <c r="C26" s="29">
        <v>39508</v>
      </c>
      <c r="D26" s="85">
        <f>SUM(C$5:C26)-(F26*G26)</f>
        <v>-323493</v>
      </c>
      <c r="E26" s="24">
        <f>SUM(C$5:C26)/G26</f>
        <v>35295.772727272728</v>
      </c>
      <c r="F26" s="30">
        <f t="shared" si="0"/>
        <v>50000</v>
      </c>
      <c r="G26" s="20">
        <v>22</v>
      </c>
      <c r="H26" s="89">
        <v>43005</v>
      </c>
      <c r="I26" s="12">
        <v>22579</v>
      </c>
      <c r="J26" s="85">
        <f>SUM(I$5:I26)-(L26*G26)</f>
        <v>-125313</v>
      </c>
      <c r="K26" s="10">
        <f>SUM(I$5:I26)/G26</f>
        <v>18303.954545454544</v>
      </c>
      <c r="L26" s="10">
        <f t="shared" si="1"/>
        <v>24000</v>
      </c>
    </row>
    <row r="27" spans="2:12" ht="20.100000000000001" customHeight="1" x14ac:dyDescent="0.2">
      <c r="B27" s="89">
        <v>43006</v>
      </c>
      <c r="C27" s="29">
        <v>32176</v>
      </c>
      <c r="D27" s="85">
        <f>SUM(C$5:C27)-(F27*G27)</f>
        <v>-341317</v>
      </c>
      <c r="E27" s="24">
        <f>SUM(C$5:C27)/G27</f>
        <v>35160.130434782608</v>
      </c>
      <c r="F27" s="30">
        <f t="shared" si="0"/>
        <v>50000</v>
      </c>
      <c r="G27" s="20">
        <v>23</v>
      </c>
      <c r="H27" s="89">
        <v>43006</v>
      </c>
      <c r="I27" s="12">
        <v>20279</v>
      </c>
      <c r="J27" s="85">
        <f>SUM(I$5:I27)-(L27*G27)</f>
        <v>-129034</v>
      </c>
      <c r="K27" s="10">
        <f>SUM(I$5:I27)/G27</f>
        <v>18389.82608695652</v>
      </c>
      <c r="L27" s="10">
        <f t="shared" si="1"/>
        <v>24000</v>
      </c>
    </row>
    <row r="28" spans="2:12" ht="20.100000000000001" customHeight="1" x14ac:dyDescent="0.2">
      <c r="B28" s="89">
        <v>43007</v>
      </c>
      <c r="C28" s="29">
        <v>63761</v>
      </c>
      <c r="D28" s="85">
        <f>SUM(C$5:C28)-(F28*G28)</f>
        <v>-327556</v>
      </c>
      <c r="E28" s="24">
        <f>SUM(C$5:C28)/G28</f>
        <v>36351.833333333336</v>
      </c>
      <c r="F28" s="30">
        <f t="shared" si="0"/>
        <v>50000</v>
      </c>
      <c r="G28" s="20">
        <v>24</v>
      </c>
      <c r="H28" s="89">
        <v>43007</v>
      </c>
      <c r="I28" s="12">
        <v>24299</v>
      </c>
      <c r="J28" s="85">
        <f>SUM(I$5:I28)-(L28*G28)</f>
        <v>-128735</v>
      </c>
      <c r="K28" s="10">
        <f>SUM(I$5:I28)/G28</f>
        <v>18636.041666666668</v>
      </c>
      <c r="L28" s="10">
        <f t="shared" si="1"/>
        <v>24000</v>
      </c>
    </row>
    <row r="29" spans="2:12" ht="20.100000000000001" customHeight="1" x14ac:dyDescent="0.2">
      <c r="B29" s="89">
        <v>43008</v>
      </c>
      <c r="C29" s="29">
        <v>41965</v>
      </c>
      <c r="D29" s="85">
        <f>SUM(C$5:C29)-(F29*G29)</f>
        <v>-335591</v>
      </c>
      <c r="E29" s="24">
        <f>SUM(C$5:C29)/G29</f>
        <v>36576.36</v>
      </c>
      <c r="F29" s="30">
        <f t="shared" si="0"/>
        <v>50000</v>
      </c>
      <c r="G29" s="20">
        <v>25</v>
      </c>
      <c r="H29" s="89">
        <v>43008</v>
      </c>
      <c r="I29" s="12">
        <v>22485</v>
      </c>
      <c r="J29" s="85">
        <f>SUM(I$5:I29)-(L29*G29)</f>
        <v>-130250</v>
      </c>
      <c r="K29" s="10">
        <f>SUM(I$5:I29)/G29</f>
        <v>18790</v>
      </c>
      <c r="L29" s="10">
        <f t="shared" si="1"/>
        <v>24000</v>
      </c>
    </row>
    <row r="30" spans="2:12" ht="20.100000000000001" customHeight="1" x14ac:dyDescent="0.2">
      <c r="B30" s="19" t="s">
        <v>8</v>
      </c>
      <c r="C30" s="12">
        <f>SUM(C5:C29)</f>
        <v>914409</v>
      </c>
      <c r="D30" s="86"/>
      <c r="E30" s="23"/>
      <c r="F30" s="30">
        <v>1250000</v>
      </c>
      <c r="G30" s="18"/>
      <c r="H30" s="11" t="s">
        <v>8</v>
      </c>
      <c r="I30" s="12">
        <f>SUM(I5:I29)</f>
        <v>469750</v>
      </c>
      <c r="J30" s="8"/>
      <c r="K30" s="8"/>
      <c r="L30" s="10">
        <v>600000</v>
      </c>
    </row>
    <row r="31" spans="2:12" ht="19.5" customHeight="1" x14ac:dyDescent="0.2"/>
    <row r="32" spans="2:12" ht="19.5" customHeight="1" x14ac:dyDescent="0.2"/>
    <row r="34" spans="1:12" x14ac:dyDescent="0.2">
      <c r="A34" s="156"/>
      <c r="B34" s="156"/>
      <c r="C34" s="156"/>
      <c r="D34" s="156"/>
      <c r="I34" s="34"/>
      <c r="J34" s="32"/>
    </row>
    <row r="35" spans="1:12" x14ac:dyDescent="0.2">
      <c r="L35" s="33"/>
    </row>
  </sheetData>
  <mergeCells count="5">
    <mergeCell ref="B1:F2"/>
    <mergeCell ref="H1:L2"/>
    <mergeCell ref="B3:F3"/>
    <mergeCell ref="H3:L3"/>
    <mergeCell ref="A34:D34"/>
  </mergeCells>
  <conditionalFormatting sqref="D5:D29 J5:J30">
    <cfRule type="cellIs" dxfId="1806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Plan151">
    <tabColor rgb="FF92D050"/>
    <pageSetUpPr fitToPage="1"/>
  </sheetPr>
  <dimension ref="A1:CD55"/>
  <sheetViews>
    <sheetView topLeftCell="BB19" zoomScale="80" zoomScaleNormal="80" workbookViewId="0">
      <selection activeCell="O19" sqref="O19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8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34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42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Setembro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Setembro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Setembro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Setembro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24</v>
      </c>
      <c r="C7" s="75">
        <v>11300</v>
      </c>
      <c r="D7" s="75">
        <v>10433</v>
      </c>
      <c r="E7" s="90">
        <f>IF(D7&gt;0,SUM(D$7:D7)-SUM(C$7:C7),0)</f>
        <v>-867</v>
      </c>
      <c r="F7" s="45">
        <f>IF(D7&gt;0,IF(C7&gt;0,D7/C7,0),0)</f>
        <v>0.92327433628318589</v>
      </c>
      <c r="G7" s="75">
        <v>11300</v>
      </c>
      <c r="H7" s="75">
        <v>11355</v>
      </c>
      <c r="I7" s="75">
        <f>IF(H7&gt;0,SUM(H$7:H7)-SUM(G$7:G7),0)</f>
        <v>55</v>
      </c>
      <c r="J7" s="45">
        <f t="shared" ref="J7:J14" si="0">IF(H7&gt;0,IF(G7&gt;0,H7/G7,0),0)</f>
        <v>1.0048672566371681</v>
      </c>
      <c r="K7" s="75">
        <v>11300</v>
      </c>
      <c r="L7" s="75">
        <v>11802</v>
      </c>
      <c r="M7" s="90">
        <f>IF(L7&gt;0,SUM(L$7:L7)-SUM(K$7:K7),0)</f>
        <v>502</v>
      </c>
      <c r="N7" s="45">
        <f t="shared" ref="N7:N17" si="1">IF(L7&gt;0,IF(K7&gt;0,L7/K7,0),0)</f>
        <v>1.0444247787610619</v>
      </c>
      <c r="O7" s="35">
        <f t="shared" ref="O7:O14" si="2">IF(SUM(C7,G7,K7)&gt;0,SUM(C7,G7,K7),0)</f>
        <v>33900</v>
      </c>
      <c r="P7" s="35">
        <f>IF(SUM(D7,H7,L7,)&gt;0,SUM(D7,H7,L7,),0)</f>
        <v>33590</v>
      </c>
      <c r="Q7" s="91">
        <f>IF(P7&gt;0,SUM(P$7:P7)-SUM(O$7:O7),0)</f>
        <v>-310</v>
      </c>
      <c r="R7" s="45">
        <f>IF(P7&gt;0,IF(O7&gt;0,P7/O7,0),0)</f>
        <v>0.99085545722713864</v>
      </c>
      <c r="T7" s="47">
        <v>40817</v>
      </c>
      <c r="U7" s="54" t="str">
        <f>B7</f>
        <v>sex</v>
      </c>
      <c r="V7" s="75">
        <v>10600</v>
      </c>
      <c r="W7" s="75">
        <v>11461</v>
      </c>
      <c r="X7" s="92">
        <f>IF(W7&gt;0,SUM(W$7:W7)-SUM(V$7:V7),0)</f>
        <v>861</v>
      </c>
      <c r="Y7" s="60">
        <f>IF(W7&gt;0,IF(V7&gt;0,W7/V7,0),0)</f>
        <v>1.0812264150943396</v>
      </c>
      <c r="Z7" s="75">
        <v>10600</v>
      </c>
      <c r="AA7" s="75">
        <v>11296</v>
      </c>
      <c r="AB7" s="92">
        <f>IF(AA7&gt;0,SUM(AA$7:AA7)-SUM(Z$7:Z7),0)</f>
        <v>696</v>
      </c>
      <c r="AC7" s="60">
        <f>IF(AA7&gt;0,IF(Z7&gt;0,AA7/Z7,0),0)</f>
        <v>1.0656603773584905</v>
      </c>
      <c r="AD7" s="75">
        <v>10600</v>
      </c>
      <c r="AE7" s="75">
        <v>10458</v>
      </c>
      <c r="AF7" s="92">
        <f>IF(AE7&gt;0,SUM(AE$7:AE7)-SUM(AD$7:AD7),0)</f>
        <v>-142</v>
      </c>
      <c r="AG7" s="60">
        <f>IF(AE7&gt;0,IF(AD7&gt;0,AE7/AD7,0),0)</f>
        <v>0.9866037735849057</v>
      </c>
      <c r="AH7" s="41">
        <f t="shared" ref="AH7:AI38" si="3">IF(SUM(V7,Z7,AD7)&gt;0,SUM(V7,Z7,AD7),0)</f>
        <v>31800</v>
      </c>
      <c r="AI7" s="41">
        <f>IF(SUM(W7,AA7,AE7,)&gt;0,SUM(W7,AA7,AE7),0)</f>
        <v>33215</v>
      </c>
      <c r="AJ7" s="93">
        <f>IF(AI7&gt;0,SUM(AI$7:AI7)-SUM(AH$7:AH7),0)</f>
        <v>1415</v>
      </c>
      <c r="AK7" s="60">
        <f>IF(AI7&gt;0,IF(AH7&gt;0,AI7/AH7,0),0)</f>
        <v>1.044496855345912</v>
      </c>
      <c r="AM7" s="47">
        <v>40817</v>
      </c>
      <c r="AN7" s="54" t="str">
        <f>U7</f>
        <v>sex</v>
      </c>
      <c r="AO7" s="75">
        <v>6600</v>
      </c>
      <c r="AP7" s="75">
        <v>9732</v>
      </c>
      <c r="AQ7" s="75">
        <f>IF(AP7&gt;0,SUM(AP$7:AP7)-SUM(AO$7:AO7),0)</f>
        <v>3132</v>
      </c>
      <c r="AR7" s="45">
        <f>IF(AP7&gt;0,IF(AO7&gt;0,AP7/AO7,0),0)</f>
        <v>1.4745454545454546</v>
      </c>
      <c r="AS7" s="75">
        <v>6600</v>
      </c>
      <c r="AT7" s="75">
        <v>9350</v>
      </c>
      <c r="AU7" s="90">
        <f>IF(AT7&gt;0,SUM(AT$7:AT7)-SUM(AS$7:AS7),0)</f>
        <v>2750</v>
      </c>
      <c r="AV7" s="45">
        <f>IF(AT7&gt;0,IF(AS7&gt;0,AT7/AS7,0),0)</f>
        <v>1.4166666666666667</v>
      </c>
      <c r="AW7" s="75">
        <v>6600</v>
      </c>
      <c r="AX7" s="75">
        <v>6607</v>
      </c>
      <c r="AY7" s="90">
        <f>IF(AX7&gt;0,SUM(AX$7:AX7)-SUM(AW$7:AW7),0)</f>
        <v>7</v>
      </c>
      <c r="AZ7" s="45">
        <f>IF(AX7&gt;0,IF(AW7&gt;0,AX7/AW7,0),0)</f>
        <v>1.001060606060606</v>
      </c>
      <c r="BA7" s="35">
        <f t="shared" ref="BA7:BA38" si="4">IF(SUM(AO7,AS7,AW7)&gt;0,SUM(AO7,AS7,AW7),0)</f>
        <v>19800</v>
      </c>
      <c r="BB7" s="35">
        <f>IF(SUM(AP7,AT7,AX7,)&gt;0,SUM(AP7,AT7,AX7,),0)</f>
        <v>25689</v>
      </c>
      <c r="BC7" s="91">
        <f>IF(BB7&gt;0,SUM(BB$7:BB7)-SUM(BA$7:BA7),0)</f>
        <v>5889</v>
      </c>
      <c r="BD7" s="45">
        <f>IF(BB7&gt;0,IF(BA7&gt;0,BB7/BA7,0),0)</f>
        <v>1.2974242424242424</v>
      </c>
      <c r="BF7" s="47">
        <v>40817</v>
      </c>
      <c r="BG7" s="54" t="str">
        <f>AN7</f>
        <v>sex</v>
      </c>
      <c r="BH7" s="75">
        <v>15200</v>
      </c>
      <c r="BI7" s="75">
        <v>16509</v>
      </c>
      <c r="BJ7" s="75">
        <f>IF(BI7&gt;0,SUM(BI$7:BI7)-SUM(BH$7:BH7),0)</f>
        <v>1309</v>
      </c>
      <c r="BK7" s="45">
        <f>IF(BI7&gt;0,IF(BH7&gt;0,BI7/BH7,0),0)</f>
        <v>1.0861184210526316</v>
      </c>
      <c r="BL7" s="75">
        <v>8000</v>
      </c>
      <c r="BM7" s="75">
        <v>7120</v>
      </c>
      <c r="BN7" s="90">
        <f>IF(BM7&gt;0,SUM(BM$7:BM7)-SUM(BL$7:BL7),0)</f>
        <v>-880</v>
      </c>
      <c r="BO7" s="45">
        <f>IF(BM7&gt;0,IF(BL7&gt;0,BM7/BL7,0),0)</f>
        <v>0.89</v>
      </c>
      <c r="BP7" s="75">
        <v>9000</v>
      </c>
      <c r="BQ7" s="75">
        <v>11210</v>
      </c>
      <c r="BR7" s="90">
        <f>IF(BQ7&gt;0,SUM(BQ$7:BQ7)-SUM(BP$7:BP7),0)</f>
        <v>2210</v>
      </c>
      <c r="BS7" s="45">
        <f>IF(BQ7&gt;0,IF(BP7&gt;0,BQ7/BP7,0),0)</f>
        <v>1.2455555555555555</v>
      </c>
      <c r="BT7" s="35">
        <f t="shared" ref="BT7:BU38" si="5">IF(SUM(BH7,BL7,BP7)&gt;0,SUM(BH7,BL7,BP7),0)</f>
        <v>32200</v>
      </c>
      <c r="BU7" s="35">
        <f>IF(SUM(BI7,BM7,BQ7)&gt;0,SUM(BI7,BM7,BQ7),0)</f>
        <v>34839</v>
      </c>
      <c r="BV7" s="91">
        <f>IF(BU7&gt;0,SUM(BU$7:BU7)-SUM(BT$7:BT7),0)</f>
        <v>2639</v>
      </c>
      <c r="BW7" s="45">
        <f>IF(BU7&gt;0,IF(BT7&gt;0,BU7/BT7,0),0)</f>
        <v>1.0819565217391305</v>
      </c>
      <c r="BY7" s="47">
        <v>40817</v>
      </c>
      <c r="BZ7" s="54" t="str">
        <f>BG7</f>
        <v>sex</v>
      </c>
      <c r="CA7" s="75">
        <v>2550</v>
      </c>
      <c r="CB7" s="75">
        <v>1392</v>
      </c>
      <c r="CC7" s="90">
        <f>IF(CB7&gt;0,SUM(CB$7:CB7)-SUM(CA7:CA$7),0)</f>
        <v>-1158</v>
      </c>
      <c r="CD7" s="45">
        <f>IF(CB7&gt;0,IF(CA7&gt;0,CB7/CA7,0),0)</f>
        <v>0.54588235294117649</v>
      </c>
    </row>
    <row r="8" spans="1:82" x14ac:dyDescent="0.25">
      <c r="A8" s="47">
        <f>A7+1</f>
        <v>40818</v>
      </c>
      <c r="B8" s="54" t="s">
        <v>25</v>
      </c>
      <c r="C8" s="75">
        <v>11300</v>
      </c>
      <c r="D8" s="75">
        <v>12310</v>
      </c>
      <c r="E8" s="90">
        <f>IF(D8&gt;0,SUM(D$7:D8)-SUM(C$7:C8),0)</f>
        <v>143</v>
      </c>
      <c r="F8" s="45">
        <f>IF(D8&gt;0,IF(C8&gt;0,D8/C8,0),0)</f>
        <v>1.0893805309734512</v>
      </c>
      <c r="G8" s="75">
        <v>11300</v>
      </c>
      <c r="H8" s="36">
        <v>10785</v>
      </c>
      <c r="I8" s="75">
        <f>IF(H8&gt;0,SUM(H$7:H8)-SUM(G$7:G8),0)</f>
        <v>-460</v>
      </c>
      <c r="J8" s="45">
        <f t="shared" si="0"/>
        <v>0.95442477876106191</v>
      </c>
      <c r="K8" s="75">
        <v>11300</v>
      </c>
      <c r="L8" s="75">
        <v>7760</v>
      </c>
      <c r="M8" s="90">
        <f>IF(L8&gt;0,SUM(L$7:L8)-SUM(K$7:K8),0)</f>
        <v>-3038</v>
      </c>
      <c r="N8" s="45">
        <f t="shared" si="1"/>
        <v>0.68672566371681421</v>
      </c>
      <c r="O8" s="35">
        <f t="shared" si="2"/>
        <v>33900</v>
      </c>
      <c r="P8" s="35">
        <f t="shared" ref="P8:P37" si="6">IF(SUM(D8,H8,L8,)&gt;0,SUM(D8,H8,L8,),0)</f>
        <v>30855</v>
      </c>
      <c r="Q8" s="91">
        <f>IF(P8&gt;0,SUM(P$7:P8)-SUM(O$7:O8),0)</f>
        <v>-3355</v>
      </c>
      <c r="R8" s="45">
        <f>IF(P8&gt;0,IF(O8&gt;0,P8/O8,0),0)</f>
        <v>0.91017699115044248</v>
      </c>
      <c r="T8" s="47">
        <f>T7+1</f>
        <v>40818</v>
      </c>
      <c r="U8" s="54" t="str">
        <f t="shared" ref="U8:U37" si="7">B8</f>
        <v>sáb</v>
      </c>
      <c r="V8" s="75">
        <v>10600</v>
      </c>
      <c r="W8" s="75">
        <v>8825</v>
      </c>
      <c r="X8" s="92">
        <f>IF(W8&gt;0,SUM(W$7:W8)-SUM(V$7:V8),0)</f>
        <v>-914</v>
      </c>
      <c r="Y8" s="60">
        <f>IF(W8&gt;0,IF(V8&gt;0,W8/V8,0),0)</f>
        <v>0.83254716981132071</v>
      </c>
      <c r="Z8" s="75">
        <v>10600</v>
      </c>
      <c r="AA8" s="75">
        <v>5325</v>
      </c>
      <c r="AB8" s="92">
        <f>IF(AA8&gt;0,SUM(AA$7:AA8)-SUM(Z$7:Z8),0)</f>
        <v>-4579</v>
      </c>
      <c r="AC8" s="60">
        <f>IF(AA8&gt;0,IF(Z8&gt;0,AA8/Z8,0),0)</f>
        <v>0.50235849056603776</v>
      </c>
      <c r="AD8" s="75">
        <v>10600</v>
      </c>
      <c r="AE8" s="75">
        <v>5163</v>
      </c>
      <c r="AF8" s="92">
        <f>IF(AE8&gt;0,SUM(AE$7:AE8)-SUM(AD$7:AD8),0)</f>
        <v>-5579</v>
      </c>
      <c r="AG8" s="60">
        <f>IF(AE8&gt;0,IF(AD8&gt;0,AE8/AD8,0),0)</f>
        <v>0.48707547169811322</v>
      </c>
      <c r="AH8" s="41">
        <f t="shared" si="3"/>
        <v>31800</v>
      </c>
      <c r="AI8" s="41">
        <f t="shared" ref="AI8:AI37" si="8">IF(SUM(W8,AA8,AE8,)&gt;0,SUM(W8,AA8,AE8),0)</f>
        <v>19313</v>
      </c>
      <c r="AJ8" s="93">
        <f>IF(AI8&gt;0,SUM(AI$7:AI8)-SUM(AH$7:AH8),0)</f>
        <v>-11072</v>
      </c>
      <c r="AK8" s="60">
        <f>IF(AI8&gt;0,IF(AH8&gt;0,AI8/AH8,0),0)</f>
        <v>0.60732704402515725</v>
      </c>
      <c r="AM8" s="47">
        <f>AM7+1</f>
        <v>40818</v>
      </c>
      <c r="AN8" s="54" t="str">
        <f t="shared" ref="AN8:AN37" si="9">U8</f>
        <v>sáb</v>
      </c>
      <c r="AO8" s="75">
        <v>6600</v>
      </c>
      <c r="AP8" s="75">
        <v>7570</v>
      </c>
      <c r="AQ8" s="75">
        <f>IF(AP8&gt;0,SUM(AP$7:AP8)-SUM(AO$7:AO8),0)</f>
        <v>4102</v>
      </c>
      <c r="AR8" s="45">
        <f>IF(AP8&gt;0,IF(AO8&gt;0,AP8/AO8,0),0)</f>
        <v>1.146969696969697</v>
      </c>
      <c r="AS8" s="75">
        <v>6600</v>
      </c>
      <c r="AT8" s="75">
        <v>4512</v>
      </c>
      <c r="AU8" s="90">
        <f>IF(AT8&gt;0,SUM(AT$7:AT8)-SUM(AS$7:AS8),0)</f>
        <v>662</v>
      </c>
      <c r="AV8" s="45">
        <f>IF(AT8&gt;0,IF(AS8&gt;0,AT8/AS8,0),0)</f>
        <v>0.6836363636363636</v>
      </c>
      <c r="AW8" s="75">
        <v>6600</v>
      </c>
      <c r="AX8" s="75">
        <v>3236</v>
      </c>
      <c r="AY8" s="90">
        <f>IF(AX8&gt;0,SUM(AX$7:AX8)-SUM(AW$7:AW8),0)</f>
        <v>-3357</v>
      </c>
      <c r="AZ8" s="45">
        <f>IF(AX8&gt;0,IF(AW8&gt;0,AX8/AW8,0),0)</f>
        <v>0.4903030303030303</v>
      </c>
      <c r="BA8" s="35">
        <f t="shared" si="4"/>
        <v>19800</v>
      </c>
      <c r="BB8" s="35">
        <f t="shared" ref="BB8:BB37" si="10">IF(SUM(AP8,AT8,AX8,)&gt;0,SUM(AP8,AT8,AX8,),0)</f>
        <v>15318</v>
      </c>
      <c r="BC8" s="91">
        <f>IF(BB8&gt;0,SUM(BB$7:BB8)-SUM(BA$7:BA8),0)</f>
        <v>1407</v>
      </c>
      <c r="BD8" s="45">
        <f>IF(BB8&gt;0,IF(BA8&gt;0,BB8/BA8,0),0)</f>
        <v>0.77363636363636368</v>
      </c>
      <c r="BF8" s="47">
        <f>BF7+1</f>
        <v>40818</v>
      </c>
      <c r="BG8" s="54" t="str">
        <f t="shared" ref="BG8:BG37" si="11">AN8</f>
        <v>sáb</v>
      </c>
      <c r="BH8" s="75">
        <v>15200</v>
      </c>
      <c r="BI8" s="75">
        <v>11380</v>
      </c>
      <c r="BJ8" s="75">
        <f>IF(BI8&gt;0,SUM(BI$7:BI8)-SUM(BH$7:BH8),0)</f>
        <v>-2511</v>
      </c>
      <c r="BK8" s="45">
        <f>IF(BI8&gt;0,IF(BH8&gt;0,BI8/BH8,0),0)</f>
        <v>0.74868421052631584</v>
      </c>
      <c r="BL8" s="75">
        <v>8000</v>
      </c>
      <c r="BM8" s="75">
        <v>3942</v>
      </c>
      <c r="BN8" s="90">
        <f>IF(BM8&gt;0,SUM(BM$7:BM8)-SUM(BL$7:BL8),0)</f>
        <v>-4938</v>
      </c>
      <c r="BO8" s="45">
        <f>IF(BM8&gt;0,IF(BL8&gt;0,BM8/BL8,0),0)</f>
        <v>0.49275000000000002</v>
      </c>
      <c r="BP8" s="75">
        <v>9000</v>
      </c>
      <c r="BQ8" s="75">
        <v>12022</v>
      </c>
      <c r="BR8" s="90">
        <f>IF(BQ8&gt;0,SUM(BQ$7:BQ8)-SUM(BP$7:BP8),0)</f>
        <v>5232</v>
      </c>
      <c r="BS8" s="45">
        <f>IF(BQ8&gt;0,IF(BP8&gt;0,BQ8/BP8,0),0)</f>
        <v>1.3357777777777777</v>
      </c>
      <c r="BT8" s="35">
        <f t="shared" si="5"/>
        <v>32200</v>
      </c>
      <c r="BU8" s="35">
        <f t="shared" si="5"/>
        <v>27344</v>
      </c>
      <c r="BV8" s="91">
        <f>IF(BU8&gt;0,SUM(BU$7:BU8)-SUM(BT$7:BT8),0)</f>
        <v>-2217</v>
      </c>
      <c r="BW8" s="45">
        <f>IF(BU8&gt;0,IF(BT8&gt;0,BU8/BT8,0),0)</f>
        <v>0.8491925465838509</v>
      </c>
      <c r="BY8" s="47">
        <f>BY7+1</f>
        <v>40818</v>
      </c>
      <c r="BZ8" s="54" t="str">
        <f t="shared" ref="BZ8:BZ37" si="12">BG8</f>
        <v>sáb</v>
      </c>
      <c r="CA8" s="75">
        <v>2550</v>
      </c>
      <c r="CB8" s="75">
        <v>1346</v>
      </c>
      <c r="CC8" s="90">
        <f>IF(CB8&gt;0,SUM(CB$7:CB8)-SUM(CA$7:CA8),0)</f>
        <v>-2362</v>
      </c>
      <c r="CD8" s="45">
        <f>IF(CB8&gt;0,IF(CA8&gt;0,CB8/CA8,0),0)</f>
        <v>0.52784313725490195</v>
      </c>
    </row>
    <row r="9" spans="1:82" x14ac:dyDescent="0.25">
      <c r="A9" s="47">
        <f t="shared" ref="A9:A36" si="13">A8+1</f>
        <v>40819</v>
      </c>
      <c r="B9" s="54" t="s">
        <v>26</v>
      </c>
      <c r="C9" s="75"/>
      <c r="D9" s="75"/>
      <c r="E9" s="90">
        <f>IF(D9&gt;0,SUM(D$7:D9)-SUM(C$7:C9),0)</f>
        <v>0</v>
      </c>
      <c r="F9" s="45">
        <f t="shared" ref="F9:F38" si="14">IF(D9&gt;0,IF(C9&gt;0,D9/C9,0),0)</f>
        <v>0</v>
      </c>
      <c r="G9" s="75"/>
      <c r="H9" s="75"/>
      <c r="I9" s="75">
        <f>IF(H9&gt;0,SUM(H$7:H9)-SUM(G$7:G9),0)</f>
        <v>0</v>
      </c>
      <c r="J9" s="45">
        <f t="shared" si="0"/>
        <v>0</v>
      </c>
      <c r="K9" s="75"/>
      <c r="L9" s="75"/>
      <c r="M9" s="90">
        <f>IF(L9&gt;0,SUM(L$7:L9)-SUM(K$7:K9),0)</f>
        <v>0</v>
      </c>
      <c r="N9" s="45">
        <f t="shared" si="1"/>
        <v>0</v>
      </c>
      <c r="O9" s="35">
        <f t="shared" si="2"/>
        <v>0</v>
      </c>
      <c r="P9" s="35">
        <f t="shared" si="6"/>
        <v>0</v>
      </c>
      <c r="Q9" s="91">
        <f>IF(P9&gt;0,SUM(P$7:P9)-SUM(O$7:O9),0)</f>
        <v>0</v>
      </c>
      <c r="R9" s="45">
        <f t="shared" ref="R9:R38" si="15">IF(P9&gt;0,IF(O9&gt;0,P9/O9,0),0)</f>
        <v>0</v>
      </c>
      <c r="T9" s="47">
        <f t="shared" ref="T9:T36" si="16">T8+1</f>
        <v>40819</v>
      </c>
      <c r="U9" s="54" t="str">
        <f t="shared" si="7"/>
        <v>dom</v>
      </c>
      <c r="V9" s="75"/>
      <c r="W9" s="75"/>
      <c r="X9" s="92">
        <f>IF(W9&gt;0,SUM(W$7:W9)-SUM(V$7:V9),0)</f>
        <v>0</v>
      </c>
      <c r="Y9" s="60">
        <f t="shared" ref="Y9:Y38" si="17">IF(W9&gt;0,IF(V9&gt;0,W9/V9,0),0)</f>
        <v>0</v>
      </c>
      <c r="Z9" s="75"/>
      <c r="AA9" s="75"/>
      <c r="AB9" s="92">
        <f>IF(AA9&gt;0,SUM(AA$7:AA9)-SUM(Z$7:Z9),0)</f>
        <v>0</v>
      </c>
      <c r="AC9" s="60">
        <f t="shared" ref="AC9:AC38" si="18">IF(AA9&gt;0,IF(Z9&gt;0,AA9/Z9,0),0)</f>
        <v>0</v>
      </c>
      <c r="AD9" s="75"/>
      <c r="AE9" s="75"/>
      <c r="AF9" s="92">
        <f>IF(AE9&gt;0,SUM(AE$7:AE9)-SUM(AD$7:AD9),0)</f>
        <v>0</v>
      </c>
      <c r="AG9" s="60">
        <f t="shared" ref="AG9:AG38" si="19">IF(AE9&gt;0,IF(AD9&gt;0,AE9/AD9,0),0)</f>
        <v>0</v>
      </c>
      <c r="AH9" s="41">
        <f t="shared" si="3"/>
        <v>0</v>
      </c>
      <c r="AI9" s="41">
        <f t="shared" si="8"/>
        <v>0</v>
      </c>
      <c r="AJ9" s="93">
        <f>IF(AI9&gt;0,SUM(AI$7:AI9)-SUM(AH$7:AH9),0)</f>
        <v>0</v>
      </c>
      <c r="AK9" s="60">
        <f t="shared" ref="AK9:AK38" si="20">IF(AI9&gt;0,IF(AH9&gt;0,AI9/AH9,0),0)</f>
        <v>0</v>
      </c>
      <c r="AM9" s="47">
        <f t="shared" ref="AM9:AM36" si="21">AM8+1</f>
        <v>40819</v>
      </c>
      <c r="AN9" s="54" t="str">
        <f t="shared" si="9"/>
        <v>dom</v>
      </c>
      <c r="AO9" s="75"/>
      <c r="AP9" s="75"/>
      <c r="AQ9" s="75">
        <f>IF(AP9&gt;0,SUM(AP$7:AP9)-SUM(AO$7:AO9),0)</f>
        <v>0</v>
      </c>
      <c r="AR9" s="45">
        <f t="shared" ref="AR9:AR38" si="22">IF(AP9&gt;0,IF(AO9&gt;0,AP9/AO9,0),0)</f>
        <v>0</v>
      </c>
      <c r="AS9" s="75"/>
      <c r="AT9" s="75"/>
      <c r="AU9" s="90">
        <f>IF(AT9&gt;0,SUM(AT$7:AT9)-SUM(AS$7:AS9),0)</f>
        <v>0</v>
      </c>
      <c r="AV9" s="45">
        <f t="shared" ref="AV9:AV38" si="23">IF(AT9&gt;0,IF(AS9&gt;0,AT9/AS9,0),0)</f>
        <v>0</v>
      </c>
      <c r="AW9" s="75"/>
      <c r="AX9" s="75"/>
      <c r="AY9" s="90">
        <f>IF(AX9&gt;0,SUM(AX$7:AX9)-SUM(AW$7:AW9),0)</f>
        <v>0</v>
      </c>
      <c r="AZ9" s="45">
        <f>IF(AX9&gt;0,IF(AW9&gt;0,AX9/AW9,0),0)</f>
        <v>0</v>
      </c>
      <c r="BA9" s="35">
        <f t="shared" si="4"/>
        <v>0</v>
      </c>
      <c r="BB9" s="35">
        <f t="shared" si="10"/>
        <v>0</v>
      </c>
      <c r="BC9" s="91">
        <f>IF(BB9&gt;0,SUM(BB$7:BB9)-SUM(BA$7:BA9),0)</f>
        <v>0</v>
      </c>
      <c r="BD9" s="45">
        <f t="shared" ref="BD9:BD38" si="24">IF(BB9&gt;0,IF(BA9&gt;0,BB9/BA9,0),0)</f>
        <v>0</v>
      </c>
      <c r="BF9" s="47">
        <f t="shared" ref="BF9:BF36" si="25">BF8+1</f>
        <v>40819</v>
      </c>
      <c r="BG9" s="54" t="str">
        <f t="shared" si="11"/>
        <v>dom</v>
      </c>
      <c r="BH9" s="75"/>
      <c r="BI9" s="75"/>
      <c r="BJ9" s="75">
        <f>IF(BI9&gt;0,SUM(BI$7:BI9)-SUM(BH$7:BH9),0)</f>
        <v>0</v>
      </c>
      <c r="BK9" s="45">
        <f t="shared" ref="BK9:BK38" si="26">IF(BI9&gt;0,IF(BH9&gt;0,BI9/BH9,0),0)</f>
        <v>0</v>
      </c>
      <c r="BL9" s="75"/>
      <c r="BM9" s="75"/>
      <c r="BN9" s="90">
        <f>IF(BM9&gt;0,SUM(BM$7:BM9)-SUM(BL$7:BL9),0)</f>
        <v>0</v>
      </c>
      <c r="BO9" s="45">
        <f t="shared" ref="BO9:BO38" si="27">IF(BM9&gt;0,IF(BL9&gt;0,BM9/BL9,0),0)</f>
        <v>0</v>
      </c>
      <c r="BP9" s="75"/>
      <c r="BQ9" s="75"/>
      <c r="BR9" s="90">
        <f>IF(BQ9&gt;0,SUM(BQ$7:BQ9)-SUM(BP$7:BP9),0)</f>
        <v>0</v>
      </c>
      <c r="BS9" s="45">
        <f>IF(BQ9&gt;0,IF(BP9&gt;0,BQ9/BP9,0),0)</f>
        <v>0</v>
      </c>
      <c r="BT9" s="35">
        <f>IF(SUM(BH9,BL9,BP9)&gt;0,SUM(BH9,BL9,BP9),0)</f>
        <v>0</v>
      </c>
      <c r="BU9" s="35">
        <f t="shared" si="5"/>
        <v>0</v>
      </c>
      <c r="BV9" s="91">
        <f>IF(BU9&gt;0,SUM(BU$7:BU9)-SUM(BT$7:BT9),0)</f>
        <v>0</v>
      </c>
      <c r="BW9" s="45">
        <f t="shared" ref="BW9:BW38" si="28">IF(BU9&gt;0,IF(BT9&gt;0,BU9/BT9,0),0)</f>
        <v>0</v>
      </c>
      <c r="BY9" s="47">
        <f t="shared" ref="BY9:BY36" si="29">BY8+1</f>
        <v>40819</v>
      </c>
      <c r="BZ9" s="54" t="str">
        <f t="shared" si="12"/>
        <v>dom</v>
      </c>
      <c r="CA9" s="75"/>
      <c r="CB9" s="75"/>
      <c r="CC9" s="90">
        <f>IF(CB9&gt;0,SUM(CB$7:CB9)-SUM(CA$7:CA9),0)</f>
        <v>0</v>
      </c>
      <c r="CD9" s="45">
        <f t="shared" ref="CD9:CD38" si="30">IF(CB9&gt;0,IF(CA9&gt;0,CB9/CA9,0),0)</f>
        <v>0</v>
      </c>
    </row>
    <row r="10" spans="1:82" x14ac:dyDescent="0.25">
      <c r="A10" s="47">
        <f t="shared" si="13"/>
        <v>40820</v>
      </c>
      <c r="B10" s="54" t="s">
        <v>27</v>
      </c>
      <c r="C10" s="75">
        <v>11300</v>
      </c>
      <c r="D10" s="75">
        <v>9085</v>
      </c>
      <c r="E10" s="90">
        <f>IF(D10&gt;0,SUM(D$7:D10)-SUM(C$7:C10),0)</f>
        <v>-2072</v>
      </c>
      <c r="F10" s="45">
        <f t="shared" si="14"/>
        <v>0.8039823008849557</v>
      </c>
      <c r="G10" s="75">
        <v>11300</v>
      </c>
      <c r="H10" s="75">
        <v>2494</v>
      </c>
      <c r="I10" s="75">
        <f>IF(H10&gt;0,SUM(H$7:H10)-SUM(G$7:G10),0)</f>
        <v>-9266</v>
      </c>
      <c r="J10" s="45">
        <f t="shared" si="0"/>
        <v>0.22070796460176992</v>
      </c>
      <c r="K10" s="75">
        <v>11300</v>
      </c>
      <c r="L10" s="75">
        <v>9492</v>
      </c>
      <c r="M10" s="90">
        <f>IF(L10&gt;0,SUM(L$7:L10)-SUM(K$7:K10),0)</f>
        <v>-4846</v>
      </c>
      <c r="N10" s="45">
        <f t="shared" si="1"/>
        <v>0.84</v>
      </c>
      <c r="O10" s="35">
        <f t="shared" si="2"/>
        <v>33900</v>
      </c>
      <c r="P10" s="35">
        <f t="shared" si="6"/>
        <v>21071</v>
      </c>
      <c r="Q10" s="91">
        <f>IF(P10&gt;0,SUM(P$7:P10)-SUM(O$7:O10),0)</f>
        <v>-16184</v>
      </c>
      <c r="R10" s="45">
        <f t="shared" si="15"/>
        <v>0.62156342182890856</v>
      </c>
      <c r="T10" s="47">
        <f t="shared" si="16"/>
        <v>40820</v>
      </c>
      <c r="U10" s="54" t="str">
        <f t="shared" si="7"/>
        <v>seg</v>
      </c>
      <c r="V10" s="75">
        <v>10600</v>
      </c>
      <c r="W10" s="75">
        <v>6247</v>
      </c>
      <c r="X10" s="92">
        <f>IF(W10&gt;0,SUM(W$7:W10)-SUM(V$7:V10),0)</f>
        <v>-5267</v>
      </c>
      <c r="Y10" s="60">
        <f t="shared" si="17"/>
        <v>0.58933962264150941</v>
      </c>
      <c r="Z10" s="75">
        <v>10600</v>
      </c>
      <c r="AA10" s="75">
        <v>7720</v>
      </c>
      <c r="AB10" s="92">
        <f>IF(AA10&gt;0,SUM(AA$7:AA10)-SUM(Z$7:Z10),0)</f>
        <v>-7459</v>
      </c>
      <c r="AC10" s="60">
        <f t="shared" si="18"/>
        <v>0.72830188679245278</v>
      </c>
      <c r="AD10" s="75">
        <v>10600</v>
      </c>
      <c r="AE10" s="75">
        <v>4276</v>
      </c>
      <c r="AF10" s="92">
        <f>IF(AE10&gt;0,SUM(AE$7:AE10)-SUM(AD$7:AD10),0)</f>
        <v>-11903</v>
      </c>
      <c r="AG10" s="60">
        <f t="shared" si="19"/>
        <v>0.40339622641509432</v>
      </c>
      <c r="AH10" s="41">
        <f t="shared" si="3"/>
        <v>31800</v>
      </c>
      <c r="AI10" s="41">
        <f t="shared" si="8"/>
        <v>18243</v>
      </c>
      <c r="AJ10" s="93">
        <f>IF(AI10&gt;0,SUM(AI$7:AI10)-SUM(AH$7:AH10),0)</f>
        <v>-24629</v>
      </c>
      <c r="AK10" s="60">
        <f t="shared" si="20"/>
        <v>0.57367924528301883</v>
      </c>
      <c r="AM10" s="47">
        <f t="shared" si="21"/>
        <v>40820</v>
      </c>
      <c r="AN10" s="54" t="str">
        <f t="shared" si="9"/>
        <v>seg</v>
      </c>
      <c r="AO10" s="75">
        <v>6600</v>
      </c>
      <c r="AP10" s="75">
        <v>7183</v>
      </c>
      <c r="AQ10" s="75">
        <f>IF(AP10&gt;0,SUM(AP$7:AP10)-SUM(AO$7:AO10),0)</f>
        <v>4685</v>
      </c>
      <c r="AR10" s="45">
        <f t="shared" si="22"/>
        <v>1.0883333333333334</v>
      </c>
      <c r="AS10" s="75">
        <v>6600</v>
      </c>
      <c r="AT10" s="75">
        <v>3950</v>
      </c>
      <c r="AU10" s="90">
        <f>IF(AT10&gt;0,SUM(AT$7:AT10)-SUM(AS$7:AS10),0)</f>
        <v>-1988</v>
      </c>
      <c r="AV10" s="45">
        <f t="shared" si="23"/>
        <v>0.59848484848484851</v>
      </c>
      <c r="AW10" s="75">
        <v>6600</v>
      </c>
      <c r="AX10" s="75">
        <v>5034</v>
      </c>
      <c r="AY10" s="90">
        <f>IF(AX10&gt;0,SUM(AX$7:AX10)-SUM(AW$7:AW10),0)</f>
        <v>-4923</v>
      </c>
      <c r="AZ10" s="45">
        <f>IF(AX10&gt;0,IF(AW10&gt;0,AX10/AW10,0),0)</f>
        <v>0.7627272727272727</v>
      </c>
      <c r="BA10" s="35">
        <f t="shared" si="4"/>
        <v>19800</v>
      </c>
      <c r="BB10" s="35">
        <f t="shared" si="10"/>
        <v>16167</v>
      </c>
      <c r="BC10" s="91">
        <f>IF(BB10&gt;0,SUM(BB$7:BB10)-SUM(BA$7:BA10),0)</f>
        <v>-2226</v>
      </c>
      <c r="BD10" s="45">
        <f t="shared" si="24"/>
        <v>0.81651515151515153</v>
      </c>
      <c r="BF10" s="47">
        <f t="shared" si="25"/>
        <v>40820</v>
      </c>
      <c r="BG10" s="54" t="str">
        <f t="shared" si="11"/>
        <v>seg</v>
      </c>
      <c r="BH10" s="75">
        <v>15200</v>
      </c>
      <c r="BI10" s="75">
        <v>13671</v>
      </c>
      <c r="BJ10" s="75">
        <f>IF(BI10&gt;0,SUM(BI$7:BI10)-SUM(BH$7:BH10),0)</f>
        <v>-4040</v>
      </c>
      <c r="BK10" s="45">
        <f t="shared" si="26"/>
        <v>0.89940789473684213</v>
      </c>
      <c r="BL10" s="75">
        <v>8000</v>
      </c>
      <c r="BM10" s="75">
        <v>3720</v>
      </c>
      <c r="BN10" s="90">
        <f>IF(BM10&gt;0,SUM(BM$7:BM10)-SUM(BL$7:BL10),0)</f>
        <v>-9218</v>
      </c>
      <c r="BO10" s="45">
        <f t="shared" si="27"/>
        <v>0.46500000000000002</v>
      </c>
      <c r="BP10" s="75">
        <v>9000</v>
      </c>
      <c r="BQ10" s="75">
        <v>1893</v>
      </c>
      <c r="BR10" s="90">
        <f>IF(BQ10&gt;0,SUM(BQ$7:BQ10)-SUM(BP$7:BP10),0)</f>
        <v>-1875</v>
      </c>
      <c r="BS10" s="45">
        <f>IF(BQ10&gt;0,IF(BP10&gt;0,BQ10/BP10,0),0)</f>
        <v>0.21033333333333334</v>
      </c>
      <c r="BT10" s="35">
        <f>IF(SUM(BH10,BL10,BP10)&gt;0,SUM(BH10,BL10,BP10),0)</f>
        <v>32200</v>
      </c>
      <c r="BU10" s="35">
        <f t="shared" si="5"/>
        <v>19284</v>
      </c>
      <c r="BV10" s="91">
        <f>IF(BU10&gt;0,SUM(BU$7:BU10)-SUM(BT$7:BT10),0)</f>
        <v>-15133</v>
      </c>
      <c r="BW10" s="45">
        <f t="shared" si="28"/>
        <v>0.59888198757763977</v>
      </c>
      <c r="BY10" s="47">
        <f t="shared" si="29"/>
        <v>40820</v>
      </c>
      <c r="BZ10" s="54" t="str">
        <f t="shared" si="12"/>
        <v>seg</v>
      </c>
      <c r="CA10" s="75">
        <v>2550</v>
      </c>
      <c r="CB10" s="75">
        <v>4550</v>
      </c>
      <c r="CC10" s="90">
        <f>IF(CB10&gt;0,SUM(CB$7:CB10)-SUM(CA$7:CA10),0)</f>
        <v>-362</v>
      </c>
      <c r="CD10" s="45">
        <f t="shared" si="30"/>
        <v>1.7843137254901962</v>
      </c>
    </row>
    <row r="11" spans="1:82" x14ac:dyDescent="0.25">
      <c r="A11" s="47">
        <f t="shared" si="13"/>
        <v>40821</v>
      </c>
      <c r="B11" s="54" t="s">
        <v>28</v>
      </c>
      <c r="C11" s="75">
        <v>11300</v>
      </c>
      <c r="D11" s="75">
        <v>6261</v>
      </c>
      <c r="E11" s="90">
        <f>IF(D11&gt;0,SUM(D$7:D11)-SUM(C$7:C11),0)</f>
        <v>-7111</v>
      </c>
      <c r="F11" s="45">
        <f t="shared" si="14"/>
        <v>0.55407079646017698</v>
      </c>
      <c r="G11" s="75">
        <v>11300</v>
      </c>
      <c r="H11" s="75">
        <v>4631</v>
      </c>
      <c r="I11" s="75">
        <f>IF(H11&gt;0,SUM(H$7:H11)-SUM(G$7:G11),0)</f>
        <v>-15935</v>
      </c>
      <c r="J11" s="45">
        <f t="shared" si="0"/>
        <v>0.40982300884955752</v>
      </c>
      <c r="K11" s="75">
        <v>11300</v>
      </c>
      <c r="L11" s="75">
        <v>5283</v>
      </c>
      <c r="M11" s="90">
        <f>IF(L11&gt;0,SUM(L$7:L11)-SUM(K$7:K11),0)</f>
        <v>-10863</v>
      </c>
      <c r="N11" s="45">
        <f t="shared" si="1"/>
        <v>0.46752212389380532</v>
      </c>
      <c r="O11" s="35">
        <f t="shared" si="2"/>
        <v>33900</v>
      </c>
      <c r="P11" s="35">
        <f t="shared" si="6"/>
        <v>16175</v>
      </c>
      <c r="Q11" s="91">
        <f>IF(P11&gt;0,SUM(P$7:P11)-SUM(O$7:O11),0)</f>
        <v>-33909</v>
      </c>
      <c r="R11" s="45">
        <f t="shared" si="15"/>
        <v>0.47713864306784659</v>
      </c>
      <c r="T11" s="47">
        <f t="shared" si="16"/>
        <v>40821</v>
      </c>
      <c r="U11" s="54" t="str">
        <f t="shared" si="7"/>
        <v>ter</v>
      </c>
      <c r="V11" s="75">
        <v>10600</v>
      </c>
      <c r="W11" s="75">
        <v>3530</v>
      </c>
      <c r="X11" s="92">
        <f>IF(W11&gt;0,SUM(W$7:W11)-SUM(V$7:V11),0)</f>
        <v>-12337</v>
      </c>
      <c r="Y11" s="60">
        <f t="shared" si="17"/>
        <v>0.33301886792452828</v>
      </c>
      <c r="Z11" s="75">
        <v>10600</v>
      </c>
      <c r="AA11" s="75">
        <v>7592</v>
      </c>
      <c r="AB11" s="92">
        <f>IF(AA11&gt;0,SUM(AA$7:AA11)-SUM(Z$7:Z11),0)</f>
        <v>-10467</v>
      </c>
      <c r="AC11" s="60">
        <f t="shared" si="18"/>
        <v>0.7162264150943396</v>
      </c>
      <c r="AD11" s="75">
        <v>10600</v>
      </c>
      <c r="AE11" s="75">
        <v>6156</v>
      </c>
      <c r="AF11" s="92">
        <f>IF(AE11&gt;0,SUM(AE$7:AE11)-SUM(AD$7:AD11),0)</f>
        <v>-16347</v>
      </c>
      <c r="AG11" s="60">
        <f t="shared" si="19"/>
        <v>0.58075471698113212</v>
      </c>
      <c r="AH11" s="41">
        <f t="shared" si="3"/>
        <v>31800</v>
      </c>
      <c r="AI11" s="41">
        <f t="shared" si="8"/>
        <v>17278</v>
      </c>
      <c r="AJ11" s="93">
        <f>IF(AI11&gt;0,SUM(AI$7:AI11)-SUM(AH$7:AH11),0)</f>
        <v>-39151</v>
      </c>
      <c r="AK11" s="60">
        <f t="shared" si="20"/>
        <v>0.54333333333333333</v>
      </c>
      <c r="AM11" s="47">
        <f t="shared" si="21"/>
        <v>40821</v>
      </c>
      <c r="AN11" s="54" t="str">
        <f t="shared" si="9"/>
        <v>ter</v>
      </c>
      <c r="AO11" s="75">
        <v>6600</v>
      </c>
      <c r="AP11" s="75">
        <v>4259</v>
      </c>
      <c r="AQ11" s="75">
        <f>IF(AP11&gt;0,SUM(AP$7:AP11)-SUM(AO$7:AO11),0)</f>
        <v>2344</v>
      </c>
      <c r="AR11" s="45">
        <f t="shared" si="22"/>
        <v>0.64530303030303027</v>
      </c>
      <c r="AS11" s="75">
        <v>6600</v>
      </c>
      <c r="AT11" s="75">
        <v>3950</v>
      </c>
      <c r="AU11" s="90">
        <f>IF(AT11&gt;0,SUM(AT$7:AT11)-SUM(AS$7:AS11),0)</f>
        <v>-4638</v>
      </c>
      <c r="AV11" s="45">
        <f t="shared" si="23"/>
        <v>0.59848484848484851</v>
      </c>
      <c r="AW11" s="75">
        <v>6600</v>
      </c>
      <c r="AX11" s="75">
        <v>5034</v>
      </c>
      <c r="AY11" s="90">
        <f>IF(AX11&gt;0,SUM(AX$7:AX11)-SUM(AW$7:AW11),0)</f>
        <v>-6489</v>
      </c>
      <c r="AZ11" s="45">
        <f t="shared" ref="AZ11:AZ38" si="31">IF(AX11&gt;0,IF(AW11&gt;0,AX11/AW11,0),0)</f>
        <v>0.7627272727272727</v>
      </c>
      <c r="BA11" s="35">
        <f t="shared" si="4"/>
        <v>19800</v>
      </c>
      <c r="BB11" s="35">
        <f t="shared" si="10"/>
        <v>13243</v>
      </c>
      <c r="BC11" s="91">
        <f>IF(BB11&gt;0,SUM(BB$7:BB11)-SUM(BA$7:BA11),0)</f>
        <v>-8783</v>
      </c>
      <c r="BD11" s="45">
        <f t="shared" si="24"/>
        <v>0.66883838383838379</v>
      </c>
      <c r="BF11" s="47">
        <f t="shared" si="25"/>
        <v>40821</v>
      </c>
      <c r="BG11" s="54" t="str">
        <f t="shared" si="11"/>
        <v>ter</v>
      </c>
      <c r="BH11" s="75">
        <v>15200</v>
      </c>
      <c r="BI11" s="75">
        <v>9835</v>
      </c>
      <c r="BJ11" s="75">
        <f>IF(BI11&gt;0,SUM(BI$7:BI11)-SUM(BH$7:BH11),0)</f>
        <v>-9405</v>
      </c>
      <c r="BK11" s="45">
        <f t="shared" si="26"/>
        <v>0.64703947368421055</v>
      </c>
      <c r="BL11" s="75">
        <v>8000</v>
      </c>
      <c r="BM11" s="75">
        <v>3710</v>
      </c>
      <c r="BN11" s="90">
        <f>IF(BM11&gt;0,SUM(BM$7:BM11)-SUM(BL$7:BL11),0)</f>
        <v>-13508</v>
      </c>
      <c r="BO11" s="45">
        <f t="shared" si="27"/>
        <v>0.46375</v>
      </c>
      <c r="BP11" s="75">
        <v>9000</v>
      </c>
      <c r="BQ11" s="75">
        <v>1894</v>
      </c>
      <c r="BR11" s="90">
        <f>IF(BQ11&gt;0,SUM(BQ$7:BQ11)-SUM(BP$7:BP11),0)</f>
        <v>-8981</v>
      </c>
      <c r="BS11" s="45">
        <f t="shared" ref="BS11:BS38" si="32">IF(BQ11&gt;0,IF(BP11&gt;0,BQ11/BP11,0),0)</f>
        <v>0.21044444444444443</v>
      </c>
      <c r="BT11" s="35">
        <f t="shared" si="5"/>
        <v>32200</v>
      </c>
      <c r="BU11" s="35">
        <f t="shared" si="5"/>
        <v>15439</v>
      </c>
      <c r="BV11" s="91">
        <f>IF(BU11&gt;0,SUM(BU$7:BU11)-SUM(BT$7:BT11),0)</f>
        <v>-31894</v>
      </c>
      <c r="BW11" s="45">
        <f t="shared" si="28"/>
        <v>0.47947204968944102</v>
      </c>
      <c r="BY11" s="47">
        <f t="shared" si="29"/>
        <v>40821</v>
      </c>
      <c r="BZ11" s="54" t="str">
        <f t="shared" si="12"/>
        <v>ter</v>
      </c>
      <c r="CA11" s="75">
        <v>2550</v>
      </c>
      <c r="CB11" s="75">
        <v>1820</v>
      </c>
      <c r="CC11" s="90">
        <f>IF(CB11&gt;0,SUM(CB$7:CB11)-SUM(CA$7:CA11),0)</f>
        <v>-1092</v>
      </c>
      <c r="CD11" s="45">
        <f t="shared" si="30"/>
        <v>0.71372549019607845</v>
      </c>
    </row>
    <row r="12" spans="1:82" x14ac:dyDescent="0.25">
      <c r="A12" s="47">
        <f t="shared" si="13"/>
        <v>40822</v>
      </c>
      <c r="B12" s="54" t="s">
        <v>22</v>
      </c>
      <c r="C12" s="75">
        <v>11300</v>
      </c>
      <c r="D12" s="75">
        <v>7725</v>
      </c>
      <c r="E12" s="90">
        <f>IF(D12&gt;0,SUM(D$7:D12)-SUM(C$7:C12),0)</f>
        <v>-10686</v>
      </c>
      <c r="F12" s="45">
        <f t="shared" si="14"/>
        <v>0.6836283185840708</v>
      </c>
      <c r="G12" s="75">
        <v>11300</v>
      </c>
      <c r="H12" s="75">
        <v>9700</v>
      </c>
      <c r="I12" s="75">
        <f>IF(H12&gt;0,SUM(H$7:H12)-SUM(G$7:G12),0)</f>
        <v>-17535</v>
      </c>
      <c r="J12" s="45">
        <f t="shared" si="0"/>
        <v>0.8584070796460177</v>
      </c>
      <c r="K12" s="75">
        <v>11300</v>
      </c>
      <c r="L12" s="75">
        <v>11376</v>
      </c>
      <c r="M12" s="90">
        <f>IF(L12&gt;0,SUM(L$7:L12)-SUM(K$7:K12),0)</f>
        <v>-10787</v>
      </c>
      <c r="N12" s="45">
        <f t="shared" si="1"/>
        <v>1.0067256637168143</v>
      </c>
      <c r="O12" s="35">
        <f t="shared" si="2"/>
        <v>33900</v>
      </c>
      <c r="P12" s="35">
        <f t="shared" si="6"/>
        <v>28801</v>
      </c>
      <c r="Q12" s="91">
        <f>IF(P12&gt;0,SUM(P$7:P12)-SUM(O$7:O12),0)</f>
        <v>-39008</v>
      </c>
      <c r="R12" s="45">
        <f t="shared" si="15"/>
        <v>0.84958702064896752</v>
      </c>
      <c r="T12" s="47">
        <f t="shared" si="16"/>
        <v>40822</v>
      </c>
      <c r="U12" s="54" t="str">
        <f t="shared" si="7"/>
        <v>qua</v>
      </c>
      <c r="V12" s="75">
        <v>10600</v>
      </c>
      <c r="W12" s="75">
        <v>8105</v>
      </c>
      <c r="X12" s="92">
        <f>IF(W12&gt;0,SUM(W$7:W12)-SUM(V$7:V12),0)</f>
        <v>-14832</v>
      </c>
      <c r="Y12" s="60">
        <f t="shared" si="17"/>
        <v>0.76462264150943393</v>
      </c>
      <c r="Z12" s="75">
        <v>10600</v>
      </c>
      <c r="AA12" s="75">
        <v>6170</v>
      </c>
      <c r="AB12" s="92">
        <f>IF(AA12&gt;0,SUM(AA$7:AA12)-SUM(Z$7:Z12),0)</f>
        <v>-14897</v>
      </c>
      <c r="AC12" s="60">
        <f t="shared" si="18"/>
        <v>0.58207547169811324</v>
      </c>
      <c r="AD12" s="75">
        <v>10600</v>
      </c>
      <c r="AE12" s="75">
        <v>6180</v>
      </c>
      <c r="AF12" s="92">
        <f>IF(AE12&gt;0,SUM(AE$7:AE12)-SUM(AD$7:AD12),0)</f>
        <v>-20767</v>
      </c>
      <c r="AG12" s="60">
        <f t="shared" si="19"/>
        <v>0.58301886792452828</v>
      </c>
      <c r="AH12" s="41">
        <f t="shared" si="3"/>
        <v>31800</v>
      </c>
      <c r="AI12" s="41">
        <f t="shared" si="8"/>
        <v>20455</v>
      </c>
      <c r="AJ12" s="93">
        <f>IF(AI12&gt;0,SUM(AI$7:AI12)-SUM(AH$7:AH12),0)</f>
        <v>-50496</v>
      </c>
      <c r="AK12" s="60">
        <f t="shared" si="20"/>
        <v>0.64323899371069182</v>
      </c>
      <c r="AM12" s="47">
        <f t="shared" si="21"/>
        <v>40822</v>
      </c>
      <c r="AN12" s="54" t="str">
        <f t="shared" si="9"/>
        <v>qua</v>
      </c>
      <c r="AO12" s="75">
        <v>6600</v>
      </c>
      <c r="AP12" s="75">
        <v>6205</v>
      </c>
      <c r="AQ12" s="75">
        <f>IF(AP12&gt;0,SUM(AP$7:AP12)-SUM(AO$7:AO12),0)</f>
        <v>1949</v>
      </c>
      <c r="AR12" s="45">
        <f t="shared" si="22"/>
        <v>0.94015151515151518</v>
      </c>
      <c r="AS12" s="75">
        <v>6600</v>
      </c>
      <c r="AT12" s="75">
        <v>7355</v>
      </c>
      <c r="AU12" s="90">
        <f>IF(AT12&gt;0,SUM(AT$7:AT12)-SUM(AS$7:AS12),0)</f>
        <v>-3883</v>
      </c>
      <c r="AV12" s="45">
        <f t="shared" si="23"/>
        <v>1.1143939393939395</v>
      </c>
      <c r="AW12" s="75">
        <v>6600</v>
      </c>
      <c r="AX12" s="75">
        <v>3830</v>
      </c>
      <c r="AY12" s="90">
        <f>IF(AX12&gt;0,SUM(AX$7:AX12)-SUM(AW$7:AW12),0)</f>
        <v>-9259</v>
      </c>
      <c r="AZ12" s="45">
        <f t="shared" si="31"/>
        <v>0.58030303030303032</v>
      </c>
      <c r="BA12" s="35">
        <f t="shared" si="4"/>
        <v>19800</v>
      </c>
      <c r="BB12" s="35">
        <f t="shared" si="10"/>
        <v>17390</v>
      </c>
      <c r="BC12" s="91">
        <f>IF(BB12&gt;0,SUM(BB$7:BB12)-SUM(BA$7:BA12),0)</f>
        <v>-11193</v>
      </c>
      <c r="BD12" s="45">
        <f t="shared" si="24"/>
        <v>0.87828282828282833</v>
      </c>
      <c r="BF12" s="47">
        <f t="shared" si="25"/>
        <v>40822</v>
      </c>
      <c r="BG12" s="54" t="str">
        <f t="shared" si="11"/>
        <v>qua</v>
      </c>
      <c r="BH12" s="75">
        <v>15200</v>
      </c>
      <c r="BI12" s="75">
        <v>12461</v>
      </c>
      <c r="BJ12" s="75">
        <f>IF(BI12&gt;0,SUM(BI$7:BI12)-SUM(BH$7:BH12),0)</f>
        <v>-12144</v>
      </c>
      <c r="BK12" s="45">
        <f t="shared" si="26"/>
        <v>0.81980263157894739</v>
      </c>
      <c r="BL12" s="75">
        <v>8000</v>
      </c>
      <c r="BM12" s="75">
        <v>4930</v>
      </c>
      <c r="BN12" s="90">
        <f>IF(BM12&gt;0,SUM(BM$7:BM12)-SUM(BL$7:BL12),0)</f>
        <v>-16578</v>
      </c>
      <c r="BO12" s="45">
        <f t="shared" si="27"/>
        <v>0.61624999999999996</v>
      </c>
      <c r="BP12" s="75">
        <v>9000</v>
      </c>
      <c r="BQ12" s="75">
        <v>3152</v>
      </c>
      <c r="BR12" s="90">
        <f>IF(BQ12&gt;0,SUM(BQ$7:BQ12)-SUM(BP$7:BP12),0)</f>
        <v>-14829</v>
      </c>
      <c r="BS12" s="45">
        <f t="shared" si="32"/>
        <v>0.35022222222222221</v>
      </c>
      <c r="BT12" s="35">
        <f t="shared" si="5"/>
        <v>32200</v>
      </c>
      <c r="BU12" s="35">
        <f t="shared" si="5"/>
        <v>20543</v>
      </c>
      <c r="BV12" s="91">
        <f>IF(BU12&gt;0,SUM(BU$7:BU12)-SUM(BT$7:BT12),0)</f>
        <v>-43551</v>
      </c>
      <c r="BW12" s="45">
        <f t="shared" si="28"/>
        <v>0.63798136645962733</v>
      </c>
      <c r="BY12" s="47">
        <f t="shared" si="29"/>
        <v>40822</v>
      </c>
      <c r="BZ12" s="54" t="str">
        <f t="shared" si="12"/>
        <v>qua</v>
      </c>
      <c r="CA12" s="75">
        <v>2550</v>
      </c>
      <c r="CB12" s="75">
        <v>935</v>
      </c>
      <c r="CC12" s="90">
        <f>IF(CB12&gt;0,SUM(CB$7:CB12)-SUM(CA$7:CA12),0)</f>
        <v>-2707</v>
      </c>
      <c r="CD12" s="45">
        <f t="shared" si="30"/>
        <v>0.36666666666666664</v>
      </c>
    </row>
    <row r="13" spans="1:82" x14ac:dyDescent="0.25">
      <c r="A13" s="47">
        <f t="shared" si="13"/>
        <v>40823</v>
      </c>
      <c r="B13" s="54" t="s">
        <v>23</v>
      </c>
      <c r="C13" s="75">
        <v>11300</v>
      </c>
      <c r="D13" s="75">
        <v>9794</v>
      </c>
      <c r="E13" s="90">
        <f>IF(D13&gt;0,SUM(D$7:D13)-SUM(C$7:C13),0)</f>
        <v>-12192</v>
      </c>
      <c r="F13" s="45">
        <f t="shared" si="14"/>
        <v>0.86672566371681414</v>
      </c>
      <c r="G13" s="75">
        <v>11300</v>
      </c>
      <c r="H13" s="75">
        <v>8292</v>
      </c>
      <c r="I13" s="75">
        <f>IF(H13&gt;0,SUM(H$7:H13)-SUM(G$7:G13),0)</f>
        <v>-20543</v>
      </c>
      <c r="J13" s="45">
        <f t="shared" si="0"/>
        <v>0.7338053097345133</v>
      </c>
      <c r="K13" s="75">
        <v>11300</v>
      </c>
      <c r="L13" s="75">
        <v>8245</v>
      </c>
      <c r="M13" s="90">
        <f>IF(L13&gt;0,SUM(L$7:L13)-SUM(K$7:K13),0)</f>
        <v>-13842</v>
      </c>
      <c r="N13" s="45">
        <f t="shared" si="1"/>
        <v>0.72964601769911508</v>
      </c>
      <c r="O13" s="35">
        <f t="shared" si="2"/>
        <v>33900</v>
      </c>
      <c r="P13" s="35">
        <f t="shared" si="6"/>
        <v>26331</v>
      </c>
      <c r="Q13" s="91">
        <f>IF(P13&gt;0,SUM(P$7:P13)-SUM(O$7:O13),0)</f>
        <v>-46577</v>
      </c>
      <c r="R13" s="45">
        <f t="shared" si="15"/>
        <v>0.77672566371681417</v>
      </c>
      <c r="T13" s="47">
        <f t="shared" si="16"/>
        <v>40823</v>
      </c>
      <c r="U13" s="54" t="str">
        <f t="shared" si="7"/>
        <v>qui</v>
      </c>
      <c r="V13" s="75">
        <v>10600</v>
      </c>
      <c r="W13" s="75">
        <v>9432</v>
      </c>
      <c r="X13" s="92">
        <f>IF(W13&gt;0,SUM(W$7:W13)-SUM(V$7:V13),0)</f>
        <v>-16000</v>
      </c>
      <c r="Y13" s="60">
        <f t="shared" si="17"/>
        <v>0.88981132075471703</v>
      </c>
      <c r="Z13" s="75">
        <v>10600</v>
      </c>
      <c r="AA13" s="75">
        <v>9485</v>
      </c>
      <c r="AB13" s="92">
        <f>IF(AA13&gt;0,SUM(AA$7:AA13)-SUM(Z$7:Z13),0)</f>
        <v>-16012</v>
      </c>
      <c r="AC13" s="60">
        <f t="shared" si="18"/>
        <v>0.89481132075471703</v>
      </c>
      <c r="AD13" s="75">
        <v>10600</v>
      </c>
      <c r="AE13" s="75">
        <v>8413</v>
      </c>
      <c r="AF13" s="92">
        <f>IF(AE13&gt;0,SUM(AE$7:AE13)-SUM(AD$7:AD13),0)</f>
        <v>-22954</v>
      </c>
      <c r="AG13" s="60">
        <f t="shared" si="19"/>
        <v>0.79367924528301892</v>
      </c>
      <c r="AH13" s="41">
        <f t="shared" si="3"/>
        <v>31800</v>
      </c>
      <c r="AI13" s="41">
        <f t="shared" si="8"/>
        <v>27330</v>
      </c>
      <c r="AJ13" s="93">
        <f>IF(AI13&gt;0,SUM(AI$7:AI13)-SUM(AH$7:AH13),0)</f>
        <v>-54966</v>
      </c>
      <c r="AK13" s="60">
        <f t="shared" si="20"/>
        <v>0.85943396226415092</v>
      </c>
      <c r="AM13" s="47">
        <f t="shared" si="21"/>
        <v>40823</v>
      </c>
      <c r="AN13" s="54" t="str">
        <f t="shared" si="9"/>
        <v>qui</v>
      </c>
      <c r="AO13" s="75">
        <v>6600</v>
      </c>
      <c r="AP13" s="75">
        <v>7103</v>
      </c>
      <c r="AQ13" s="75">
        <f>IF(AP13&gt;0,SUM(AP$7:AP13)-SUM(AO$7:AO13),0)</f>
        <v>2452</v>
      </c>
      <c r="AR13" s="45">
        <f t="shared" si="22"/>
        <v>1.0762121212121212</v>
      </c>
      <c r="AS13" s="75">
        <v>6600</v>
      </c>
      <c r="AT13" s="75">
        <v>5965</v>
      </c>
      <c r="AU13" s="90">
        <f>IF(AT13&gt;0,SUM(AT$7:AT13)-SUM(AS$7:AS13),0)</f>
        <v>-4518</v>
      </c>
      <c r="AV13" s="45">
        <f t="shared" si="23"/>
        <v>0.90378787878787881</v>
      </c>
      <c r="AW13" s="75">
        <v>6600</v>
      </c>
      <c r="AX13" s="75">
        <v>4795</v>
      </c>
      <c r="AY13" s="90">
        <f>IF(AX13&gt;0,SUM(AX$7:AX13)-SUM(AW$7:AW13),0)</f>
        <v>-11064</v>
      </c>
      <c r="AZ13" s="45">
        <f t="shared" si="31"/>
        <v>0.72651515151515156</v>
      </c>
      <c r="BA13" s="35">
        <f t="shared" si="4"/>
        <v>19800</v>
      </c>
      <c r="BB13" s="35">
        <f t="shared" si="10"/>
        <v>17863</v>
      </c>
      <c r="BC13" s="91">
        <f>IF(BB13&gt;0,SUM(BB$7:BB13)-SUM(BA$7:BA13),0)</f>
        <v>-13130</v>
      </c>
      <c r="BD13" s="45">
        <f t="shared" si="24"/>
        <v>0.90217171717171718</v>
      </c>
      <c r="BF13" s="47">
        <f t="shared" si="25"/>
        <v>40823</v>
      </c>
      <c r="BG13" s="54" t="str">
        <f t="shared" si="11"/>
        <v>qui</v>
      </c>
      <c r="BH13" s="75">
        <v>15200</v>
      </c>
      <c r="BI13" s="75">
        <v>13584</v>
      </c>
      <c r="BJ13" s="75">
        <f>IF(BI13&gt;0,SUM(BI$7:BI13)-SUM(BH$7:BH13),0)</f>
        <v>-13760</v>
      </c>
      <c r="BK13" s="45">
        <f t="shared" si="26"/>
        <v>0.89368421052631575</v>
      </c>
      <c r="BL13" s="75">
        <v>8000</v>
      </c>
      <c r="BM13" s="75">
        <v>4331</v>
      </c>
      <c r="BN13" s="90">
        <f>IF(BM13&gt;0,SUM(BM$7:BM13)-SUM(BL$7:BL13),0)</f>
        <v>-20247</v>
      </c>
      <c r="BO13" s="45">
        <f t="shared" si="27"/>
        <v>0.54137500000000005</v>
      </c>
      <c r="BP13" s="75">
        <v>9000</v>
      </c>
      <c r="BQ13" s="75">
        <v>4057</v>
      </c>
      <c r="BR13" s="90">
        <f>IF(BQ13&gt;0,SUM(BQ$7:BQ13)-SUM(BP$7:BP13),0)</f>
        <v>-19772</v>
      </c>
      <c r="BS13" s="45">
        <f t="shared" si="32"/>
        <v>0.45077777777777778</v>
      </c>
      <c r="BT13" s="35">
        <f t="shared" si="5"/>
        <v>32200</v>
      </c>
      <c r="BU13" s="35">
        <f t="shared" si="5"/>
        <v>21972</v>
      </c>
      <c r="BV13" s="91">
        <f>IF(BU13&gt;0,SUM(BU$7:BU13)-SUM(BT$7:BT13),0)</f>
        <v>-53779</v>
      </c>
      <c r="BW13" s="45">
        <f t="shared" si="28"/>
        <v>0.682360248447205</v>
      </c>
      <c r="BY13" s="47">
        <f t="shared" si="29"/>
        <v>40823</v>
      </c>
      <c r="BZ13" s="54" t="str">
        <f t="shared" si="12"/>
        <v>qui</v>
      </c>
      <c r="CA13" s="75">
        <v>2550</v>
      </c>
      <c r="CB13" s="75">
        <v>1</v>
      </c>
      <c r="CC13" s="90">
        <f>IF(CB13&gt;0,SUM(CB$7:CB13)-SUM(CA$7:CA13),0)</f>
        <v>-5256</v>
      </c>
      <c r="CD13" s="45">
        <f t="shared" si="30"/>
        <v>3.9215686274509802E-4</v>
      </c>
    </row>
    <row r="14" spans="1:82" x14ac:dyDescent="0.25">
      <c r="A14" s="47">
        <f t="shared" si="13"/>
        <v>40824</v>
      </c>
      <c r="B14" s="54" t="s">
        <v>24</v>
      </c>
      <c r="C14" s="75">
        <v>11300</v>
      </c>
      <c r="D14" s="75">
        <v>9556</v>
      </c>
      <c r="E14" s="90">
        <f>IF(D14&gt;0,SUM(D$7:D14)-SUM(C$7:C14),0)</f>
        <v>-13936</v>
      </c>
      <c r="F14" s="45">
        <f>IF(D14&gt;0,IF(C14&gt;0,D14/C14,0),0)</f>
        <v>0.84566371681415931</v>
      </c>
      <c r="G14" s="75">
        <v>11300</v>
      </c>
      <c r="H14" s="75">
        <v>11115</v>
      </c>
      <c r="I14" s="75">
        <f>IF(H14&gt;0,SUM(H$7:H14)-SUM(G$7:G14),0)</f>
        <v>-20728</v>
      </c>
      <c r="J14" s="45">
        <f t="shared" si="0"/>
        <v>0.98362831858407085</v>
      </c>
      <c r="K14" s="75">
        <v>11300</v>
      </c>
      <c r="L14" s="75">
        <v>9729</v>
      </c>
      <c r="M14" s="90">
        <f>IF(L14&gt;0,SUM(L$7:L14)-SUM(K$7:K14),0)</f>
        <v>-15413</v>
      </c>
      <c r="N14" s="45">
        <f t="shared" si="1"/>
        <v>0.86097345132743364</v>
      </c>
      <c r="O14" s="35">
        <f t="shared" si="2"/>
        <v>33900</v>
      </c>
      <c r="P14" s="35">
        <f t="shared" si="6"/>
        <v>30400</v>
      </c>
      <c r="Q14" s="91">
        <f>IF(P14&gt;0,SUM(P$7:P14)-SUM(O$7:O14),0)</f>
        <v>-50077</v>
      </c>
      <c r="R14" s="45">
        <f t="shared" si="15"/>
        <v>0.89675516224188789</v>
      </c>
      <c r="T14" s="47">
        <f t="shared" si="16"/>
        <v>40824</v>
      </c>
      <c r="U14" s="54" t="str">
        <f t="shared" si="7"/>
        <v>sex</v>
      </c>
      <c r="V14" s="75">
        <v>10600</v>
      </c>
      <c r="W14" s="75">
        <v>8486</v>
      </c>
      <c r="X14" s="92">
        <f>IF(W14&gt;0,SUM(W$7:W14)-SUM(V$7:V14),0)</f>
        <v>-18114</v>
      </c>
      <c r="Y14" s="60">
        <f t="shared" si="17"/>
        <v>0.80056603773584911</v>
      </c>
      <c r="Z14" s="75">
        <v>10600</v>
      </c>
      <c r="AA14" s="75">
        <v>8290</v>
      </c>
      <c r="AB14" s="92">
        <f>IF(AA14&gt;0,SUM(AA$7:AA14)-SUM(Z$7:Z14),0)</f>
        <v>-18322</v>
      </c>
      <c r="AC14" s="60">
        <f t="shared" si="18"/>
        <v>0.7820754716981132</v>
      </c>
      <c r="AD14" s="75">
        <v>10600</v>
      </c>
      <c r="AE14" s="75">
        <v>8702</v>
      </c>
      <c r="AF14" s="92">
        <f>IF(AE14&gt;0,SUM(AE$7:AE14)-SUM(AD$7:AD14),0)</f>
        <v>-24852</v>
      </c>
      <c r="AG14" s="60">
        <f t="shared" si="19"/>
        <v>0.8209433962264151</v>
      </c>
      <c r="AH14" s="41">
        <f t="shared" si="3"/>
        <v>31800</v>
      </c>
      <c r="AI14" s="41">
        <f t="shared" si="8"/>
        <v>25478</v>
      </c>
      <c r="AJ14" s="93">
        <f>IF(AI14&gt;0,SUM(AI$7:AI14)-SUM(AH$7:AH14),0)</f>
        <v>-61288</v>
      </c>
      <c r="AK14" s="60">
        <f t="shared" si="20"/>
        <v>0.80119496855345917</v>
      </c>
      <c r="AM14" s="47">
        <f t="shared" si="21"/>
        <v>40824</v>
      </c>
      <c r="AN14" s="54" t="str">
        <f t="shared" si="9"/>
        <v>sex</v>
      </c>
      <c r="AO14" s="75">
        <v>6600</v>
      </c>
      <c r="AP14" s="75">
        <v>8255</v>
      </c>
      <c r="AQ14" s="75">
        <f>IF(AP14&gt;0,SUM(AP$7:AP15)-SUM(AO$7:AO14),0)</f>
        <v>4107</v>
      </c>
      <c r="AR14" s="45">
        <f t="shared" si="22"/>
        <v>1.2507575757575757</v>
      </c>
      <c r="AS14" s="75">
        <v>6600</v>
      </c>
      <c r="AT14" s="75">
        <v>7464</v>
      </c>
      <c r="AU14" s="90">
        <f>IF(AT14&gt;0,SUM(AT$7:AT14)-SUM(AS$7:AS14),0)</f>
        <v>-3654</v>
      </c>
      <c r="AV14" s="45">
        <f t="shared" si="23"/>
        <v>1.1309090909090909</v>
      </c>
      <c r="AW14" s="75">
        <v>6600</v>
      </c>
      <c r="AX14" s="75">
        <v>4770</v>
      </c>
      <c r="AY14" s="90">
        <f>IF(AX14&gt;0,SUM(AX$7:AX14)-SUM(AW$7:AW14),0)</f>
        <v>-12894</v>
      </c>
      <c r="AZ14" s="45">
        <f t="shared" si="31"/>
        <v>0.72272727272727277</v>
      </c>
      <c r="BA14" s="35">
        <f t="shared" si="4"/>
        <v>19800</v>
      </c>
      <c r="BB14" s="35">
        <f t="shared" si="10"/>
        <v>20489</v>
      </c>
      <c r="BC14" s="91">
        <f>IF(BB14&gt;0,SUM(BB$7:BB14)-SUM(BA$7:BA14),0)</f>
        <v>-12441</v>
      </c>
      <c r="BD14" s="45">
        <f t="shared" si="24"/>
        <v>1.0347979797979798</v>
      </c>
      <c r="BF14" s="47">
        <f t="shared" si="25"/>
        <v>40824</v>
      </c>
      <c r="BG14" s="54" t="str">
        <f t="shared" si="11"/>
        <v>sex</v>
      </c>
      <c r="BH14" s="75">
        <v>15200</v>
      </c>
      <c r="BI14" s="75">
        <v>15536</v>
      </c>
      <c r="BJ14" s="75">
        <f>IF(BI14&gt;0,SUM(BI$7:BI14)-SUM(BH$7:BH14),0)</f>
        <v>-13424</v>
      </c>
      <c r="BK14" s="45">
        <f t="shared" si="26"/>
        <v>1.0221052631578946</v>
      </c>
      <c r="BL14" s="75">
        <v>8000</v>
      </c>
      <c r="BM14" s="75">
        <v>4954</v>
      </c>
      <c r="BN14" s="90">
        <f>IF(BM14&gt;0,SUM(BM$7:BM14)-SUM(BL$7:BL14),0)</f>
        <v>-23293</v>
      </c>
      <c r="BO14" s="45">
        <f t="shared" si="27"/>
        <v>0.61924999999999997</v>
      </c>
      <c r="BP14" s="75">
        <v>9000</v>
      </c>
      <c r="BQ14" s="75">
        <v>3243</v>
      </c>
      <c r="BR14" s="90">
        <f>IF(BQ14&gt;0,SUM(BQ$7:BQ14)-SUM(BP$7:BP14),0)</f>
        <v>-25529</v>
      </c>
      <c r="BS14" s="45">
        <f t="shared" si="32"/>
        <v>0.36033333333333334</v>
      </c>
      <c r="BT14" s="35">
        <f t="shared" si="5"/>
        <v>32200</v>
      </c>
      <c r="BU14" s="35">
        <f t="shared" si="5"/>
        <v>23733</v>
      </c>
      <c r="BV14" s="91">
        <f>IF(BU14&gt;0,SUM(BU$7:BU14)-SUM(BT$7:BT14),0)</f>
        <v>-62246</v>
      </c>
      <c r="BW14" s="45">
        <f t="shared" si="28"/>
        <v>0.7370496894409938</v>
      </c>
      <c r="BY14" s="47">
        <f t="shared" si="29"/>
        <v>40824</v>
      </c>
      <c r="BZ14" s="54" t="str">
        <f t="shared" si="12"/>
        <v>sex</v>
      </c>
      <c r="CA14" s="75">
        <v>2550</v>
      </c>
      <c r="CB14" s="75">
        <v>7187</v>
      </c>
      <c r="CC14" s="90">
        <f>IF(CB14&gt;0,SUM(CB$7:CB14)-SUM(CA$7:CA14),0)</f>
        <v>-619</v>
      </c>
      <c r="CD14" s="45">
        <f t="shared" si="30"/>
        <v>2.8184313725490195</v>
      </c>
    </row>
    <row r="15" spans="1:82" x14ac:dyDescent="0.25">
      <c r="A15" s="47">
        <f t="shared" si="13"/>
        <v>40825</v>
      </c>
      <c r="B15" s="54" t="s">
        <v>25</v>
      </c>
      <c r="C15" s="75"/>
      <c r="D15" s="75">
        <v>19817</v>
      </c>
      <c r="E15" s="90">
        <f>IF(D15&gt;0,SUM(D$7:D15)-SUM(C$7:C15),0)</f>
        <v>5881</v>
      </c>
      <c r="F15" s="45">
        <f t="shared" si="14"/>
        <v>0</v>
      </c>
      <c r="G15" s="75"/>
      <c r="H15" s="75"/>
      <c r="I15" s="75">
        <f>IF(H15&gt;0,SUM(H$7:H15)-SUM(G$7:G15),0)</f>
        <v>0</v>
      </c>
      <c r="J15" s="45">
        <f t="shared" ref="J15:J36" si="33">IF(H15&gt;0,IF(K15&gt;0,H15/K15,0),0)</f>
        <v>0</v>
      </c>
      <c r="K15" s="75"/>
      <c r="L15" s="75"/>
      <c r="M15" s="90">
        <f>IF(L15&gt;0,SUM(L$7:L15)-SUM(K$7:K15),0)</f>
        <v>0</v>
      </c>
      <c r="N15" s="45">
        <f t="shared" si="1"/>
        <v>0</v>
      </c>
      <c r="O15" s="35">
        <f t="shared" ref="O15:O36" si="34">IF(SUM(C15,G15,K15)&gt;0,SUM(C15,G15,K15),0)</f>
        <v>0</v>
      </c>
      <c r="P15" s="35">
        <f t="shared" si="6"/>
        <v>19817</v>
      </c>
      <c r="Q15" s="91">
        <f>IF(P15&gt;0,SUM(P$7:P15)-SUM(O$7:O15),0)</f>
        <v>-30260</v>
      </c>
      <c r="R15" s="45">
        <f t="shared" si="15"/>
        <v>0</v>
      </c>
      <c r="T15" s="47">
        <f t="shared" si="16"/>
        <v>40825</v>
      </c>
      <c r="U15" s="54" t="str">
        <f t="shared" si="7"/>
        <v>sáb</v>
      </c>
      <c r="V15" s="75"/>
      <c r="W15" s="75">
        <v>17555</v>
      </c>
      <c r="X15" s="92">
        <f>IF(W15&gt;0,SUM(W$7:W15)-SUM(V$7:V15),0)</f>
        <v>-559</v>
      </c>
      <c r="Y15" s="60">
        <f t="shared" si="17"/>
        <v>0</v>
      </c>
      <c r="Z15" s="75"/>
      <c r="AA15" s="75"/>
      <c r="AB15" s="92">
        <f>IF(AA15&gt;0,SUM(AA$7:AA15)-SUM(Z$7:Z15),0)</f>
        <v>0</v>
      </c>
      <c r="AC15" s="60">
        <f t="shared" si="18"/>
        <v>0</v>
      </c>
      <c r="AD15" s="75"/>
      <c r="AE15" s="75"/>
      <c r="AF15" s="92">
        <f>IF(AE15&gt;0,SUM(AE$7:AE15)-SUM(AD$7:AD15),0)</f>
        <v>0</v>
      </c>
      <c r="AG15" s="60">
        <f t="shared" si="19"/>
        <v>0</v>
      </c>
      <c r="AH15" s="41">
        <f t="shared" si="3"/>
        <v>0</v>
      </c>
      <c r="AI15" s="41">
        <f t="shared" si="8"/>
        <v>17555</v>
      </c>
      <c r="AJ15" s="93">
        <f>IF(AI15&gt;0,SUM(AI$7:AI15)-SUM(AH$7:AH15),0)</f>
        <v>-43733</v>
      </c>
      <c r="AK15" s="60">
        <f t="shared" si="20"/>
        <v>0</v>
      </c>
      <c r="AM15" s="47">
        <f t="shared" si="21"/>
        <v>40825</v>
      </c>
      <c r="AN15" s="54" t="str">
        <f t="shared" si="9"/>
        <v>sáb</v>
      </c>
      <c r="AO15" s="75"/>
      <c r="AP15" s="75"/>
      <c r="AQ15" s="75">
        <f>IF(AP15&gt;0,SUM(AP$7:AP15)-SUM(AO$7:AO15),0)</f>
        <v>0</v>
      </c>
      <c r="AR15" s="45">
        <f t="shared" si="22"/>
        <v>0</v>
      </c>
      <c r="AS15" s="75"/>
      <c r="AT15" s="75"/>
      <c r="AU15" s="90">
        <f>IF(AT15&gt;0,SUM(AT$7:AT15)-SUM(AS$7:AS15),0)</f>
        <v>0</v>
      </c>
      <c r="AV15" s="45">
        <f t="shared" si="23"/>
        <v>0</v>
      </c>
      <c r="AW15" s="75"/>
      <c r="AX15" s="75"/>
      <c r="AY15" s="90">
        <f>IF(AX15&gt;0,SUM(AX$7:AX15)-SUM(AW$7:AW15),0)</f>
        <v>0</v>
      </c>
      <c r="AZ15" s="45">
        <f t="shared" si="31"/>
        <v>0</v>
      </c>
      <c r="BA15" s="35">
        <f t="shared" si="4"/>
        <v>0</v>
      </c>
      <c r="BB15" s="35">
        <f t="shared" si="10"/>
        <v>0</v>
      </c>
      <c r="BC15" s="91">
        <f>IF(BB15&gt;0,SUM(BB$7:BB15)-SUM(BA$7:BA15),0)</f>
        <v>0</v>
      </c>
      <c r="BD15" s="45">
        <f t="shared" si="24"/>
        <v>0</v>
      </c>
      <c r="BF15" s="47">
        <f t="shared" si="25"/>
        <v>40825</v>
      </c>
      <c r="BG15" s="54" t="str">
        <f t="shared" si="11"/>
        <v>sáb</v>
      </c>
      <c r="BH15" s="75"/>
      <c r="BI15" s="75"/>
      <c r="BJ15" s="75">
        <f>IF(BI15&gt;0,SUM(BI$7:BI15)-SUM(BH$7:BH15),0)</f>
        <v>0</v>
      </c>
      <c r="BK15" s="45">
        <f t="shared" si="26"/>
        <v>0</v>
      </c>
      <c r="BL15" s="75"/>
      <c r="BM15" s="75"/>
      <c r="BN15" s="90">
        <f>IF(BM15&gt;0,SUM(BM$7:BM15)-SUM(BL$7:BL15),0)</f>
        <v>0</v>
      </c>
      <c r="BO15" s="45">
        <f t="shared" si="27"/>
        <v>0</v>
      </c>
      <c r="BP15" s="75"/>
      <c r="BQ15" s="75"/>
      <c r="BR15" s="90">
        <f>IF(BQ15&gt;0,SUM(BQ$7:BQ15)-SUM(BP$7:BP15),0)</f>
        <v>0</v>
      </c>
      <c r="BS15" s="45">
        <f t="shared" si="32"/>
        <v>0</v>
      </c>
      <c r="BT15" s="35">
        <f t="shared" si="5"/>
        <v>0</v>
      </c>
      <c r="BU15" s="35">
        <f t="shared" si="5"/>
        <v>0</v>
      </c>
      <c r="BV15" s="91">
        <f>IF(BU15&gt;0,SUM(BU$7:BU15)-SUM(BT$7:BT15),0)</f>
        <v>0</v>
      </c>
      <c r="BW15" s="45">
        <f t="shared" si="28"/>
        <v>0</v>
      </c>
      <c r="BY15" s="47">
        <f t="shared" si="29"/>
        <v>40825</v>
      </c>
      <c r="BZ15" s="54" t="str">
        <f t="shared" si="12"/>
        <v>sáb</v>
      </c>
      <c r="CA15" s="75"/>
      <c r="CB15" s="75"/>
      <c r="CC15" s="90">
        <f>IF(CB15&gt;0,SUM(CB$7:CB15)-SUM(CA$7:CA15),0)</f>
        <v>0</v>
      </c>
      <c r="CD15" s="45">
        <f t="shared" si="30"/>
        <v>0</v>
      </c>
    </row>
    <row r="16" spans="1:82" x14ac:dyDescent="0.25">
      <c r="A16" s="47">
        <f t="shared" si="13"/>
        <v>40826</v>
      </c>
      <c r="B16" s="54" t="s">
        <v>26</v>
      </c>
      <c r="C16" s="75"/>
      <c r="D16" s="75"/>
      <c r="E16" s="90">
        <f>IF(D16&gt;0,SUM(D$7:D16)-SUM(C$7:C16),0)</f>
        <v>0</v>
      </c>
      <c r="F16" s="45">
        <f>IF(D16&gt;0,IF(C16&gt;0,D16/C16,0),0)</f>
        <v>0</v>
      </c>
      <c r="G16" s="75"/>
      <c r="H16" s="75"/>
      <c r="I16" s="75">
        <f>IF(H16&gt;0,SUM(H$7:H16)-SUM(G$7:G16),0)</f>
        <v>0</v>
      </c>
      <c r="J16" s="45">
        <f t="shared" si="33"/>
        <v>0</v>
      </c>
      <c r="K16" s="75"/>
      <c r="L16" s="75"/>
      <c r="M16" s="90">
        <f>IF(L16&gt;0,SUM(L$7:L16)-SUM(K$7:K16),0)</f>
        <v>0</v>
      </c>
      <c r="N16" s="45">
        <f t="shared" si="1"/>
        <v>0</v>
      </c>
      <c r="O16" s="35">
        <f t="shared" si="34"/>
        <v>0</v>
      </c>
      <c r="P16" s="35">
        <f t="shared" si="6"/>
        <v>0</v>
      </c>
      <c r="Q16" s="91">
        <f>IF(P16&gt;0,SUM(P$7:P16)-SUM(O$7:O16),0)</f>
        <v>0</v>
      </c>
      <c r="R16" s="45">
        <f t="shared" si="15"/>
        <v>0</v>
      </c>
      <c r="T16" s="47">
        <f t="shared" si="16"/>
        <v>40826</v>
      </c>
      <c r="U16" s="54" t="str">
        <f t="shared" si="7"/>
        <v>dom</v>
      </c>
      <c r="V16" s="75"/>
      <c r="W16" s="75"/>
      <c r="X16" s="92">
        <f>IF(W16&gt;0,SUM(W$7:W16)-SUM(V$7:V16),0)</f>
        <v>0</v>
      </c>
      <c r="Y16" s="60">
        <f>IF(W16&gt;0,IF(V16&gt;0,W16/V16,0),0)</f>
        <v>0</v>
      </c>
      <c r="Z16" s="75"/>
      <c r="AA16" s="75"/>
      <c r="AB16" s="92">
        <f>IF(AA16&gt;0,SUM(AA$7:AA16)-SUM(Z$7:Z16),0)</f>
        <v>0</v>
      </c>
      <c r="AC16" s="60">
        <f>IF(AA16&gt;0,IF(Z16&gt;0,AA16/Z16,0),0)</f>
        <v>0</v>
      </c>
      <c r="AD16" s="75"/>
      <c r="AE16" s="75"/>
      <c r="AF16" s="92">
        <f>IF(AE16&gt;0,SUM(AE$7:AE16)-SUM(AD$7:AD16),0)</f>
        <v>0</v>
      </c>
      <c r="AG16" s="60">
        <f>IF(AE16&gt;0,IF(AD16&gt;0,AE16/AD16,0),0)</f>
        <v>0</v>
      </c>
      <c r="AH16" s="41">
        <f t="shared" si="3"/>
        <v>0</v>
      </c>
      <c r="AI16" s="41">
        <f t="shared" si="8"/>
        <v>0</v>
      </c>
      <c r="AJ16" s="93">
        <f>IF(AI16&gt;0,SUM(AI$7:AI16)-SUM(AH$7:AH16),0)</f>
        <v>0</v>
      </c>
      <c r="AK16" s="60">
        <f t="shared" si="20"/>
        <v>0</v>
      </c>
      <c r="AM16" s="47">
        <f t="shared" si="21"/>
        <v>40826</v>
      </c>
      <c r="AN16" s="54" t="str">
        <f t="shared" si="9"/>
        <v>dom</v>
      </c>
      <c r="AO16" s="75"/>
      <c r="AP16" s="75"/>
      <c r="AQ16" s="75">
        <f>IF(AP16&gt;0,SUM(AP$7:AP16)-SUM(AO$7:AO16),0)</f>
        <v>0</v>
      </c>
      <c r="AR16" s="45">
        <f t="shared" si="22"/>
        <v>0</v>
      </c>
      <c r="AS16" s="75"/>
      <c r="AT16" s="75"/>
      <c r="AU16" s="90">
        <f>IF(AT16&gt;0,SUM(AT$7:AT16)-SUM(AS$7:AS16),0)</f>
        <v>0</v>
      </c>
      <c r="AV16" s="45">
        <f t="shared" si="23"/>
        <v>0</v>
      </c>
      <c r="AW16" s="75"/>
      <c r="AX16" s="75"/>
      <c r="AY16" s="90">
        <f>IF(AX16&gt;0,SUM(AX$7:AX16)-SUM(AW$7:AW16),0)</f>
        <v>0</v>
      </c>
      <c r="AZ16" s="45">
        <f t="shared" si="31"/>
        <v>0</v>
      </c>
      <c r="BA16" s="35">
        <f t="shared" si="4"/>
        <v>0</v>
      </c>
      <c r="BB16" s="35">
        <f t="shared" si="10"/>
        <v>0</v>
      </c>
      <c r="BC16" s="91">
        <f>IF(BB16&gt;0,SUM(BB$7:BB16)-SUM(BA$7:BA16),0)</f>
        <v>0</v>
      </c>
      <c r="BD16" s="45">
        <f t="shared" si="24"/>
        <v>0</v>
      </c>
      <c r="BF16" s="47">
        <f t="shared" si="25"/>
        <v>40826</v>
      </c>
      <c r="BG16" s="54" t="str">
        <f t="shared" si="11"/>
        <v>dom</v>
      </c>
      <c r="BH16" s="75"/>
      <c r="BI16" s="75"/>
      <c r="BJ16" s="75">
        <f>IF(BI16&gt;0,SUM(BI$7:BI16)-SUM(BH$7:BH16),0)</f>
        <v>0</v>
      </c>
      <c r="BK16" s="45">
        <f t="shared" si="26"/>
        <v>0</v>
      </c>
      <c r="BL16" s="75"/>
      <c r="BM16" s="75"/>
      <c r="BN16" s="90">
        <f>IF(BM16&gt;0,SUM(BM$7:BM16)-SUM(BL$7:BL16),0)</f>
        <v>0</v>
      </c>
      <c r="BO16" s="45">
        <f t="shared" si="27"/>
        <v>0</v>
      </c>
      <c r="BP16" s="75"/>
      <c r="BQ16" s="75"/>
      <c r="BR16" s="90">
        <f>IF(BQ16&gt;0,SUM(BQ$7:BQ16)-SUM(BP$7:BP16),0)</f>
        <v>0</v>
      </c>
      <c r="BS16" s="45">
        <f t="shared" si="32"/>
        <v>0</v>
      </c>
      <c r="BT16" s="35">
        <f t="shared" si="5"/>
        <v>0</v>
      </c>
      <c r="BU16" s="35">
        <f t="shared" si="5"/>
        <v>0</v>
      </c>
      <c r="BV16" s="91">
        <f>IF(BU16&gt;0,SUM(BU$7:BU16)-SUM(BT$7:BT16),0)</f>
        <v>0</v>
      </c>
      <c r="BW16" s="45">
        <f t="shared" si="28"/>
        <v>0</v>
      </c>
      <c r="BY16" s="47">
        <f t="shared" si="29"/>
        <v>40826</v>
      </c>
      <c r="BZ16" s="54" t="str">
        <f t="shared" si="12"/>
        <v>dom</v>
      </c>
      <c r="CA16" s="75"/>
      <c r="CB16" s="75"/>
      <c r="CC16" s="90">
        <f>IF(CB16&gt;0,SUM(CB$7:CB16)-SUM(CA$7:CA16),0)</f>
        <v>0</v>
      </c>
      <c r="CD16" s="45">
        <f t="shared" si="30"/>
        <v>0</v>
      </c>
    </row>
    <row r="17" spans="1:82" x14ac:dyDescent="0.25">
      <c r="A17" s="47">
        <f t="shared" si="13"/>
        <v>40827</v>
      </c>
      <c r="B17" s="54" t="s">
        <v>27</v>
      </c>
      <c r="C17" s="75">
        <v>11300</v>
      </c>
      <c r="D17" s="75">
        <v>8586</v>
      </c>
      <c r="E17" s="90">
        <f>IF(D17&gt;0,SUM(D$7:D17)-SUM(C$7:C17),0)</f>
        <v>3167</v>
      </c>
      <c r="F17" s="45">
        <f>IF(D17&gt;0,IF(C17&gt;0,D17/C17,0),0)</f>
        <v>0.75982300884955756</v>
      </c>
      <c r="G17" s="75">
        <v>11300</v>
      </c>
      <c r="H17" s="75">
        <v>10549</v>
      </c>
      <c r="I17" s="75">
        <f>IF(H17&gt;0,SUM(H$7:H17)-SUM(G$7:G17),0)</f>
        <v>-21479</v>
      </c>
      <c r="J17" s="45">
        <f t="shared" si="33"/>
        <v>0.93353982300884952</v>
      </c>
      <c r="K17" s="75">
        <v>11300</v>
      </c>
      <c r="L17" s="75">
        <v>11969</v>
      </c>
      <c r="M17" s="90">
        <f>IF(L17&gt;0,SUM(L$7:L17)-SUM(K$7:K17),0)</f>
        <v>-14744</v>
      </c>
      <c r="N17" s="45">
        <f t="shared" si="1"/>
        <v>1.0592035398230089</v>
      </c>
      <c r="O17" s="35">
        <f t="shared" si="34"/>
        <v>33900</v>
      </c>
      <c r="P17" s="35">
        <f t="shared" si="6"/>
        <v>31104</v>
      </c>
      <c r="Q17" s="91">
        <f>IF(P17&gt;0,SUM(P$7:P17)-SUM(O$7:O17),0)</f>
        <v>-33056</v>
      </c>
      <c r="R17" s="45">
        <f t="shared" si="15"/>
        <v>0.91752212389380527</v>
      </c>
      <c r="T17" s="47">
        <f t="shared" si="16"/>
        <v>40827</v>
      </c>
      <c r="U17" s="54" t="str">
        <f t="shared" si="7"/>
        <v>seg</v>
      </c>
      <c r="V17" s="75">
        <v>10600</v>
      </c>
      <c r="W17" s="75">
        <v>6412</v>
      </c>
      <c r="X17" s="92">
        <f>IF(W17&gt;0,SUM(W$7:W17)-SUM(V$7:V17),0)</f>
        <v>-4747</v>
      </c>
      <c r="Y17" s="60">
        <f>IF(W17&gt;0,IF(V17&gt;0,W17/V17,0),0)</f>
        <v>0.60490566037735849</v>
      </c>
      <c r="Z17" s="75">
        <v>10600</v>
      </c>
      <c r="AA17" s="75">
        <v>10428</v>
      </c>
      <c r="AB17" s="92">
        <f>IF(AA17&gt;0,SUM(AA$7:AA17)-SUM(Z$7:Z17),0)</f>
        <v>-18494</v>
      </c>
      <c r="AC17" s="60">
        <f>IF(AA17&gt;0,IF(Z17&gt;0,AA17/Z17,0),0)</f>
        <v>0.98377358490566036</v>
      </c>
      <c r="AD17" s="75">
        <v>10600</v>
      </c>
      <c r="AE17" s="75">
        <v>6055</v>
      </c>
      <c r="AF17" s="92">
        <f>IF(AE17&gt;0,SUM(AE$7:AE17)-SUM(AD$7:AD17),0)</f>
        <v>-29397</v>
      </c>
      <c r="AG17" s="60">
        <f>IF(AE17&gt;0,IF(AD17&gt;0,AE17/AD17,0),0)</f>
        <v>0.57122641509433958</v>
      </c>
      <c r="AH17" s="41">
        <f t="shared" si="3"/>
        <v>31800</v>
      </c>
      <c r="AI17" s="41">
        <f t="shared" si="8"/>
        <v>22895</v>
      </c>
      <c r="AJ17" s="93">
        <f>IF(AI17&gt;0,SUM(AI$7:AI17)-SUM(AH$7:AH17),0)</f>
        <v>-52638</v>
      </c>
      <c r="AK17" s="60">
        <f t="shared" si="20"/>
        <v>0.71996855345911948</v>
      </c>
      <c r="AM17" s="47">
        <f t="shared" si="21"/>
        <v>40827</v>
      </c>
      <c r="AN17" s="54" t="str">
        <f t="shared" si="9"/>
        <v>seg</v>
      </c>
      <c r="AO17" s="75">
        <v>6600</v>
      </c>
      <c r="AP17" s="75">
        <v>6350</v>
      </c>
      <c r="AQ17" s="75">
        <f>IF(AP17&gt;0,SUM(AP$7:AP17)-SUM(AO$7:AO17),0)</f>
        <v>3857</v>
      </c>
      <c r="AR17" s="45">
        <f t="shared" si="22"/>
        <v>0.96212121212121215</v>
      </c>
      <c r="AS17" s="75">
        <v>6600</v>
      </c>
      <c r="AT17" s="75">
        <v>8050</v>
      </c>
      <c r="AU17" s="90">
        <f>IF(AT17&gt;0,SUM(AT$7:AT17)-SUM(AS$7:AS17),0)</f>
        <v>-2204</v>
      </c>
      <c r="AV17" s="45">
        <f t="shared" si="23"/>
        <v>1.2196969696969697</v>
      </c>
      <c r="AW17" s="75">
        <v>6600</v>
      </c>
      <c r="AX17" s="75">
        <v>6252</v>
      </c>
      <c r="AY17" s="90">
        <f>IF(AX17&gt;0,SUM(AX$7:AX17)-SUM(AW$7:AW17),0)</f>
        <v>-13242</v>
      </c>
      <c r="AZ17" s="45">
        <f t="shared" si="31"/>
        <v>0.94727272727272727</v>
      </c>
      <c r="BA17" s="35">
        <f t="shared" si="4"/>
        <v>19800</v>
      </c>
      <c r="BB17" s="35">
        <f t="shared" si="10"/>
        <v>20652</v>
      </c>
      <c r="BC17" s="91">
        <f>IF(BB17&gt;0,SUM(BB$7:BB17)-SUM(BA$7:BA17),0)</f>
        <v>-11589</v>
      </c>
      <c r="BD17" s="45">
        <f t="shared" si="24"/>
        <v>1.043030303030303</v>
      </c>
      <c r="BF17" s="47">
        <f t="shared" si="25"/>
        <v>40827</v>
      </c>
      <c r="BG17" s="54" t="str">
        <f t="shared" si="11"/>
        <v>seg</v>
      </c>
      <c r="BH17" s="75">
        <v>15200</v>
      </c>
      <c r="BI17" s="75">
        <v>14497</v>
      </c>
      <c r="BJ17" s="75">
        <f>IF(BI17&gt;0,SUM(BI$7:BI17)-SUM(BH$7:BH17),0)</f>
        <v>-14127</v>
      </c>
      <c r="BK17" s="45">
        <f t="shared" si="26"/>
        <v>0.95374999999999999</v>
      </c>
      <c r="BL17" s="75">
        <v>8000</v>
      </c>
      <c r="BM17" s="75">
        <v>6157</v>
      </c>
      <c r="BN17" s="90">
        <f>IF(BM17&gt;0,SUM(BM$7:BM17)-SUM(BL$7:BL17),0)</f>
        <v>-25136</v>
      </c>
      <c r="BO17" s="45">
        <f t="shared" si="27"/>
        <v>0.769625</v>
      </c>
      <c r="BP17" s="75">
        <v>9000</v>
      </c>
      <c r="BQ17" s="75">
        <v>8883</v>
      </c>
      <c r="BR17" s="90">
        <f>IF(BQ17&gt;0,SUM(BQ$7:BQ17)-SUM(BP$7:BP17),0)</f>
        <v>-25646</v>
      </c>
      <c r="BS17" s="45">
        <f t="shared" si="32"/>
        <v>0.98699999999999999</v>
      </c>
      <c r="BT17" s="35">
        <f t="shared" si="5"/>
        <v>32200</v>
      </c>
      <c r="BU17" s="35">
        <f t="shared" si="5"/>
        <v>29537</v>
      </c>
      <c r="BV17" s="91">
        <f>IF(BU17&gt;0,SUM(BU$7:BU17)-SUM(BT$7:BT17),0)</f>
        <v>-64909</v>
      </c>
      <c r="BW17" s="45">
        <f t="shared" si="28"/>
        <v>0.91729813664596271</v>
      </c>
      <c r="BY17" s="47">
        <f t="shared" si="29"/>
        <v>40827</v>
      </c>
      <c r="BZ17" s="54" t="str">
        <f t="shared" si="12"/>
        <v>seg</v>
      </c>
      <c r="CA17" s="75">
        <v>2550</v>
      </c>
      <c r="CB17" s="75">
        <v>9104</v>
      </c>
      <c r="CC17" s="90">
        <f>IF(CB17&gt;0,SUM(CB$7:CB17)-SUM(CA$7:CA17),0)</f>
        <v>5935</v>
      </c>
      <c r="CD17" s="45">
        <f t="shared" si="30"/>
        <v>3.5701960784313727</v>
      </c>
    </row>
    <row r="18" spans="1:82" x14ac:dyDescent="0.25">
      <c r="A18" s="47">
        <f t="shared" si="13"/>
        <v>40828</v>
      </c>
      <c r="B18" s="54" t="s">
        <v>28</v>
      </c>
      <c r="C18" s="75">
        <v>11300</v>
      </c>
      <c r="D18" s="75">
        <v>9020</v>
      </c>
      <c r="E18" s="90">
        <f>IF(D18&gt;0,SUM(D$7:D18)-SUM(C$7:C18),0)</f>
        <v>887</v>
      </c>
      <c r="F18" s="45">
        <f t="shared" si="14"/>
        <v>0.7982300884955752</v>
      </c>
      <c r="G18" s="75">
        <v>11300</v>
      </c>
      <c r="H18" s="75">
        <v>8761</v>
      </c>
      <c r="I18" s="75">
        <f>IF(H18&gt;0,SUM(H$7:H18)-SUM(G$7:G18),0)</f>
        <v>-24018</v>
      </c>
      <c r="J18" s="45">
        <f t="shared" si="33"/>
        <v>0.77530973451327434</v>
      </c>
      <c r="K18" s="75">
        <v>11300</v>
      </c>
      <c r="L18" s="75">
        <v>12616</v>
      </c>
      <c r="M18" s="90">
        <f>IF(L18&gt;0,SUM(L$7:L18)-SUM(K$7:K18),0)</f>
        <v>-13428</v>
      </c>
      <c r="N18" s="45">
        <f t="shared" ref="N18:N38" si="35">IF(L18&gt;0,IF(K18&gt;0,L18/K18,0),0)</f>
        <v>1.1164601769911504</v>
      </c>
      <c r="O18" s="35">
        <f t="shared" si="34"/>
        <v>33900</v>
      </c>
      <c r="P18" s="35">
        <f t="shared" si="6"/>
        <v>30397</v>
      </c>
      <c r="Q18" s="91">
        <f>IF(P18&gt;0,SUM(P$7:P18)-SUM(O$7:O18),0)</f>
        <v>-36559</v>
      </c>
      <c r="R18" s="45">
        <f t="shared" si="15"/>
        <v>0.89666666666666661</v>
      </c>
      <c r="T18" s="47">
        <f t="shared" si="16"/>
        <v>40828</v>
      </c>
      <c r="U18" s="54" t="str">
        <f t="shared" si="7"/>
        <v>ter</v>
      </c>
      <c r="V18" s="75">
        <v>10600</v>
      </c>
      <c r="W18" s="75">
        <v>7190</v>
      </c>
      <c r="X18" s="92">
        <f>IF(W18&gt;0,SUM(W$7:W18)-SUM(V$7:V18),0)</f>
        <v>-8157</v>
      </c>
      <c r="Y18" s="60">
        <f t="shared" si="17"/>
        <v>0.67830188679245285</v>
      </c>
      <c r="Z18" s="75">
        <v>10600</v>
      </c>
      <c r="AA18" s="75">
        <v>8160</v>
      </c>
      <c r="AB18" s="92">
        <f>IF(AA18&gt;0,SUM(AA$7:AA18)-SUM(Z$7:Z18),0)</f>
        <v>-20934</v>
      </c>
      <c r="AC18" s="60">
        <f t="shared" si="18"/>
        <v>0.76981132075471703</v>
      </c>
      <c r="AD18" s="75">
        <v>10600</v>
      </c>
      <c r="AE18" s="75">
        <v>8628</v>
      </c>
      <c r="AF18" s="92">
        <f>IF(AE18&gt;0,SUM(AE$7:AE18)-SUM(AD$7:AD18),0)</f>
        <v>-31369</v>
      </c>
      <c r="AG18" s="60">
        <f t="shared" si="19"/>
        <v>0.81396226415094342</v>
      </c>
      <c r="AH18" s="41">
        <f t="shared" si="3"/>
        <v>31800</v>
      </c>
      <c r="AI18" s="41">
        <f t="shared" si="8"/>
        <v>23978</v>
      </c>
      <c r="AJ18" s="93">
        <f>IF(AI18&gt;0,SUM(AI$7:AI18)-SUM(AH$7:AH18),0)</f>
        <v>-60460</v>
      </c>
      <c r="AK18" s="60">
        <f t="shared" si="20"/>
        <v>0.75402515723270436</v>
      </c>
      <c r="AM18" s="47">
        <f t="shared" si="21"/>
        <v>40828</v>
      </c>
      <c r="AN18" s="54" t="str">
        <f t="shared" si="9"/>
        <v>ter</v>
      </c>
      <c r="AO18" s="75">
        <v>6600</v>
      </c>
      <c r="AP18" s="75">
        <v>10153</v>
      </c>
      <c r="AQ18" s="75">
        <f>IF(AP18&gt;0,SUM(AP$7:AP18)-SUM(AO$7:AO18),0)</f>
        <v>7410</v>
      </c>
      <c r="AR18" s="45">
        <f t="shared" si="22"/>
        <v>1.5383333333333333</v>
      </c>
      <c r="AS18" s="75">
        <v>6600</v>
      </c>
      <c r="AT18" s="75">
        <v>6682</v>
      </c>
      <c r="AU18" s="90">
        <f>IF(AT18&gt;0,SUM(AT$7:AT18)-SUM(AS$7:AS18),0)</f>
        <v>-2122</v>
      </c>
      <c r="AV18" s="45">
        <f t="shared" si="23"/>
        <v>1.0124242424242424</v>
      </c>
      <c r="AW18" s="75">
        <v>6600</v>
      </c>
      <c r="AX18" s="75">
        <v>5902</v>
      </c>
      <c r="AY18" s="90">
        <f>IF(AX18&gt;0,SUM(AX$7:AX18)-SUM(AW$7:AW18),0)</f>
        <v>-13940</v>
      </c>
      <c r="AZ18" s="45">
        <f t="shared" si="31"/>
        <v>0.89424242424242428</v>
      </c>
      <c r="BA18" s="35">
        <f t="shared" si="4"/>
        <v>19800</v>
      </c>
      <c r="BB18" s="35">
        <f t="shared" si="10"/>
        <v>22737</v>
      </c>
      <c r="BC18" s="91">
        <f>IF(BB18&gt;0,SUM(BB$7:BB18)-SUM(BA$7:BA18),0)</f>
        <v>-8652</v>
      </c>
      <c r="BD18" s="45">
        <f t="shared" si="24"/>
        <v>1.1483333333333334</v>
      </c>
      <c r="BF18" s="47">
        <f t="shared" si="25"/>
        <v>40828</v>
      </c>
      <c r="BG18" s="54" t="str">
        <f t="shared" si="11"/>
        <v>ter</v>
      </c>
      <c r="BH18" s="75">
        <v>15200</v>
      </c>
      <c r="BI18" s="75">
        <v>16523</v>
      </c>
      <c r="BJ18" s="75">
        <f>IF(BI18&gt;0,SUM(BI$7:BI18)-SUM(BH$7:BH18),0)</f>
        <v>-12804</v>
      </c>
      <c r="BK18" s="45">
        <f t="shared" si="26"/>
        <v>1.0870394736842106</v>
      </c>
      <c r="BL18" s="75">
        <v>8000</v>
      </c>
      <c r="BM18" s="75">
        <v>6217</v>
      </c>
      <c r="BN18" s="90">
        <f>IF(BM18&gt;0,SUM(BM$7:BM18)-SUM(BL$7:BL18),0)</f>
        <v>-26919</v>
      </c>
      <c r="BO18" s="45">
        <f t="shared" si="27"/>
        <v>0.77712499999999995</v>
      </c>
      <c r="BP18" s="75">
        <v>9000</v>
      </c>
      <c r="BQ18" s="75">
        <v>8482</v>
      </c>
      <c r="BR18" s="90">
        <f>IF(BQ18&gt;0,SUM(BQ$7:BQ18)-SUM(BP$7:BP18),0)</f>
        <v>-26164</v>
      </c>
      <c r="BS18" s="45">
        <f t="shared" si="32"/>
        <v>0.94244444444444442</v>
      </c>
      <c r="BT18" s="35">
        <f t="shared" si="5"/>
        <v>32200</v>
      </c>
      <c r="BU18" s="35">
        <f t="shared" si="5"/>
        <v>31222</v>
      </c>
      <c r="BV18" s="91">
        <f>IF(BU18&gt;0,SUM(BU$7:BU18)-SUM(BT$7:BT18),0)</f>
        <v>-65887</v>
      </c>
      <c r="BW18" s="45">
        <f t="shared" si="28"/>
        <v>0.96962732919254657</v>
      </c>
      <c r="BY18" s="47">
        <f t="shared" si="29"/>
        <v>40828</v>
      </c>
      <c r="BZ18" s="54" t="str">
        <f t="shared" si="12"/>
        <v>ter</v>
      </c>
      <c r="CA18" s="75">
        <v>2550</v>
      </c>
      <c r="CB18" s="75">
        <v>5990</v>
      </c>
      <c r="CC18" s="90">
        <f>IF(CB18&gt;0,SUM(CB$7:CB18)-SUM(CA$7:CA18),0)</f>
        <v>9375</v>
      </c>
      <c r="CD18" s="45">
        <f t="shared" si="30"/>
        <v>2.3490196078431373</v>
      </c>
    </row>
    <row r="19" spans="1:82" x14ac:dyDescent="0.25">
      <c r="A19" s="47">
        <f t="shared" si="13"/>
        <v>40829</v>
      </c>
      <c r="B19" s="54" t="s">
        <v>22</v>
      </c>
      <c r="C19" s="75">
        <v>11300</v>
      </c>
      <c r="D19" s="75">
        <v>9237</v>
      </c>
      <c r="E19" s="90">
        <f>IF(D19&gt;0,SUM(D$7:D19)-SUM(C$7:C19),0)</f>
        <v>-1176</v>
      </c>
      <c r="F19" s="45">
        <f t="shared" si="14"/>
        <v>0.81743362831858402</v>
      </c>
      <c r="G19" s="75">
        <v>11300</v>
      </c>
      <c r="H19" s="75">
        <v>8732</v>
      </c>
      <c r="I19" s="75">
        <f>IF(H19&gt;0,SUM(H$7:H19)-SUM(G$7:G19),0)</f>
        <v>-26586</v>
      </c>
      <c r="J19" s="45">
        <f t="shared" si="33"/>
        <v>0.7727433628318584</v>
      </c>
      <c r="K19" s="75">
        <v>11300</v>
      </c>
      <c r="L19" s="75">
        <v>7110</v>
      </c>
      <c r="M19" s="90">
        <f>IF(L19&gt;0,SUM(L$7:L19)-SUM(K$7:K19),0)</f>
        <v>-17618</v>
      </c>
      <c r="N19" s="45">
        <f t="shared" si="35"/>
        <v>0.62920353982300881</v>
      </c>
      <c r="O19" s="35">
        <f t="shared" si="34"/>
        <v>33900</v>
      </c>
      <c r="P19" s="35">
        <f t="shared" si="6"/>
        <v>25079</v>
      </c>
      <c r="Q19" s="91">
        <f>IF(P19&gt;0,SUM(P$7:P19)-SUM(O$7:O19),0)</f>
        <v>-45380</v>
      </c>
      <c r="R19" s="45">
        <f t="shared" si="15"/>
        <v>0.73979351032448382</v>
      </c>
      <c r="T19" s="47">
        <f t="shared" si="16"/>
        <v>40829</v>
      </c>
      <c r="U19" s="54" t="str">
        <f t="shared" si="7"/>
        <v>qua</v>
      </c>
      <c r="V19" s="75">
        <v>10600</v>
      </c>
      <c r="W19" s="75">
        <v>7778</v>
      </c>
      <c r="X19" s="92">
        <f>IF(W19&gt;0,SUM(W$7:W19)-SUM(V$7:V19),0)</f>
        <v>-10979</v>
      </c>
      <c r="Y19" s="60">
        <f t="shared" si="17"/>
        <v>0.73377358490566036</v>
      </c>
      <c r="Z19" s="75">
        <v>10600</v>
      </c>
      <c r="AA19" s="75">
        <v>8532</v>
      </c>
      <c r="AB19" s="92">
        <f>IF(AA19&gt;0,SUM(AA$7:AA19)-SUM(Z$7:Z19),0)</f>
        <v>-23002</v>
      </c>
      <c r="AC19" s="60">
        <f t="shared" si="18"/>
        <v>0.80490566037735845</v>
      </c>
      <c r="AD19" s="75">
        <v>10600</v>
      </c>
      <c r="AE19" s="75">
        <v>5468</v>
      </c>
      <c r="AF19" s="92">
        <f>IF(AE19&gt;0,SUM(AE$7:AE19)-SUM(AD$7:AD19),0)</f>
        <v>-36501</v>
      </c>
      <c r="AG19" s="60">
        <f t="shared" si="19"/>
        <v>0.51584905660377356</v>
      </c>
      <c r="AH19" s="41">
        <f t="shared" si="3"/>
        <v>31800</v>
      </c>
      <c r="AI19" s="41">
        <f t="shared" si="8"/>
        <v>21778</v>
      </c>
      <c r="AJ19" s="93">
        <f>IF(AI19&gt;0,SUM(AI$7:AI19)-SUM(AH$7:AH19),0)</f>
        <v>-70482</v>
      </c>
      <c r="AK19" s="60">
        <f t="shared" si="20"/>
        <v>0.68484276729559745</v>
      </c>
      <c r="AM19" s="47">
        <f t="shared" si="21"/>
        <v>40829</v>
      </c>
      <c r="AN19" s="54" t="str">
        <f t="shared" si="9"/>
        <v>qua</v>
      </c>
      <c r="AO19" s="75">
        <v>6600</v>
      </c>
      <c r="AP19" s="75">
        <v>6067</v>
      </c>
      <c r="AQ19" s="75">
        <f>IF(AP19&gt;0,SUM(AP$7:AP19)-SUM(AO$7:AO19),0)</f>
        <v>6877</v>
      </c>
      <c r="AR19" s="45">
        <f t="shared" si="22"/>
        <v>0.91924242424242419</v>
      </c>
      <c r="AS19" s="75">
        <v>6600</v>
      </c>
      <c r="AT19" s="75">
        <v>4328</v>
      </c>
      <c r="AU19" s="90">
        <f>IF(AT19&gt;0,SUM(AT$7:AT19)-SUM(AS$7:AS19),0)</f>
        <v>-4394</v>
      </c>
      <c r="AV19" s="45">
        <f t="shared" si="23"/>
        <v>0.65575757575757576</v>
      </c>
      <c r="AW19" s="75">
        <v>6600</v>
      </c>
      <c r="AX19" s="75">
        <v>3744</v>
      </c>
      <c r="AY19" s="90">
        <f>IF(AX19&gt;0,SUM(AX$7:AX19)-SUM(AW$7:AW19),0)</f>
        <v>-16796</v>
      </c>
      <c r="AZ19" s="45">
        <f t="shared" si="31"/>
        <v>0.56727272727272726</v>
      </c>
      <c r="BA19" s="35">
        <f t="shared" si="4"/>
        <v>19800</v>
      </c>
      <c r="BB19" s="35">
        <f t="shared" si="10"/>
        <v>14139</v>
      </c>
      <c r="BC19" s="91">
        <f>IF(BB19&gt;0,SUM(BB$7:BB19)-SUM(BA$7:BA19),0)</f>
        <v>-14313</v>
      </c>
      <c r="BD19" s="45">
        <f t="shared" si="24"/>
        <v>0.71409090909090911</v>
      </c>
      <c r="BF19" s="47">
        <f t="shared" si="25"/>
        <v>40829</v>
      </c>
      <c r="BG19" s="54" t="str">
        <f t="shared" si="11"/>
        <v>qua</v>
      </c>
      <c r="BH19" s="75">
        <v>15200</v>
      </c>
      <c r="BI19" s="75">
        <v>10420</v>
      </c>
      <c r="BJ19" s="75">
        <f>IF(BI19&gt;0,SUM(BI$7:BI19)-SUM(BH$7:BH19),0)</f>
        <v>-17584</v>
      </c>
      <c r="BK19" s="45">
        <f t="shared" si="26"/>
        <v>0.68552631578947365</v>
      </c>
      <c r="BL19" s="75">
        <v>8000</v>
      </c>
      <c r="BM19" s="75">
        <v>3721</v>
      </c>
      <c r="BN19" s="90">
        <f>IF(BM19&gt;0,SUM(BM$7:BM19)-SUM(BL$7:BL19),0)</f>
        <v>-31198</v>
      </c>
      <c r="BO19" s="45">
        <f t="shared" si="27"/>
        <v>0.46512500000000001</v>
      </c>
      <c r="BP19" s="75">
        <v>9000</v>
      </c>
      <c r="BQ19" s="75">
        <v>5806</v>
      </c>
      <c r="BR19" s="90">
        <f>IF(BQ19&gt;0,SUM(BQ$7:BQ19)-SUM(BP$7:BP19),0)</f>
        <v>-29358</v>
      </c>
      <c r="BS19" s="45">
        <f t="shared" si="32"/>
        <v>0.64511111111111108</v>
      </c>
      <c r="BT19" s="35">
        <f t="shared" si="5"/>
        <v>32200</v>
      </c>
      <c r="BU19" s="35">
        <f t="shared" si="5"/>
        <v>19947</v>
      </c>
      <c r="BV19" s="91">
        <f>IF(BU19&gt;0,SUM(BU$7:BU19)-SUM(BT$7:BT19),0)</f>
        <v>-78140</v>
      </c>
      <c r="BW19" s="45">
        <f t="shared" si="28"/>
        <v>0.61947204968944103</v>
      </c>
      <c r="BY19" s="47">
        <f t="shared" si="29"/>
        <v>40829</v>
      </c>
      <c r="BZ19" s="54" t="str">
        <f t="shared" si="12"/>
        <v>qua</v>
      </c>
      <c r="CA19" s="75">
        <v>2550</v>
      </c>
      <c r="CB19" s="75">
        <v>5260</v>
      </c>
      <c r="CC19" s="90">
        <f>IF(CB19&gt;0,SUM(CB$7:CB19)-SUM(CA$7:CA19),0)</f>
        <v>12085</v>
      </c>
      <c r="CD19" s="45">
        <f t="shared" si="30"/>
        <v>2.0627450980392159</v>
      </c>
    </row>
    <row r="20" spans="1:82" x14ac:dyDescent="0.25">
      <c r="A20" s="47">
        <f t="shared" si="13"/>
        <v>40830</v>
      </c>
      <c r="B20" s="54" t="s">
        <v>23</v>
      </c>
      <c r="C20" s="75">
        <v>11300</v>
      </c>
      <c r="D20" s="75">
        <v>8770</v>
      </c>
      <c r="E20" s="90">
        <f>IF(D20&gt;0,SUM(D$7:D20)-SUM(C$7:C20),0)</f>
        <v>-3706</v>
      </c>
      <c r="F20" s="45">
        <f t="shared" si="14"/>
        <v>0.77610619469026554</v>
      </c>
      <c r="G20" s="75">
        <v>11300</v>
      </c>
      <c r="H20" s="75">
        <v>6900</v>
      </c>
      <c r="I20" s="75">
        <f>IF(H20&gt;0,SUM(H$7:H20)-SUM(G$7:G20),0)</f>
        <v>-30986</v>
      </c>
      <c r="J20" s="45">
        <f t="shared" si="33"/>
        <v>0.61061946902654862</v>
      </c>
      <c r="K20" s="75">
        <v>11300</v>
      </c>
      <c r="L20" s="75">
        <v>11985</v>
      </c>
      <c r="M20" s="90">
        <f>IF(L20&gt;0,SUM(L$7:L20)-SUM(K$7:K20),0)</f>
        <v>-16933</v>
      </c>
      <c r="N20" s="45">
        <f t="shared" si="35"/>
        <v>1.0606194690265487</v>
      </c>
      <c r="O20" s="35">
        <f t="shared" si="34"/>
        <v>33900</v>
      </c>
      <c r="P20" s="35">
        <f t="shared" si="6"/>
        <v>27655</v>
      </c>
      <c r="Q20" s="91">
        <f>IF(P20&gt;0,SUM(P$7:P20)-SUM(O$7:O20),0)</f>
        <v>-51625</v>
      </c>
      <c r="R20" s="45">
        <f t="shared" si="15"/>
        <v>0.81578171091445428</v>
      </c>
      <c r="T20" s="47">
        <f t="shared" si="16"/>
        <v>40830</v>
      </c>
      <c r="U20" s="54" t="str">
        <f t="shared" si="7"/>
        <v>qui</v>
      </c>
      <c r="V20" s="75">
        <v>10600</v>
      </c>
      <c r="W20" s="75">
        <v>6270</v>
      </c>
      <c r="X20" s="92">
        <f>IF(W20&gt;0,SUM(W$7:W20)-SUM(V$7:V20),0)</f>
        <v>-15309</v>
      </c>
      <c r="Y20" s="60">
        <f t="shared" si="17"/>
        <v>0.59150943396226419</v>
      </c>
      <c r="Z20" s="75">
        <v>10600</v>
      </c>
      <c r="AA20" s="75">
        <v>4281</v>
      </c>
      <c r="AB20" s="92">
        <f>IF(AA20&gt;0,SUM(AA$7:AA20)-SUM(Z$7:Z20),0)</f>
        <v>-29321</v>
      </c>
      <c r="AC20" s="60">
        <f t="shared" si="18"/>
        <v>0.40386792452830189</v>
      </c>
      <c r="AD20" s="75">
        <v>10600</v>
      </c>
      <c r="AE20" s="75">
        <v>5764</v>
      </c>
      <c r="AF20" s="92">
        <f>IF(AE20&gt;0,SUM(AE$7:AE20)-SUM(AD$7:AD20),0)</f>
        <v>-41337</v>
      </c>
      <c r="AG20" s="60">
        <f t="shared" si="19"/>
        <v>0.54377358490566041</v>
      </c>
      <c r="AH20" s="41">
        <f t="shared" si="3"/>
        <v>31800</v>
      </c>
      <c r="AI20" s="41">
        <f t="shared" si="8"/>
        <v>16315</v>
      </c>
      <c r="AJ20" s="93">
        <f>IF(AI20&gt;0,SUM(AI$7:AI20)-SUM(AH$7:AH20),0)</f>
        <v>-85967</v>
      </c>
      <c r="AK20" s="60">
        <f t="shared" si="20"/>
        <v>0.51305031446540883</v>
      </c>
      <c r="AM20" s="47">
        <f t="shared" si="21"/>
        <v>40830</v>
      </c>
      <c r="AN20" s="54" t="str">
        <f t="shared" si="9"/>
        <v>qui</v>
      </c>
      <c r="AO20" s="75">
        <v>6600</v>
      </c>
      <c r="AP20" s="75">
        <v>3450</v>
      </c>
      <c r="AQ20" s="75">
        <f>IF(AP20&gt;0,SUM(AP$7:AP20)-SUM(AO$7:AO20),0)</f>
        <v>3727</v>
      </c>
      <c r="AR20" s="45">
        <f t="shared" si="22"/>
        <v>0.52272727272727271</v>
      </c>
      <c r="AS20" s="75">
        <v>6600</v>
      </c>
      <c r="AT20" s="75">
        <v>2146</v>
      </c>
      <c r="AU20" s="90">
        <f>IF(AT20&gt;0,SUM(AT$7:AT20)-SUM(AS$7:AS20),0)</f>
        <v>-8848</v>
      </c>
      <c r="AV20" s="45">
        <f t="shared" si="23"/>
        <v>0.32515151515151514</v>
      </c>
      <c r="AW20" s="75">
        <v>6600</v>
      </c>
      <c r="AX20" s="75">
        <v>4811</v>
      </c>
      <c r="AY20" s="90">
        <f>IF(AX20&gt;0,SUM(AX$7:AX20)-SUM(AW$7:AW20),0)</f>
        <v>-18585</v>
      </c>
      <c r="AZ20" s="45">
        <f t="shared" si="31"/>
        <v>0.72893939393939389</v>
      </c>
      <c r="BA20" s="35">
        <f t="shared" si="4"/>
        <v>19800</v>
      </c>
      <c r="BB20" s="35">
        <f t="shared" si="10"/>
        <v>10407</v>
      </c>
      <c r="BC20" s="91">
        <f>IF(BB20&gt;0,SUM(BB$7:BB20)-SUM(BA$7:BA20),0)</f>
        <v>-23706</v>
      </c>
      <c r="BD20" s="45">
        <f t="shared" si="24"/>
        <v>0.52560606060606063</v>
      </c>
      <c r="BF20" s="47">
        <f t="shared" si="25"/>
        <v>40830</v>
      </c>
      <c r="BG20" s="54" t="str">
        <f t="shared" si="11"/>
        <v>qui</v>
      </c>
      <c r="BH20" s="75">
        <v>15200</v>
      </c>
      <c r="BI20" s="75">
        <v>7630</v>
      </c>
      <c r="BJ20" s="75">
        <f>IF(BI20&gt;0,SUM(BI$7:BI20)-SUM(BH$7:BH20),0)</f>
        <v>-25154</v>
      </c>
      <c r="BK20" s="45">
        <f t="shared" si="26"/>
        <v>0.50197368421052635</v>
      </c>
      <c r="BL20" s="75">
        <v>8000</v>
      </c>
      <c r="BM20" s="75">
        <v>2778</v>
      </c>
      <c r="BN20" s="90">
        <f>IF(BM20&gt;0,SUM(BM$7:BM20)-SUM(BL$7:BL20),0)</f>
        <v>-36420</v>
      </c>
      <c r="BO20" s="45">
        <f t="shared" si="27"/>
        <v>0.34725</v>
      </c>
      <c r="BP20" s="75">
        <v>9000</v>
      </c>
      <c r="BQ20" s="75">
        <v>5818</v>
      </c>
      <c r="BR20" s="90">
        <f>IF(BQ20&gt;0,SUM(BQ$7:BQ20)-SUM(BP$7:BP20),0)</f>
        <v>-32540</v>
      </c>
      <c r="BS20" s="45">
        <f t="shared" si="32"/>
        <v>0.64644444444444449</v>
      </c>
      <c r="BT20" s="35">
        <f t="shared" si="5"/>
        <v>32200</v>
      </c>
      <c r="BU20" s="35">
        <f t="shared" si="5"/>
        <v>16226</v>
      </c>
      <c r="BV20" s="91">
        <f>IF(BU20&gt;0,SUM(BU$7:BU20)-SUM(BT$7:BT20),0)</f>
        <v>-94114</v>
      </c>
      <c r="BW20" s="45">
        <f t="shared" si="28"/>
        <v>0.50391304347826082</v>
      </c>
      <c r="BY20" s="47">
        <f t="shared" si="29"/>
        <v>40830</v>
      </c>
      <c r="BZ20" s="54" t="str">
        <f t="shared" si="12"/>
        <v>qui</v>
      </c>
      <c r="CA20" s="75">
        <v>2550</v>
      </c>
      <c r="CB20" s="75">
        <v>8183</v>
      </c>
      <c r="CC20" s="90">
        <f>IF(CB20&gt;0,SUM(CB$7:CB20)-SUM(CA$7:CA20),0)</f>
        <v>17718</v>
      </c>
      <c r="CD20" s="45">
        <f t="shared" si="30"/>
        <v>3.2090196078431372</v>
      </c>
    </row>
    <row r="21" spans="1:82" x14ac:dyDescent="0.25">
      <c r="A21" s="47">
        <f t="shared" si="13"/>
        <v>40831</v>
      </c>
      <c r="B21" s="54" t="s">
        <v>24</v>
      </c>
      <c r="C21" s="75">
        <v>11300</v>
      </c>
      <c r="D21" s="75">
        <v>8574</v>
      </c>
      <c r="E21" s="90">
        <f>IF(D21&gt;0,SUM(D$7:D21)-SUM(C$7:C21),0)</f>
        <v>-6432</v>
      </c>
      <c r="F21" s="45">
        <f t="shared" si="14"/>
        <v>0.75876106194690263</v>
      </c>
      <c r="G21" s="75">
        <v>11300</v>
      </c>
      <c r="H21" s="75">
        <v>11190</v>
      </c>
      <c r="I21" s="75">
        <f>IF(H21&gt;0,SUM(H$7:H21)-SUM(G$7:G21),0)</f>
        <v>-31096</v>
      </c>
      <c r="J21" s="45">
        <f t="shared" si="33"/>
        <v>0.99026548672566372</v>
      </c>
      <c r="K21" s="75">
        <v>11300</v>
      </c>
      <c r="L21" s="75">
        <v>7104</v>
      </c>
      <c r="M21" s="90">
        <f>IF(L21&gt;0,SUM(L$7:L21)-SUM(K$7:K21),0)</f>
        <v>-21129</v>
      </c>
      <c r="N21" s="45">
        <f t="shared" si="35"/>
        <v>0.62867256637168145</v>
      </c>
      <c r="O21" s="35">
        <f t="shared" si="34"/>
        <v>33900</v>
      </c>
      <c r="P21" s="35">
        <f t="shared" si="6"/>
        <v>26868</v>
      </c>
      <c r="Q21" s="91">
        <f>IF(P21&gt;0,SUM(P$7:P21)-SUM(O$7:O21),0)</f>
        <v>-58657</v>
      </c>
      <c r="R21" s="45">
        <f t="shared" si="15"/>
        <v>0.79256637168141597</v>
      </c>
      <c r="T21" s="47">
        <f t="shared" si="16"/>
        <v>40831</v>
      </c>
      <c r="U21" s="54" t="str">
        <f t="shared" si="7"/>
        <v>sex</v>
      </c>
      <c r="V21" s="75">
        <v>10600</v>
      </c>
      <c r="W21" s="75">
        <v>5230</v>
      </c>
      <c r="X21" s="92">
        <f>IF(W21&gt;0,SUM(W$7:W21)-SUM(V$7:V21),0)</f>
        <v>-20679</v>
      </c>
      <c r="Y21" s="60">
        <f t="shared" si="17"/>
        <v>0.49339622641509434</v>
      </c>
      <c r="Z21" s="75">
        <v>10600</v>
      </c>
      <c r="AA21" s="75">
        <v>7036</v>
      </c>
      <c r="AB21" s="92">
        <f>IF(AA21&gt;0,SUM(AA$7:AA21)-SUM(Z$7:Z21),0)</f>
        <v>-32885</v>
      </c>
      <c r="AC21" s="60">
        <f t="shared" si="18"/>
        <v>0.66377358490566041</v>
      </c>
      <c r="AD21" s="75">
        <v>10600</v>
      </c>
      <c r="AE21" s="75">
        <v>5286</v>
      </c>
      <c r="AF21" s="92">
        <f>IF(AE21&gt;0,SUM(AE$7:AE21)-SUM(AD$7:AD21),0)</f>
        <v>-46651</v>
      </c>
      <c r="AG21" s="60">
        <f t="shared" si="19"/>
        <v>0.49867924528301888</v>
      </c>
      <c r="AH21" s="41">
        <f t="shared" si="3"/>
        <v>31800</v>
      </c>
      <c r="AI21" s="41">
        <f t="shared" si="8"/>
        <v>17552</v>
      </c>
      <c r="AJ21" s="93">
        <f>IF(AI21&gt;0,SUM(AI$7:AI21)-SUM(AH$7:AH21),0)</f>
        <v>-100215</v>
      </c>
      <c r="AK21" s="60">
        <f t="shared" si="20"/>
        <v>0.55194968553459123</v>
      </c>
      <c r="AM21" s="47">
        <f t="shared" si="21"/>
        <v>40831</v>
      </c>
      <c r="AN21" s="54" t="str">
        <f t="shared" si="9"/>
        <v>sex</v>
      </c>
      <c r="AO21" s="75">
        <v>6600</v>
      </c>
      <c r="AP21" s="75">
        <v>6628</v>
      </c>
      <c r="AQ21" s="75">
        <f>IF(AP21&gt;0,SUM(AP$7:AP21)-SUM(AO$7:AO21),0)</f>
        <v>3755</v>
      </c>
      <c r="AR21" s="45">
        <f t="shared" si="22"/>
        <v>1.0042424242424242</v>
      </c>
      <c r="AS21" s="75">
        <v>6600</v>
      </c>
      <c r="AT21" s="75">
        <v>6342</v>
      </c>
      <c r="AU21" s="90">
        <f>IF(AT21&gt;0,SUM(AT$7:AT21)-SUM(AS$7:AS21),0)</f>
        <v>-9106</v>
      </c>
      <c r="AV21" s="45">
        <f t="shared" si="23"/>
        <v>0.96090909090909093</v>
      </c>
      <c r="AW21" s="75">
        <v>6600</v>
      </c>
      <c r="AX21" s="75">
        <v>5342</v>
      </c>
      <c r="AY21" s="90">
        <f>IF(AX21&gt;0,SUM(AX$7:AX21)-SUM(AW$7:AW21),0)</f>
        <v>-19843</v>
      </c>
      <c r="AZ21" s="45">
        <f t="shared" si="31"/>
        <v>0.80939393939393944</v>
      </c>
      <c r="BA21" s="35">
        <f t="shared" si="4"/>
        <v>19800</v>
      </c>
      <c r="BB21" s="35">
        <f t="shared" si="10"/>
        <v>18312</v>
      </c>
      <c r="BC21" s="91">
        <f>IF(BB21&gt;0,SUM(BB$7:BB21)-SUM(BA$7:BA21),0)</f>
        <v>-25194</v>
      </c>
      <c r="BD21" s="45">
        <f t="shared" si="24"/>
        <v>0.92484848484848481</v>
      </c>
      <c r="BF21" s="47">
        <f t="shared" si="25"/>
        <v>40831</v>
      </c>
      <c r="BG21" s="54" t="str">
        <f t="shared" si="11"/>
        <v>sex</v>
      </c>
      <c r="BH21" s="75">
        <v>15200</v>
      </c>
      <c r="BI21" s="75">
        <v>14500</v>
      </c>
      <c r="BJ21" s="75">
        <f>IF(BI21&gt;0,SUM(BI$7:BI21)-SUM(BH$7:BH21),0)</f>
        <v>-25854</v>
      </c>
      <c r="BK21" s="45">
        <f t="shared" si="26"/>
        <v>0.95394736842105265</v>
      </c>
      <c r="BL21" s="75">
        <v>8000</v>
      </c>
      <c r="BM21" s="75">
        <v>3808</v>
      </c>
      <c r="BN21" s="90">
        <f>IF(BM21&gt;0,SUM(BM$7:BM21)-SUM(BL$7:BL21),0)</f>
        <v>-40612</v>
      </c>
      <c r="BO21" s="45">
        <f t="shared" si="27"/>
        <v>0.47599999999999998</v>
      </c>
      <c r="BP21" s="75">
        <v>9000</v>
      </c>
      <c r="BQ21" s="75">
        <v>1892</v>
      </c>
      <c r="BR21" s="90">
        <f>IF(BQ21&gt;0,SUM(BQ$7:BQ21)-SUM(BP$7:BP21),0)</f>
        <v>-39648</v>
      </c>
      <c r="BS21" s="45">
        <f t="shared" si="32"/>
        <v>0.21022222222222223</v>
      </c>
      <c r="BT21" s="35">
        <f t="shared" si="5"/>
        <v>32200</v>
      </c>
      <c r="BU21" s="35">
        <f t="shared" si="5"/>
        <v>20200</v>
      </c>
      <c r="BV21" s="91">
        <f>IF(BU21&gt;0,SUM(BU$7:BU21)-SUM(BT$7:BT21),0)</f>
        <v>-106114</v>
      </c>
      <c r="BW21" s="45">
        <f t="shared" si="28"/>
        <v>0.62732919254658381</v>
      </c>
      <c r="BY21" s="47">
        <f t="shared" si="29"/>
        <v>40831</v>
      </c>
      <c r="BZ21" s="54" t="str">
        <f t="shared" si="12"/>
        <v>sex</v>
      </c>
      <c r="CA21" s="75">
        <v>2550</v>
      </c>
      <c r="CB21" s="75">
        <v>11830</v>
      </c>
      <c r="CC21" s="90">
        <f>IF(CB21&gt;0,SUM(CB$7:CB21)-SUM(CA$7:CA21),0)</f>
        <v>26998</v>
      </c>
      <c r="CD21" s="45">
        <f t="shared" si="30"/>
        <v>4.6392156862745102</v>
      </c>
    </row>
    <row r="22" spans="1:82" x14ac:dyDescent="0.25">
      <c r="A22" s="47">
        <f t="shared" si="13"/>
        <v>40832</v>
      </c>
      <c r="B22" s="54" t="s">
        <v>25</v>
      </c>
      <c r="C22" s="75">
        <v>11300</v>
      </c>
      <c r="D22" s="75">
        <v>9541</v>
      </c>
      <c r="E22" s="90">
        <f>IF(D22&gt;0,SUM(D$7:D22)-SUM(C$7:C22),0)</f>
        <v>-8191</v>
      </c>
      <c r="F22" s="45">
        <f t="shared" si="14"/>
        <v>0.84433628318584075</v>
      </c>
      <c r="G22" s="75">
        <v>11300</v>
      </c>
      <c r="H22" s="75">
        <v>9264</v>
      </c>
      <c r="I22" s="75">
        <f>IF(H22&gt;0,SUM(H$7:H22)-SUM(G$7:G22),0)</f>
        <v>-33132</v>
      </c>
      <c r="J22" s="45">
        <f t="shared" si="33"/>
        <v>0.8198230088495575</v>
      </c>
      <c r="K22" s="75">
        <v>11300</v>
      </c>
      <c r="L22" s="75">
        <v>5651</v>
      </c>
      <c r="M22" s="90">
        <f>IF(L22&gt;0,SUM(L$7:L22)-SUM(K$7:K22),0)</f>
        <v>-26778</v>
      </c>
      <c r="N22" s="45">
        <f t="shared" si="35"/>
        <v>0.50008849557522128</v>
      </c>
      <c r="O22" s="35">
        <f t="shared" si="34"/>
        <v>33900</v>
      </c>
      <c r="P22" s="35">
        <f t="shared" si="6"/>
        <v>24456</v>
      </c>
      <c r="Q22" s="91">
        <f>IF(P22&gt;0,SUM(P$7:P22)-SUM(O$7:O22),0)</f>
        <v>-68101</v>
      </c>
      <c r="R22" s="45">
        <f t="shared" si="15"/>
        <v>0.72141592920353981</v>
      </c>
      <c r="T22" s="47">
        <f t="shared" si="16"/>
        <v>40832</v>
      </c>
      <c r="U22" s="54" t="str">
        <f t="shared" si="7"/>
        <v>sáb</v>
      </c>
      <c r="V22" s="75">
        <v>10600</v>
      </c>
      <c r="W22" s="75">
        <v>19260</v>
      </c>
      <c r="X22" s="92">
        <f>IF(W22&gt;0,SUM(W$7:W22)-SUM(V$7:V22),0)</f>
        <v>-12019</v>
      </c>
      <c r="Y22" s="60">
        <f t="shared" si="17"/>
        <v>1.8169811320754716</v>
      </c>
      <c r="Z22" s="75">
        <v>10600</v>
      </c>
      <c r="AA22" s="75">
        <v>12612</v>
      </c>
      <c r="AB22" s="92">
        <f>IF(AA22&gt;0,SUM(AA$7:AA22)-SUM(Z$7:Z22),0)</f>
        <v>-30873</v>
      </c>
      <c r="AC22" s="60">
        <f t="shared" si="18"/>
        <v>1.189811320754717</v>
      </c>
      <c r="AD22" s="75">
        <v>10600</v>
      </c>
      <c r="AE22" s="75">
        <v>14093</v>
      </c>
      <c r="AF22" s="92">
        <f>IF(AE22&gt;0,SUM(AE$7:AE22)-SUM(AD$7:AD22),0)</f>
        <v>-43158</v>
      </c>
      <c r="AG22" s="60">
        <f t="shared" si="19"/>
        <v>1.3295283018867925</v>
      </c>
      <c r="AH22" s="41">
        <f t="shared" si="3"/>
        <v>31800</v>
      </c>
      <c r="AI22" s="41">
        <f t="shared" si="8"/>
        <v>45965</v>
      </c>
      <c r="AJ22" s="93">
        <f>IF(AI22&gt;0,SUM(AI$7:AI22)-SUM(AH$7:AH22),0)</f>
        <v>-86050</v>
      </c>
      <c r="AK22" s="60">
        <f t="shared" si="20"/>
        <v>1.445440251572327</v>
      </c>
      <c r="AM22" s="47">
        <f t="shared" si="21"/>
        <v>40832</v>
      </c>
      <c r="AN22" s="54" t="str">
        <f t="shared" si="9"/>
        <v>sáb</v>
      </c>
      <c r="AO22" s="75">
        <v>6600</v>
      </c>
      <c r="AP22" s="75">
        <v>9549</v>
      </c>
      <c r="AQ22" s="75">
        <f>IF(AP22&gt;0,SUM(AP$7:AP22)-SUM(AO$7:AO22),0)</f>
        <v>6704</v>
      </c>
      <c r="AR22" s="45">
        <f t="shared" si="22"/>
        <v>1.4468181818181818</v>
      </c>
      <c r="AS22" s="75">
        <v>6600</v>
      </c>
      <c r="AT22" s="75">
        <v>5479</v>
      </c>
      <c r="AU22" s="90">
        <f>IF(AT22&gt;0,SUM(AT$7:AT22)-SUM(AS$7:AS22),0)</f>
        <v>-10227</v>
      </c>
      <c r="AV22" s="45">
        <f t="shared" si="23"/>
        <v>0.8301515151515152</v>
      </c>
      <c r="AW22" s="75">
        <v>6600</v>
      </c>
      <c r="AX22" s="75">
        <v>8404</v>
      </c>
      <c r="AY22" s="90">
        <f>IF(AX22&gt;0,SUM(AX$7:AX22)-SUM(AW$7:AW22),0)</f>
        <v>-18039</v>
      </c>
      <c r="AZ22" s="45">
        <f t="shared" si="31"/>
        <v>1.2733333333333334</v>
      </c>
      <c r="BA22" s="35">
        <f t="shared" si="4"/>
        <v>19800</v>
      </c>
      <c r="BB22" s="35">
        <f t="shared" si="10"/>
        <v>23432</v>
      </c>
      <c r="BC22" s="91">
        <f>IF(BB22&gt;0,SUM(BB$7:BB22)-SUM(BA$7:BA22),0)</f>
        <v>-21562</v>
      </c>
      <c r="BD22" s="45">
        <f t="shared" si="24"/>
        <v>1.1834343434343435</v>
      </c>
      <c r="BF22" s="47">
        <f t="shared" si="25"/>
        <v>40832</v>
      </c>
      <c r="BG22" s="54" t="str">
        <f t="shared" si="11"/>
        <v>sáb</v>
      </c>
      <c r="BH22" s="75">
        <v>15200</v>
      </c>
      <c r="BI22" s="75">
        <v>15407</v>
      </c>
      <c r="BJ22" s="75">
        <f>IF(BI22&gt;0,SUM(BI$7:BI22)-SUM(BH$7:BH22),0)</f>
        <v>-25647</v>
      </c>
      <c r="BK22" s="45">
        <f t="shared" si="26"/>
        <v>1.0136184210526316</v>
      </c>
      <c r="BL22" s="75">
        <v>8000</v>
      </c>
      <c r="BM22" s="75">
        <v>7407</v>
      </c>
      <c r="BN22" s="90">
        <f>IF(BM22&gt;0,SUM(BM$7:BM22)-SUM(BL$7:BL22),0)</f>
        <v>-41205</v>
      </c>
      <c r="BO22" s="45">
        <f t="shared" si="27"/>
        <v>0.925875</v>
      </c>
      <c r="BP22" s="75">
        <v>9000</v>
      </c>
      <c r="BQ22" s="75">
        <v>1893</v>
      </c>
      <c r="BR22" s="90">
        <f>IF(BQ22&gt;0,SUM(BQ$7:BQ22)-SUM(BP$7:BP22),0)</f>
        <v>-46755</v>
      </c>
      <c r="BS22" s="45">
        <f t="shared" si="32"/>
        <v>0.21033333333333334</v>
      </c>
      <c r="BT22" s="35">
        <f t="shared" si="5"/>
        <v>32200</v>
      </c>
      <c r="BU22" s="35">
        <f t="shared" si="5"/>
        <v>24707</v>
      </c>
      <c r="BV22" s="91">
        <f>IF(BU22&gt;0,SUM(BU$7:BU22)-SUM(BT$7:BT22),0)</f>
        <v>-113607</v>
      </c>
      <c r="BW22" s="45">
        <f t="shared" si="28"/>
        <v>0.76729813664596269</v>
      </c>
      <c r="BY22" s="47">
        <f t="shared" si="29"/>
        <v>40832</v>
      </c>
      <c r="BZ22" s="54" t="str">
        <f t="shared" si="12"/>
        <v>sáb</v>
      </c>
      <c r="CA22" s="75">
        <v>2550</v>
      </c>
      <c r="CB22" s="75">
        <v>3137</v>
      </c>
      <c r="CC22" s="90">
        <f>IF(CB22&gt;0,SUM(CB$7:CB22)-SUM(CA$7:CA22),0)</f>
        <v>27585</v>
      </c>
      <c r="CD22" s="45">
        <f t="shared" si="30"/>
        <v>1.2301960784313726</v>
      </c>
    </row>
    <row r="23" spans="1:82" x14ac:dyDescent="0.25">
      <c r="A23" s="47">
        <f t="shared" si="13"/>
        <v>40833</v>
      </c>
      <c r="B23" s="54" t="s">
        <v>26</v>
      </c>
      <c r="C23" s="75"/>
      <c r="D23" s="75">
        <v>9215</v>
      </c>
      <c r="E23" s="90">
        <f>IF(D23&gt;0,SUM(D$7:D23)-SUM(C$7:C23),0)</f>
        <v>1024</v>
      </c>
      <c r="F23" s="45">
        <f t="shared" si="14"/>
        <v>0</v>
      </c>
      <c r="G23" s="75"/>
      <c r="H23" s="75"/>
      <c r="I23" s="75">
        <f>IF(H23&gt;0,SUM(H$7:H23)-SUM(G$7:G23),0)</f>
        <v>0</v>
      </c>
      <c r="J23" s="45">
        <f t="shared" si="33"/>
        <v>0</v>
      </c>
      <c r="K23" s="75"/>
      <c r="L23" s="75"/>
      <c r="M23" s="90">
        <f>IF(L23&gt;0,SUM(L$7:L23)-SUM(K$7:K23),0)</f>
        <v>0</v>
      </c>
      <c r="N23" s="45">
        <f t="shared" si="35"/>
        <v>0</v>
      </c>
      <c r="O23" s="35">
        <f t="shared" si="34"/>
        <v>0</v>
      </c>
      <c r="P23" s="35">
        <f t="shared" si="6"/>
        <v>9215</v>
      </c>
      <c r="Q23" s="91">
        <f>IF(P23&gt;0,SUM(P$7:P23)-SUM(O$7:O23),0)</f>
        <v>-58886</v>
      </c>
      <c r="R23" s="45">
        <f t="shared" si="15"/>
        <v>0</v>
      </c>
      <c r="T23" s="47">
        <f t="shared" si="16"/>
        <v>40833</v>
      </c>
      <c r="U23" s="54" t="str">
        <f t="shared" si="7"/>
        <v>dom</v>
      </c>
      <c r="V23" s="75"/>
      <c r="W23" s="75"/>
      <c r="X23" s="92">
        <f>IF(W23&gt;0,SUM(W$7:W23)-SUM(V$7:V23),0)</f>
        <v>0</v>
      </c>
      <c r="Y23" s="60">
        <f t="shared" si="17"/>
        <v>0</v>
      </c>
      <c r="Z23" s="75"/>
      <c r="AA23" s="75"/>
      <c r="AB23" s="92">
        <f>IF(AA23&gt;0,SUM(AA$7:AA23)-SUM(Z$7:Z23),0)</f>
        <v>0</v>
      </c>
      <c r="AC23" s="60">
        <f t="shared" si="18"/>
        <v>0</v>
      </c>
      <c r="AD23" s="75"/>
      <c r="AE23" s="75"/>
      <c r="AF23" s="92">
        <f>IF(AE23&gt;0,SUM(AE$7:AE23)-SUM(AD$7:AD23),0)</f>
        <v>0</v>
      </c>
      <c r="AG23" s="60">
        <f t="shared" si="19"/>
        <v>0</v>
      </c>
      <c r="AH23" s="41">
        <f t="shared" si="3"/>
        <v>0</v>
      </c>
      <c r="AI23" s="41">
        <f t="shared" si="8"/>
        <v>0</v>
      </c>
      <c r="AJ23" s="93">
        <f>IF(AI23&gt;0,SUM(AI$7:AI23)-SUM(AH$7:AH23),0)</f>
        <v>0</v>
      </c>
      <c r="AK23" s="60">
        <f t="shared" si="20"/>
        <v>0</v>
      </c>
      <c r="AM23" s="47">
        <f t="shared" si="21"/>
        <v>40833</v>
      </c>
      <c r="AN23" s="54" t="str">
        <f t="shared" si="9"/>
        <v>dom</v>
      </c>
      <c r="AO23" s="75"/>
      <c r="AP23" s="75"/>
      <c r="AQ23" s="75">
        <f>IF(AP23&gt;0,SUM(AP$7:AP23)-SUM(AO$7:AO22),0)</f>
        <v>0</v>
      </c>
      <c r="AR23" s="45">
        <f>IF(AP23&gt;0,IF(AO18&gt;0,AP23/AO18,0),0)</f>
        <v>0</v>
      </c>
      <c r="AS23" s="75"/>
      <c r="AT23" s="75"/>
      <c r="AU23" s="90">
        <f>IF(AT23&gt;0,SUM(AT$7:AT23)-SUM(AS$7:AS23),0)</f>
        <v>0</v>
      </c>
      <c r="AV23" s="45">
        <f t="shared" si="23"/>
        <v>0</v>
      </c>
      <c r="AW23" s="75"/>
      <c r="AX23" s="75"/>
      <c r="AY23" s="90">
        <f>IF(AX23&gt;0,SUM(AX$7:AX23)-SUM(AW$7:AW23),0)</f>
        <v>0</v>
      </c>
      <c r="AZ23" s="45">
        <f t="shared" si="31"/>
        <v>0</v>
      </c>
      <c r="BA23" s="35">
        <f t="shared" si="4"/>
        <v>0</v>
      </c>
      <c r="BB23" s="35">
        <f t="shared" si="10"/>
        <v>0</v>
      </c>
      <c r="BC23" s="91">
        <f>IF(BB23&gt;0,SUM(BB$7:BB23)-SUM(BA$7:BA23),0)</f>
        <v>0</v>
      </c>
      <c r="BD23" s="45">
        <f t="shared" si="24"/>
        <v>0</v>
      </c>
      <c r="BF23" s="47">
        <f t="shared" si="25"/>
        <v>40833</v>
      </c>
      <c r="BG23" s="54" t="str">
        <f t="shared" si="11"/>
        <v>dom</v>
      </c>
      <c r="BH23" s="75"/>
      <c r="BI23" s="75"/>
      <c r="BJ23" s="75">
        <f>IF(BI23&gt;0,SUM(BI$7:BI23)-SUM(BH$7:BH23),0)</f>
        <v>0</v>
      </c>
      <c r="BK23" s="45">
        <f t="shared" si="26"/>
        <v>0</v>
      </c>
      <c r="BL23" s="75"/>
      <c r="BM23" s="75"/>
      <c r="BN23" s="90">
        <f>IF(BM23&gt;0,SUM(BM$7:BM23)-SUM(BL$7:BL23),0)</f>
        <v>0</v>
      </c>
      <c r="BO23" s="45">
        <f t="shared" si="27"/>
        <v>0</v>
      </c>
      <c r="BP23" s="75"/>
      <c r="BQ23" s="75"/>
      <c r="BR23" s="90">
        <f>IF(BQ23&gt;0,SUM(BQ$7:BQ23)-SUM(BP$7:BP23),0)</f>
        <v>0</v>
      </c>
      <c r="BS23" s="45">
        <f t="shared" si="32"/>
        <v>0</v>
      </c>
      <c r="BT23" s="35">
        <f t="shared" si="5"/>
        <v>0</v>
      </c>
      <c r="BU23" s="35">
        <f t="shared" si="5"/>
        <v>0</v>
      </c>
      <c r="BV23" s="91">
        <f>IF(BU23&gt;0,SUM(BU$7:BU23)-SUM(BT$7:BT23),0)</f>
        <v>0</v>
      </c>
      <c r="BW23" s="45">
        <f t="shared" si="28"/>
        <v>0</v>
      </c>
      <c r="BY23" s="47">
        <f t="shared" si="29"/>
        <v>40833</v>
      </c>
      <c r="BZ23" s="54" t="str">
        <f t="shared" si="12"/>
        <v>dom</v>
      </c>
      <c r="CA23" s="75"/>
      <c r="CB23" s="75"/>
      <c r="CC23" s="90">
        <f>IF(CB23&gt;0,SUM(CB$7:CB23)-SUM(CA$7:CA23),0)</f>
        <v>0</v>
      </c>
      <c r="CD23" s="45">
        <f t="shared" si="30"/>
        <v>0</v>
      </c>
    </row>
    <row r="24" spans="1:82" x14ac:dyDescent="0.25">
      <c r="A24" s="47">
        <f t="shared" si="13"/>
        <v>40834</v>
      </c>
      <c r="B24" s="54" t="s">
        <v>27</v>
      </c>
      <c r="C24" s="75">
        <v>11300</v>
      </c>
      <c r="D24" s="75">
        <v>11063</v>
      </c>
      <c r="E24" s="90">
        <f>IF(D24&gt;0,SUM(D$7:D24)-SUM(C$7:C24),0)</f>
        <v>787</v>
      </c>
      <c r="F24" s="45">
        <f t="shared" si="14"/>
        <v>0.97902654867256633</v>
      </c>
      <c r="G24" s="75">
        <v>11300</v>
      </c>
      <c r="H24" s="75">
        <v>10184</v>
      </c>
      <c r="I24" s="75">
        <f>IF(H24&gt;0,SUM(H$7:H24)-SUM(G$7:G24),0)</f>
        <v>-34248</v>
      </c>
      <c r="J24" s="45">
        <f t="shared" si="33"/>
        <v>0.90123893805309729</v>
      </c>
      <c r="K24" s="75">
        <v>11300</v>
      </c>
      <c r="L24" s="75">
        <v>10294</v>
      </c>
      <c r="M24" s="90">
        <f>IF(L24&gt;0,SUM(L$7:L24)-SUM(K$7:K24),0)</f>
        <v>-27784</v>
      </c>
      <c r="N24" s="45">
        <f t="shared" si="35"/>
        <v>0.91097345132743368</v>
      </c>
      <c r="O24" s="35">
        <f t="shared" si="34"/>
        <v>33900</v>
      </c>
      <c r="P24" s="35">
        <f t="shared" si="6"/>
        <v>31541</v>
      </c>
      <c r="Q24" s="91">
        <f>IF(P24&gt;0,SUM(P$7:P24)-SUM(O$7:O24),0)</f>
        <v>-61245</v>
      </c>
      <c r="R24" s="45">
        <f t="shared" si="15"/>
        <v>0.9304129793510324</v>
      </c>
      <c r="T24" s="47">
        <f t="shared" si="16"/>
        <v>40834</v>
      </c>
      <c r="U24" s="54" t="str">
        <f t="shared" si="7"/>
        <v>seg</v>
      </c>
      <c r="V24" s="75">
        <v>10600</v>
      </c>
      <c r="W24" s="75">
        <v>12874</v>
      </c>
      <c r="X24" s="92">
        <f>IF(W24&gt;0,SUM(W$7:W24)-SUM(V$7:V24),0)</f>
        <v>-9745</v>
      </c>
      <c r="Y24" s="60">
        <f t="shared" si="17"/>
        <v>1.2145283018867925</v>
      </c>
      <c r="Z24" s="75">
        <v>10600</v>
      </c>
      <c r="AA24" s="75">
        <v>9549</v>
      </c>
      <c r="AB24" s="92">
        <f>IF(AA24&gt;0,SUM(AA$7:AA24)-SUM(Z$7:Z24),0)</f>
        <v>-31924</v>
      </c>
      <c r="AC24" s="60">
        <f t="shared" si="18"/>
        <v>0.90084905660377357</v>
      </c>
      <c r="AD24" s="75">
        <v>10600</v>
      </c>
      <c r="AE24" s="75">
        <v>5880</v>
      </c>
      <c r="AF24" s="92">
        <f>IF(AE24&gt;0,SUM(AE$7:AE24)-SUM(AD$7:AD24),0)</f>
        <v>-47878</v>
      </c>
      <c r="AG24" s="60">
        <f t="shared" si="19"/>
        <v>0.55471698113207546</v>
      </c>
      <c r="AH24" s="41">
        <f t="shared" si="3"/>
        <v>31800</v>
      </c>
      <c r="AI24" s="41">
        <f t="shared" si="8"/>
        <v>28303</v>
      </c>
      <c r="AJ24" s="93">
        <f>IF(AI24&gt;0,SUM(AI$7:AI24)-SUM(AH$7:AH24),0)</f>
        <v>-89547</v>
      </c>
      <c r="AK24" s="60">
        <f t="shared" si="20"/>
        <v>0.89003144654088051</v>
      </c>
      <c r="AM24" s="47">
        <f t="shared" si="21"/>
        <v>40834</v>
      </c>
      <c r="AN24" s="54" t="str">
        <f t="shared" si="9"/>
        <v>seg</v>
      </c>
      <c r="AO24" s="75">
        <v>6600</v>
      </c>
      <c r="AP24" s="75">
        <v>7511</v>
      </c>
      <c r="AQ24" s="75">
        <f>IF(AP24&gt;0,SUM(AP$7:AP24)-SUM(AO$7:AO24),0)</f>
        <v>7615</v>
      </c>
      <c r="AR24" s="45">
        <f t="shared" si="22"/>
        <v>1.1380303030303029</v>
      </c>
      <c r="AS24" s="75">
        <v>6600</v>
      </c>
      <c r="AT24" s="75">
        <v>6488</v>
      </c>
      <c r="AU24" s="90">
        <f>IF(AT24&gt;0,SUM(AT$7:AT24)-SUM(AS$7:AS24),0)</f>
        <v>-10339</v>
      </c>
      <c r="AV24" s="45">
        <f t="shared" si="23"/>
        <v>0.98303030303030303</v>
      </c>
      <c r="AW24" s="75">
        <v>6600</v>
      </c>
      <c r="AX24" s="75">
        <v>7483</v>
      </c>
      <c r="AY24" s="90">
        <f>IF(AX24&gt;0,SUM(AX$7:AX24)-SUM(AW$7:AW24),0)</f>
        <v>-17156</v>
      </c>
      <c r="AZ24" s="45">
        <f t="shared" si="31"/>
        <v>1.1337878787878788</v>
      </c>
      <c r="BA24" s="35">
        <f t="shared" si="4"/>
        <v>19800</v>
      </c>
      <c r="BB24" s="35">
        <f t="shared" si="10"/>
        <v>21482</v>
      </c>
      <c r="BC24" s="91">
        <f>IF(BB24&gt;0,SUM(BB$7:BB24)-SUM(BA$7:BA24),0)</f>
        <v>-19880</v>
      </c>
      <c r="BD24" s="45">
        <f t="shared" si="24"/>
        <v>1.0849494949494949</v>
      </c>
      <c r="BF24" s="47">
        <f t="shared" si="25"/>
        <v>40834</v>
      </c>
      <c r="BG24" s="54" t="str">
        <f t="shared" si="11"/>
        <v>seg</v>
      </c>
      <c r="BH24" s="75">
        <v>15200</v>
      </c>
      <c r="BI24" s="75">
        <v>13736</v>
      </c>
      <c r="BJ24" s="75">
        <f>IF(BI24&gt;0,SUM(BI$7:BI24)-SUM(BH$7:BH24),0)</f>
        <v>-27111</v>
      </c>
      <c r="BK24" s="45">
        <f t="shared" si="26"/>
        <v>0.90368421052631576</v>
      </c>
      <c r="BL24" s="75">
        <v>8000</v>
      </c>
      <c r="BM24" s="75">
        <v>7750</v>
      </c>
      <c r="BN24" s="90">
        <f>IF(BM24&gt;0,SUM(BM$7:BM24)-SUM(BL$7:BL24),0)</f>
        <v>-41455</v>
      </c>
      <c r="BO24" s="45">
        <f t="shared" si="27"/>
        <v>0.96875</v>
      </c>
      <c r="BP24" s="75">
        <v>9000</v>
      </c>
      <c r="BQ24" s="75">
        <v>4466</v>
      </c>
      <c r="BR24" s="90">
        <f>IF(BQ24&gt;0,SUM(BQ$7:BQ24)-SUM(BP$7:BP24),0)</f>
        <v>-51289</v>
      </c>
      <c r="BS24" s="45">
        <f t="shared" si="32"/>
        <v>0.49622222222222223</v>
      </c>
      <c r="BT24" s="35">
        <f t="shared" si="5"/>
        <v>32200</v>
      </c>
      <c r="BU24" s="35">
        <f t="shared" si="5"/>
        <v>25952</v>
      </c>
      <c r="BV24" s="91">
        <f>IF(BU24&gt;0,SUM(BU$7:BU24)-SUM(BT$7:BT24),0)</f>
        <v>-119855</v>
      </c>
      <c r="BW24" s="45">
        <f t="shared" si="28"/>
        <v>0.80596273291925469</v>
      </c>
      <c r="BY24" s="47">
        <f t="shared" si="29"/>
        <v>40834</v>
      </c>
      <c r="BZ24" s="54" t="str">
        <f t="shared" si="12"/>
        <v>seg</v>
      </c>
      <c r="CA24" s="75">
        <v>2550</v>
      </c>
      <c r="CB24" s="75">
        <v>2986</v>
      </c>
      <c r="CC24" s="90">
        <f>IF(CB24&gt;0,SUM(CB$7:CB24)-SUM(CA$7:CA24),0)</f>
        <v>28021</v>
      </c>
      <c r="CD24" s="45">
        <f t="shared" si="30"/>
        <v>1.1709803921568627</v>
      </c>
    </row>
    <row r="25" spans="1:82" x14ac:dyDescent="0.25">
      <c r="A25" s="47">
        <f t="shared" si="13"/>
        <v>40835</v>
      </c>
      <c r="B25" s="54" t="s">
        <v>28</v>
      </c>
      <c r="C25" s="75">
        <v>11300</v>
      </c>
      <c r="D25" s="75">
        <v>12321</v>
      </c>
      <c r="E25" s="90">
        <f>IF(D25&gt;0,SUM(D$7:D25)-SUM(C$7:C25),0)</f>
        <v>1808</v>
      </c>
      <c r="F25" s="45">
        <f t="shared" si="14"/>
        <v>1.090353982300885</v>
      </c>
      <c r="G25" s="75">
        <v>11300</v>
      </c>
      <c r="H25" s="75">
        <v>9704</v>
      </c>
      <c r="I25" s="75">
        <f>IF(H25&gt;0,SUM(H$7:H25)-SUM(G$7:G25),0)</f>
        <v>-35844</v>
      </c>
      <c r="J25" s="45">
        <f t="shared" si="33"/>
        <v>0.8587610619469026</v>
      </c>
      <c r="K25" s="75">
        <v>11300</v>
      </c>
      <c r="L25" s="75">
        <v>7861</v>
      </c>
      <c r="M25" s="90">
        <f>IF(L25&gt;0,SUM(L$7:L25)-SUM(K$7:K25),0)</f>
        <v>-31223</v>
      </c>
      <c r="N25" s="45">
        <f t="shared" si="35"/>
        <v>0.69566371681415928</v>
      </c>
      <c r="O25" s="35">
        <f t="shared" si="34"/>
        <v>33900</v>
      </c>
      <c r="P25" s="35">
        <f t="shared" si="6"/>
        <v>29886</v>
      </c>
      <c r="Q25" s="91">
        <f>IF(P25&gt;0,SUM(P$7:P25)-SUM(O$7:O25),0)</f>
        <v>-65259</v>
      </c>
      <c r="R25" s="45">
        <f t="shared" si="15"/>
        <v>0.88159292035398229</v>
      </c>
      <c r="T25" s="47">
        <f t="shared" si="16"/>
        <v>40835</v>
      </c>
      <c r="U25" s="54" t="str">
        <f t="shared" si="7"/>
        <v>ter</v>
      </c>
      <c r="V25" s="75">
        <v>10600</v>
      </c>
      <c r="W25" s="75">
        <v>7403</v>
      </c>
      <c r="X25" s="92">
        <f>IF(W25&gt;0,SUM(W$7:W25)-SUM(V$7:V25),0)</f>
        <v>-12942</v>
      </c>
      <c r="Y25" s="60">
        <f t="shared" si="17"/>
        <v>0.69839622641509436</v>
      </c>
      <c r="Z25" s="75">
        <v>10600</v>
      </c>
      <c r="AA25" s="75">
        <v>7032</v>
      </c>
      <c r="AB25" s="92">
        <f>IF(AA25&gt;0,SUM(AA$7:AA25)-SUM(Z$7:Z25),0)</f>
        <v>-35492</v>
      </c>
      <c r="AC25" s="60">
        <f t="shared" si="18"/>
        <v>0.66339622641509433</v>
      </c>
      <c r="AD25" s="75">
        <v>10600</v>
      </c>
      <c r="AE25" s="75">
        <v>6184</v>
      </c>
      <c r="AF25" s="92">
        <f>IF(AE25&gt;0,SUM(AE$7:AE25)-SUM(AD$7:AD25),0)</f>
        <v>-52294</v>
      </c>
      <c r="AG25" s="60">
        <f t="shared" si="19"/>
        <v>0.58339622641509437</v>
      </c>
      <c r="AH25" s="41">
        <f t="shared" si="3"/>
        <v>31800</v>
      </c>
      <c r="AI25" s="41">
        <f t="shared" si="8"/>
        <v>20619</v>
      </c>
      <c r="AJ25" s="93">
        <f>IF(AI25&gt;0,SUM(AI$7:AI25)-SUM(AH$7:AH25),0)</f>
        <v>-100728</v>
      </c>
      <c r="AK25" s="60">
        <f t="shared" si="20"/>
        <v>0.64839622641509431</v>
      </c>
      <c r="AM25" s="47">
        <f t="shared" si="21"/>
        <v>40835</v>
      </c>
      <c r="AN25" s="54" t="str">
        <f t="shared" si="9"/>
        <v>ter</v>
      </c>
      <c r="AO25" s="75">
        <v>6600</v>
      </c>
      <c r="AP25" s="75">
        <v>7669</v>
      </c>
      <c r="AQ25" s="75">
        <f>IF(AP25&gt;0,SUM(AP$7:AP25)-SUM(AO$7:AO25),0)</f>
        <v>8684</v>
      </c>
      <c r="AR25" s="45">
        <f t="shared" si="22"/>
        <v>1.1619696969696969</v>
      </c>
      <c r="AS25" s="75">
        <v>6600</v>
      </c>
      <c r="AT25" s="75">
        <v>7761</v>
      </c>
      <c r="AU25" s="90">
        <f>IF(AT25&gt;0,SUM(AT$7:AT25)-SUM(AS$7:AS25),0)</f>
        <v>-9178</v>
      </c>
      <c r="AV25" s="45">
        <f t="shared" si="23"/>
        <v>1.175909090909091</v>
      </c>
      <c r="AW25" s="75">
        <v>6600</v>
      </c>
      <c r="AX25" s="75">
        <v>5910</v>
      </c>
      <c r="AY25" s="90">
        <f>IF(AX25&gt;0,SUM(AX$7:AX25)-SUM(AW$7:AW25),0)</f>
        <v>-17846</v>
      </c>
      <c r="AZ25" s="45">
        <f t="shared" si="31"/>
        <v>0.8954545454545455</v>
      </c>
      <c r="BA25" s="35">
        <f t="shared" si="4"/>
        <v>19800</v>
      </c>
      <c r="BB25" s="35">
        <f t="shared" si="10"/>
        <v>21340</v>
      </c>
      <c r="BC25" s="91">
        <f>IF(BB25&gt;0,SUM(BB$7:BB25)-SUM(BA$7:BA25),0)</f>
        <v>-18340</v>
      </c>
      <c r="BD25" s="45">
        <f t="shared" si="24"/>
        <v>1.0777777777777777</v>
      </c>
      <c r="BF25" s="47">
        <f t="shared" si="25"/>
        <v>40835</v>
      </c>
      <c r="BG25" s="54" t="str">
        <f t="shared" si="11"/>
        <v>ter</v>
      </c>
      <c r="BH25" s="75">
        <v>15200</v>
      </c>
      <c r="BI25" s="75">
        <v>13926</v>
      </c>
      <c r="BJ25" s="75">
        <f>IF(BI25&gt;0,SUM(BI$7:BI25)-SUM(BH$7:BH25),0)</f>
        <v>-28385</v>
      </c>
      <c r="BK25" s="45">
        <f t="shared" si="26"/>
        <v>0.91618421052631582</v>
      </c>
      <c r="BL25" s="75">
        <v>8000</v>
      </c>
      <c r="BM25" s="75">
        <v>7716</v>
      </c>
      <c r="BN25" s="90">
        <f>IF(BM25&gt;0,SUM(BM$7:BM25)-SUM(BL$7:BL25),0)</f>
        <v>-41739</v>
      </c>
      <c r="BO25" s="45">
        <f t="shared" si="27"/>
        <v>0.96450000000000002</v>
      </c>
      <c r="BP25" s="75">
        <v>9000</v>
      </c>
      <c r="BQ25" s="75">
        <v>7340</v>
      </c>
      <c r="BR25" s="90">
        <f>IF(BQ25&gt;0,SUM(BQ$7:BQ25)-SUM(BP$7:BP25),0)</f>
        <v>-52949</v>
      </c>
      <c r="BS25" s="45">
        <f t="shared" si="32"/>
        <v>0.81555555555555559</v>
      </c>
      <c r="BT25" s="35">
        <f t="shared" si="5"/>
        <v>32200</v>
      </c>
      <c r="BU25" s="35">
        <f t="shared" si="5"/>
        <v>28982</v>
      </c>
      <c r="BV25" s="91">
        <f>IF(BU25&gt;0,SUM(BU$7:BU25)-SUM(BT$7:BT25),0)</f>
        <v>-123073</v>
      </c>
      <c r="BW25" s="45">
        <f t="shared" si="28"/>
        <v>0.90006211180124218</v>
      </c>
      <c r="BY25" s="47">
        <f t="shared" si="29"/>
        <v>40835</v>
      </c>
      <c r="BZ25" s="54" t="str">
        <f t="shared" si="12"/>
        <v>ter</v>
      </c>
      <c r="CA25" s="75">
        <v>2550</v>
      </c>
      <c r="CB25" s="75">
        <v>5933</v>
      </c>
      <c r="CC25" s="90">
        <f>IF(CB25&gt;0,SUM(CB$7:CB25)-SUM(CA$7:CA25),0)</f>
        <v>31404</v>
      </c>
      <c r="CD25" s="45">
        <f t="shared" si="30"/>
        <v>2.3266666666666667</v>
      </c>
    </row>
    <row r="26" spans="1:82" x14ac:dyDescent="0.25">
      <c r="A26" s="47">
        <f t="shared" si="13"/>
        <v>40836</v>
      </c>
      <c r="B26" s="54" t="s">
        <v>22</v>
      </c>
      <c r="C26" s="75">
        <v>11300</v>
      </c>
      <c r="D26" s="75">
        <v>8153</v>
      </c>
      <c r="E26" s="90">
        <f>IF(D26&gt;0,SUM(D$7:D26)-SUM(C$7:C26),0)</f>
        <v>-1339</v>
      </c>
      <c r="F26" s="45">
        <f t="shared" si="14"/>
        <v>0.72150442477876109</v>
      </c>
      <c r="G26" s="75">
        <v>11300</v>
      </c>
      <c r="H26" s="75">
        <v>9971</v>
      </c>
      <c r="I26" s="75">
        <f>IF(H26&gt;0,SUM(H$7:H26)-SUM(G$7:G26),0)</f>
        <v>-37173</v>
      </c>
      <c r="J26" s="45">
        <f t="shared" si="33"/>
        <v>0.88238938053097349</v>
      </c>
      <c r="K26" s="75">
        <v>11300</v>
      </c>
      <c r="L26" s="75">
        <v>9928</v>
      </c>
      <c r="M26" s="90">
        <f>IF(L26&gt;0,SUM(L$7:L26)-SUM(K$7:K26),0)</f>
        <v>-32595</v>
      </c>
      <c r="N26" s="45">
        <f t="shared" si="35"/>
        <v>0.87858407079646017</v>
      </c>
      <c r="O26" s="35">
        <f t="shared" si="34"/>
        <v>33900</v>
      </c>
      <c r="P26" s="35">
        <f t="shared" si="6"/>
        <v>28052</v>
      </c>
      <c r="Q26" s="91">
        <f>IF(P26&gt;0,SUM(P$7:P26)-SUM(O$7:O26),0)</f>
        <v>-71107</v>
      </c>
      <c r="R26" s="45">
        <f t="shared" si="15"/>
        <v>0.82749262536873158</v>
      </c>
      <c r="T26" s="47">
        <f t="shared" si="16"/>
        <v>40836</v>
      </c>
      <c r="U26" s="54" t="str">
        <f t="shared" si="7"/>
        <v>qua</v>
      </c>
      <c r="V26" s="75">
        <v>10600</v>
      </c>
      <c r="W26" s="75">
        <v>5423</v>
      </c>
      <c r="X26" s="92">
        <f>IF(W26&gt;0,SUM(W$7:W26)-SUM(V$7:V26),0)</f>
        <v>-18119</v>
      </c>
      <c r="Y26" s="60">
        <f t="shared" si="17"/>
        <v>0.51160377358490561</v>
      </c>
      <c r="Z26" s="75">
        <v>10600</v>
      </c>
      <c r="AA26" s="75">
        <v>5285</v>
      </c>
      <c r="AB26" s="92">
        <f>IF(AA26&gt;0,SUM(AA$7:AA26)-SUM(Z$7:Z26),0)</f>
        <v>-40807</v>
      </c>
      <c r="AC26" s="60">
        <f t="shared" si="18"/>
        <v>0.49858490566037733</v>
      </c>
      <c r="AD26" s="75">
        <v>10600</v>
      </c>
      <c r="AE26" s="75">
        <v>7982</v>
      </c>
      <c r="AF26" s="92">
        <f>IF(AE26&gt;0,SUM(AE$7:AE26)-SUM(AD$7:AD26),0)</f>
        <v>-54912</v>
      </c>
      <c r="AG26" s="60">
        <f t="shared" si="19"/>
        <v>0.75301886792452832</v>
      </c>
      <c r="AH26" s="41">
        <f t="shared" si="3"/>
        <v>31800</v>
      </c>
      <c r="AI26" s="41">
        <f t="shared" si="8"/>
        <v>18690</v>
      </c>
      <c r="AJ26" s="93">
        <f>IF(AI26&gt;0,SUM(AI$7:AI26)-SUM(AH$7:AH26),0)</f>
        <v>-113838</v>
      </c>
      <c r="AK26" s="60">
        <f t="shared" si="20"/>
        <v>0.58773584905660381</v>
      </c>
      <c r="AM26" s="47">
        <f t="shared" si="21"/>
        <v>40836</v>
      </c>
      <c r="AN26" s="54" t="str">
        <f t="shared" si="9"/>
        <v>qua</v>
      </c>
      <c r="AO26" s="75">
        <v>6600</v>
      </c>
      <c r="AP26" s="75">
        <v>9067</v>
      </c>
      <c r="AQ26" s="75">
        <f>IF(AP26&gt;0,SUM(AP$7:AP26)-SUM(AO$7:AO26),0)</f>
        <v>11151</v>
      </c>
      <c r="AR26" s="45">
        <f t="shared" si="22"/>
        <v>1.3737878787878788</v>
      </c>
      <c r="AS26" s="75">
        <v>6600</v>
      </c>
      <c r="AT26" s="75">
        <v>6206</v>
      </c>
      <c r="AU26" s="90">
        <f>IF(AT26&gt;0,SUM(AT$7:AT26)-SUM(AS$7:AS26),0)</f>
        <v>-9572</v>
      </c>
      <c r="AV26" s="45">
        <f t="shared" si="23"/>
        <v>0.94030303030303031</v>
      </c>
      <c r="AW26" s="75">
        <v>6600</v>
      </c>
      <c r="AX26" s="75">
        <v>6598</v>
      </c>
      <c r="AY26" s="90">
        <f>IF(AX26&gt;0,SUM(AX$7:AX26)-SUM(AW$7:AW26),0)</f>
        <v>-17848</v>
      </c>
      <c r="AZ26" s="45">
        <f t="shared" si="31"/>
        <v>0.99969696969696975</v>
      </c>
      <c r="BA26" s="35">
        <f t="shared" si="4"/>
        <v>19800</v>
      </c>
      <c r="BB26" s="35">
        <f t="shared" si="10"/>
        <v>21871</v>
      </c>
      <c r="BC26" s="91">
        <f>IF(BB26&gt;0,SUM(BB$7:BB26)-SUM(BA$7:BA26),0)</f>
        <v>-16269</v>
      </c>
      <c r="BD26" s="45">
        <f t="shared" si="24"/>
        <v>1.1045959595959596</v>
      </c>
      <c r="BF26" s="47">
        <f t="shared" si="25"/>
        <v>40836</v>
      </c>
      <c r="BG26" s="54" t="str">
        <f t="shared" si="11"/>
        <v>qua</v>
      </c>
      <c r="BH26" s="75">
        <v>15200</v>
      </c>
      <c r="BI26" s="75">
        <v>13925</v>
      </c>
      <c r="BJ26" s="75">
        <f>IF(BI26&gt;0,SUM(BI$7:BI26)-SUM(BH$7:BH26),0)</f>
        <v>-29660</v>
      </c>
      <c r="BK26" s="45">
        <f t="shared" si="26"/>
        <v>0.91611842105263153</v>
      </c>
      <c r="BL26" s="75">
        <v>8000</v>
      </c>
      <c r="BM26" s="75">
        <v>7948</v>
      </c>
      <c r="BN26" s="90">
        <f>IF(BM26&gt;0,SUM(BM$7:BM26)-SUM(BL$7:BL26),0)</f>
        <v>-41791</v>
      </c>
      <c r="BO26" s="45">
        <f t="shared" si="27"/>
        <v>0.99350000000000005</v>
      </c>
      <c r="BP26" s="75">
        <v>9000</v>
      </c>
      <c r="BQ26" s="75">
        <v>5911</v>
      </c>
      <c r="BR26" s="90">
        <f>IF(BQ26&gt;0,SUM(BQ$7:BQ26)-SUM(BP$7:BP26),0)</f>
        <v>-56038</v>
      </c>
      <c r="BS26" s="45">
        <f t="shared" si="32"/>
        <v>0.65677777777777779</v>
      </c>
      <c r="BT26" s="35">
        <f t="shared" si="5"/>
        <v>32200</v>
      </c>
      <c r="BU26" s="35">
        <f t="shared" si="5"/>
        <v>27784</v>
      </c>
      <c r="BV26" s="91">
        <f>IF(BU26&gt;0,SUM(BU$7:BU26)-SUM(BT$7:BT26),0)</f>
        <v>-127489</v>
      </c>
      <c r="BW26" s="45">
        <f t="shared" si="28"/>
        <v>0.86285714285714288</v>
      </c>
      <c r="BY26" s="47">
        <f t="shared" si="29"/>
        <v>40836</v>
      </c>
      <c r="BZ26" s="54" t="str">
        <f t="shared" si="12"/>
        <v>qua</v>
      </c>
      <c r="CA26" s="75">
        <v>2550</v>
      </c>
      <c r="CB26" s="75">
        <v>2458</v>
      </c>
      <c r="CC26" s="90">
        <f>IF(CB26&gt;0,SUM(CB$7:CB26)-SUM(CA$7:CA26),0)</f>
        <v>31312</v>
      </c>
      <c r="CD26" s="45">
        <f t="shared" si="30"/>
        <v>0.96392156862745093</v>
      </c>
    </row>
    <row r="27" spans="1:82" x14ac:dyDescent="0.25">
      <c r="A27" s="47">
        <f t="shared" si="13"/>
        <v>40837</v>
      </c>
      <c r="B27" s="54" t="s">
        <v>23</v>
      </c>
      <c r="C27" s="75">
        <v>11300</v>
      </c>
      <c r="D27" s="75">
        <v>8636</v>
      </c>
      <c r="E27" s="90">
        <f>IF(D27&gt;0,SUM(D$7:D27)-SUM(C$7:C27),0)</f>
        <v>-4003</v>
      </c>
      <c r="F27" s="45">
        <f t="shared" si="14"/>
        <v>0.76424778761061951</v>
      </c>
      <c r="G27" s="75">
        <v>11300</v>
      </c>
      <c r="H27" s="75">
        <v>6248</v>
      </c>
      <c r="I27" s="75">
        <f>IF(H27&gt;0,SUM(H$7:H27)-SUM(G$7:G27),0)</f>
        <v>-42225</v>
      </c>
      <c r="J27" s="45">
        <f t="shared" si="33"/>
        <v>0.55292035398230088</v>
      </c>
      <c r="K27" s="75">
        <v>11300</v>
      </c>
      <c r="L27" s="75">
        <v>7953</v>
      </c>
      <c r="M27" s="90">
        <f>IF(L27&gt;0,SUM(L$7:L27)-SUM(K$7:K27),0)</f>
        <v>-35942</v>
      </c>
      <c r="N27" s="45">
        <f t="shared" si="35"/>
        <v>0.70380530973451327</v>
      </c>
      <c r="O27" s="35">
        <f t="shared" si="34"/>
        <v>33900</v>
      </c>
      <c r="P27" s="35">
        <f t="shared" si="6"/>
        <v>22837</v>
      </c>
      <c r="Q27" s="91">
        <f>IF(P27&gt;0,SUM(P$7:P27)-SUM(O$7:O27),0)</f>
        <v>-82170</v>
      </c>
      <c r="R27" s="45">
        <f t="shared" si="15"/>
        <v>0.67365781710914452</v>
      </c>
      <c r="T27" s="47">
        <f t="shared" si="16"/>
        <v>40837</v>
      </c>
      <c r="U27" s="54" t="str">
        <f t="shared" si="7"/>
        <v>qui</v>
      </c>
      <c r="V27" s="75">
        <v>10600</v>
      </c>
      <c r="W27" s="75">
        <v>8107</v>
      </c>
      <c r="X27" s="92">
        <f>IF(W27&gt;0,SUM(W$7:W27)-SUM(V$7:V27),0)</f>
        <v>-20612</v>
      </c>
      <c r="Y27" s="60">
        <f t="shared" si="17"/>
        <v>0.76481132075471703</v>
      </c>
      <c r="Z27" s="75">
        <v>10600</v>
      </c>
      <c r="AA27" s="75">
        <v>6687</v>
      </c>
      <c r="AB27" s="92">
        <f>IF(AA27&gt;0,SUM(AA$7:AA27)-SUM(Z$7:Z27),0)</f>
        <v>-44720</v>
      </c>
      <c r="AC27" s="60">
        <f t="shared" si="18"/>
        <v>0.63084905660377355</v>
      </c>
      <c r="AD27" s="75">
        <v>10600</v>
      </c>
      <c r="AE27" s="75">
        <v>6620</v>
      </c>
      <c r="AF27" s="92">
        <f>IF(AE27&gt;0,SUM(AE$7:AE27)-SUM(AD$7:AD27),0)</f>
        <v>-58892</v>
      </c>
      <c r="AG27" s="60">
        <f t="shared" si="19"/>
        <v>0.62452830188679243</v>
      </c>
      <c r="AH27" s="41">
        <f t="shared" si="3"/>
        <v>31800</v>
      </c>
      <c r="AI27" s="41">
        <f t="shared" si="8"/>
        <v>21414</v>
      </c>
      <c r="AJ27" s="93">
        <f>IF(AI27&gt;0,SUM(AI$7:AI27)-SUM(AH$7:AH27),0)</f>
        <v>-124224</v>
      </c>
      <c r="AK27" s="60">
        <f t="shared" si="20"/>
        <v>0.67339622641509433</v>
      </c>
      <c r="AM27" s="47">
        <f t="shared" si="21"/>
        <v>40837</v>
      </c>
      <c r="AN27" s="54" t="str">
        <f t="shared" si="9"/>
        <v>qui</v>
      </c>
      <c r="AO27" s="75">
        <v>6600</v>
      </c>
      <c r="AP27" s="75">
        <v>6870</v>
      </c>
      <c r="AQ27" s="75">
        <f>IF(AP27&gt;0,SUM(AP$7:AP27)-SUM(AO$7:AO27),0)</f>
        <v>11421</v>
      </c>
      <c r="AR27" s="45">
        <f t="shared" si="22"/>
        <v>1.040909090909091</v>
      </c>
      <c r="AS27" s="75">
        <v>6600</v>
      </c>
      <c r="AT27" s="75">
        <v>7315</v>
      </c>
      <c r="AU27" s="90">
        <f>IF(AT27&gt;0,SUM(AT$7:AT27)-SUM(AS$7:AS27),0)</f>
        <v>-8857</v>
      </c>
      <c r="AV27" s="45">
        <f t="shared" si="23"/>
        <v>1.1083333333333334</v>
      </c>
      <c r="AW27" s="75">
        <v>6600</v>
      </c>
      <c r="AX27" s="75">
        <v>3775</v>
      </c>
      <c r="AY27" s="90">
        <f>IF(AX27&gt;0,SUM(AX$7:AX27)-SUM(AW$7:AW27),0)</f>
        <v>-20673</v>
      </c>
      <c r="AZ27" s="45">
        <f t="shared" si="31"/>
        <v>0.57196969696969702</v>
      </c>
      <c r="BA27" s="35">
        <f t="shared" si="4"/>
        <v>19800</v>
      </c>
      <c r="BB27" s="35">
        <f t="shared" si="10"/>
        <v>17960</v>
      </c>
      <c r="BC27" s="91">
        <f>IF(BB27&gt;0,SUM(BB$7:BB27)-SUM(BA$7:BA27),0)</f>
        <v>-18109</v>
      </c>
      <c r="BD27" s="45">
        <f t="shared" si="24"/>
        <v>0.90707070707070703</v>
      </c>
      <c r="BF27" s="47">
        <f t="shared" si="25"/>
        <v>40837</v>
      </c>
      <c r="BG27" s="54" t="str">
        <f t="shared" si="11"/>
        <v>qui</v>
      </c>
      <c r="BH27" s="75">
        <v>15200</v>
      </c>
      <c r="BI27" s="75">
        <v>10301</v>
      </c>
      <c r="BJ27" s="75">
        <f>IF(BI27&gt;0,SUM(BI$7:BI27)-SUM(BH$7:BH27),0)</f>
        <v>-34559</v>
      </c>
      <c r="BK27" s="45">
        <f t="shared" si="26"/>
        <v>0.67769736842105266</v>
      </c>
      <c r="BL27" s="75">
        <v>8000</v>
      </c>
      <c r="BM27" s="75">
        <v>7650</v>
      </c>
      <c r="BN27" s="90">
        <f>IF(BM27&gt;0,SUM(BM$7:BM27)-SUM(BL$7:BL27),0)</f>
        <v>-42141</v>
      </c>
      <c r="BO27" s="45">
        <f t="shared" si="27"/>
        <v>0.95625000000000004</v>
      </c>
      <c r="BP27" s="75">
        <v>9000</v>
      </c>
      <c r="BQ27" s="75">
        <v>5946</v>
      </c>
      <c r="BR27" s="90">
        <f>IF(BQ27&gt;0,SUM(BQ$7:BQ27)-SUM(BP$7:BP27),0)</f>
        <v>-59092</v>
      </c>
      <c r="BS27" s="45">
        <f t="shared" si="32"/>
        <v>0.66066666666666662</v>
      </c>
      <c r="BT27" s="35">
        <f t="shared" si="5"/>
        <v>32200</v>
      </c>
      <c r="BU27" s="35">
        <f t="shared" si="5"/>
        <v>23897</v>
      </c>
      <c r="BV27" s="91">
        <f>IF(BU27&gt;0,SUM(BU$7:BU27)-SUM(BT$7:BT27),0)</f>
        <v>-135792</v>
      </c>
      <c r="BW27" s="45">
        <f t="shared" si="28"/>
        <v>0.7421428571428571</v>
      </c>
      <c r="BY27" s="47">
        <f t="shared" si="29"/>
        <v>40837</v>
      </c>
      <c r="BZ27" s="54" t="str">
        <f t="shared" si="12"/>
        <v>qui</v>
      </c>
      <c r="CA27" s="75">
        <v>2550</v>
      </c>
      <c r="CB27" s="75">
        <v>3438</v>
      </c>
      <c r="CC27" s="90">
        <f>IF(CB27&gt;0,SUM(CB$7:CB27)-SUM(CA$7:CA27),0)</f>
        <v>32200</v>
      </c>
      <c r="CD27" s="45">
        <f t="shared" si="30"/>
        <v>1.348235294117647</v>
      </c>
    </row>
    <row r="28" spans="1:82" x14ac:dyDescent="0.25">
      <c r="A28" s="47">
        <f t="shared" si="13"/>
        <v>40838</v>
      </c>
      <c r="B28" s="54" t="s">
        <v>24</v>
      </c>
      <c r="C28" s="75">
        <v>11300</v>
      </c>
      <c r="D28" s="75">
        <v>12241</v>
      </c>
      <c r="E28" s="90">
        <f>IF(D28&gt;0,SUM(D$7:D28)-SUM(C$7:C28),0)</f>
        <v>-3062</v>
      </c>
      <c r="F28" s="45">
        <f t="shared" si="14"/>
        <v>1.0832743362831858</v>
      </c>
      <c r="G28" s="75">
        <v>11300</v>
      </c>
      <c r="H28" s="75">
        <v>7237</v>
      </c>
      <c r="I28" s="75">
        <f>IF(H28&gt;0,SUM(H$7:H28)-SUM(G$7:G28),0)</f>
        <v>-46288</v>
      </c>
      <c r="J28" s="45">
        <f t="shared" si="33"/>
        <v>0.6404424778761062</v>
      </c>
      <c r="K28" s="75">
        <v>11300</v>
      </c>
      <c r="L28" s="75">
        <v>4236</v>
      </c>
      <c r="M28" s="90">
        <f>IF(L28&gt;0,SUM(L$7:L28)-SUM(K$7:K28),0)</f>
        <v>-43006</v>
      </c>
      <c r="N28" s="45" t="s">
        <v>46</v>
      </c>
      <c r="O28" s="35">
        <f t="shared" si="34"/>
        <v>33900</v>
      </c>
      <c r="P28" s="35">
        <f t="shared" si="6"/>
        <v>23714</v>
      </c>
      <c r="Q28" s="91">
        <f>IF(P28&gt;0,SUM(P$7:P28)-SUM(O$7:O28),0)</f>
        <v>-92356</v>
      </c>
      <c r="R28" s="45">
        <f t="shared" si="15"/>
        <v>0.69952802359882005</v>
      </c>
      <c r="T28" s="47">
        <f t="shared" si="16"/>
        <v>40838</v>
      </c>
      <c r="U28" s="54" t="str">
        <f t="shared" si="7"/>
        <v>sex</v>
      </c>
      <c r="V28" s="75">
        <v>10600</v>
      </c>
      <c r="W28" s="75">
        <v>7005</v>
      </c>
      <c r="X28" s="92">
        <f>IF(W28&gt;0,SUM(W$7:W28)-SUM(V$7:V28),0)</f>
        <v>-24207</v>
      </c>
      <c r="Y28" s="60">
        <f t="shared" si="17"/>
        <v>0.66084905660377358</v>
      </c>
      <c r="Z28" s="75">
        <v>10600</v>
      </c>
      <c r="AA28" s="75">
        <v>5851</v>
      </c>
      <c r="AB28" s="92">
        <f>IF(AA28&gt;0,SUM(AA$7:AA28)-SUM(Z$7:Z28),0)</f>
        <v>-49469</v>
      </c>
      <c r="AC28" s="60">
        <f t="shared" si="18"/>
        <v>0.55198113207547173</v>
      </c>
      <c r="AD28" s="75">
        <v>10600</v>
      </c>
      <c r="AE28" s="75">
        <v>8446</v>
      </c>
      <c r="AF28" s="92">
        <f>IF(AE28&gt;0,SUM(AE$7:AE28)-SUM(AD$7:AD28),0)</f>
        <v>-61046</v>
      </c>
      <c r="AG28" s="60">
        <f t="shared" si="19"/>
        <v>0.79679245283018862</v>
      </c>
      <c r="AH28" s="41">
        <f t="shared" si="3"/>
        <v>31800</v>
      </c>
      <c r="AI28" s="41">
        <f t="shared" si="8"/>
        <v>21302</v>
      </c>
      <c r="AJ28" s="93">
        <f>IF(AI28&gt;0,SUM(AI$7:AI28)-SUM(AH$7:AH28),0)</f>
        <v>-134722</v>
      </c>
      <c r="AK28" s="60">
        <f t="shared" si="20"/>
        <v>0.66987421383647794</v>
      </c>
      <c r="AM28" s="47">
        <f t="shared" si="21"/>
        <v>40838</v>
      </c>
      <c r="AN28" s="54" t="str">
        <f t="shared" si="9"/>
        <v>sex</v>
      </c>
      <c r="AO28" s="75">
        <v>6600</v>
      </c>
      <c r="AP28" s="75">
        <v>6160</v>
      </c>
      <c r="AQ28" s="75">
        <f>IF(AP28&gt;0,SUM(AP$7:AP28)-SUM(AO$7:AO28),0)</f>
        <v>10981</v>
      </c>
      <c r="AR28" s="45">
        <f t="shared" si="22"/>
        <v>0.93333333333333335</v>
      </c>
      <c r="AS28" s="75">
        <v>6600</v>
      </c>
      <c r="AT28" s="75">
        <v>5284</v>
      </c>
      <c r="AU28" s="90">
        <f>IF(AT28&gt;0,SUM(AT$7:AT28)-SUM(AS$7:AS28),0)</f>
        <v>-10173</v>
      </c>
      <c r="AV28" s="45">
        <f t="shared" si="23"/>
        <v>0.80060606060606065</v>
      </c>
      <c r="AW28" s="75">
        <v>6600</v>
      </c>
      <c r="AX28" s="75">
        <v>5306</v>
      </c>
      <c r="AY28" s="90">
        <f>IF(AX28&gt;0,SUM(AX$7:AX28)-SUM(AW$7:AW28),0)</f>
        <v>-21967</v>
      </c>
      <c r="AZ28" s="45">
        <f t="shared" si="31"/>
        <v>0.80393939393939395</v>
      </c>
      <c r="BA28" s="35">
        <f t="shared" si="4"/>
        <v>19800</v>
      </c>
      <c r="BB28" s="35">
        <f t="shared" si="10"/>
        <v>16750</v>
      </c>
      <c r="BC28" s="91">
        <f>IF(BB28&gt;0,SUM(BB$7:BB28)-SUM(BA$7:BA28),0)</f>
        <v>-21159</v>
      </c>
      <c r="BD28" s="45">
        <f t="shared" si="24"/>
        <v>0.84595959595959591</v>
      </c>
      <c r="BF28" s="47">
        <f t="shared" si="25"/>
        <v>40838</v>
      </c>
      <c r="BG28" s="54" t="str">
        <f t="shared" si="11"/>
        <v>sex</v>
      </c>
      <c r="BH28" s="75">
        <v>15200</v>
      </c>
      <c r="BI28" s="75">
        <v>11830</v>
      </c>
      <c r="BJ28" s="75">
        <f>IF(BI28&gt;0,SUM(BI$7:BI28)-SUM(BH$7:BH28),0)</f>
        <v>-37929</v>
      </c>
      <c r="BK28" s="45">
        <f t="shared" si="26"/>
        <v>0.77828947368421053</v>
      </c>
      <c r="BL28" s="75">
        <v>8000</v>
      </c>
      <c r="BM28" s="75">
        <v>4919</v>
      </c>
      <c r="BN28" s="90">
        <f>IF(BM28&gt;0,SUM(BM$7:BM28)-SUM(BL$7:BL28),0)</f>
        <v>-45222</v>
      </c>
      <c r="BO28" s="45">
        <f t="shared" si="27"/>
        <v>0.61487499999999995</v>
      </c>
      <c r="BP28" s="75">
        <v>9000</v>
      </c>
      <c r="BQ28" s="75">
        <v>5271</v>
      </c>
      <c r="BR28" s="90">
        <f>IF(BQ28&gt;0,SUM(BQ$7:BQ28)-SUM(BP$7:BP28),0)</f>
        <v>-62821</v>
      </c>
      <c r="BS28" s="45">
        <f t="shared" si="32"/>
        <v>0.58566666666666667</v>
      </c>
      <c r="BT28" s="35">
        <f t="shared" si="5"/>
        <v>32200</v>
      </c>
      <c r="BU28" s="35">
        <f t="shared" si="5"/>
        <v>22020</v>
      </c>
      <c r="BV28" s="91">
        <f>IF(BU28&gt;0,SUM(BU$7:BU28)-SUM(BT$7:BT28),0)</f>
        <v>-145972</v>
      </c>
      <c r="BW28" s="45">
        <f t="shared" si="28"/>
        <v>0.6838509316770186</v>
      </c>
      <c r="BY28" s="47">
        <f t="shared" si="29"/>
        <v>40838</v>
      </c>
      <c r="BZ28" s="54" t="str">
        <f t="shared" si="12"/>
        <v>sex</v>
      </c>
      <c r="CA28" s="75">
        <v>2550</v>
      </c>
      <c r="CB28" s="75">
        <v>2511</v>
      </c>
      <c r="CC28" s="90">
        <f>IF(CB28&gt;0,SUM(CB$7:CB28)-SUM(CA$7:CA28),0)</f>
        <v>32161</v>
      </c>
      <c r="CD28" s="45">
        <f t="shared" si="30"/>
        <v>0.98470588235294121</v>
      </c>
    </row>
    <row r="29" spans="1:82" x14ac:dyDescent="0.25">
      <c r="A29" s="47">
        <f t="shared" si="13"/>
        <v>40839</v>
      </c>
      <c r="B29" s="54" t="s">
        <v>25</v>
      </c>
      <c r="C29" s="75">
        <v>11300</v>
      </c>
      <c r="D29" s="75">
        <v>5820</v>
      </c>
      <c r="E29" s="90">
        <f>IF(D29&gt;0,SUM(D$7:D29)-SUM(C$7:C29),0)</f>
        <v>-8542</v>
      </c>
      <c r="F29" s="45">
        <f t="shared" si="14"/>
        <v>0.5150442477876106</v>
      </c>
      <c r="G29" s="75">
        <v>11300</v>
      </c>
      <c r="H29" s="75">
        <v>3991</v>
      </c>
      <c r="I29" s="75">
        <f>IF(H29&gt;0,SUM(H$7:H29)-SUM(G$7:G29),0)</f>
        <v>-53597</v>
      </c>
      <c r="J29" s="45">
        <f t="shared" si="33"/>
        <v>0.3531858407079646</v>
      </c>
      <c r="K29" s="75">
        <v>11300</v>
      </c>
      <c r="L29" s="75">
        <v>9678</v>
      </c>
      <c r="M29" s="90">
        <f>IF(L29&gt;0,SUM(L$7:L29)-SUM(K$7:K29),0)</f>
        <v>-44628</v>
      </c>
      <c r="N29" s="45">
        <f t="shared" si="35"/>
        <v>0.8564601769911504</v>
      </c>
      <c r="O29" s="35">
        <f t="shared" si="34"/>
        <v>33900</v>
      </c>
      <c r="P29" s="35">
        <f t="shared" si="6"/>
        <v>19489</v>
      </c>
      <c r="Q29" s="91">
        <f>IF(P29&gt;0,SUM(P$7:P29)-SUM(O$7:O29),0)</f>
        <v>-106767</v>
      </c>
      <c r="R29" s="45">
        <f t="shared" si="15"/>
        <v>0.57489675516224192</v>
      </c>
      <c r="T29" s="47">
        <f t="shared" si="16"/>
        <v>40839</v>
      </c>
      <c r="U29" s="54" t="str">
        <f t="shared" si="7"/>
        <v>sáb</v>
      </c>
      <c r="V29" s="75">
        <v>10600</v>
      </c>
      <c r="W29" s="75">
        <v>8524</v>
      </c>
      <c r="X29" s="92">
        <f>IF(W29&gt;0,SUM(W$7:W29)-SUM(V$7:V29),0)</f>
        <v>-26283</v>
      </c>
      <c r="Y29" s="60">
        <f t="shared" si="17"/>
        <v>0.80415094339622639</v>
      </c>
      <c r="Z29" s="75">
        <v>10600</v>
      </c>
      <c r="AA29" s="75">
        <v>11155</v>
      </c>
      <c r="AB29" s="92">
        <f>IF(AA29&gt;0,SUM(AA$7:AA29)-SUM(Z$7:Z29),0)</f>
        <v>-48914</v>
      </c>
      <c r="AC29" s="60">
        <f t="shared" si="18"/>
        <v>1.0523584905660377</v>
      </c>
      <c r="AD29" s="75">
        <v>10600</v>
      </c>
      <c r="AE29" s="75">
        <v>6393</v>
      </c>
      <c r="AF29" s="92">
        <f>IF(AE29&gt;0,SUM(AE$7:AE29)-SUM(AD$7:AD29),0)</f>
        <v>-65253</v>
      </c>
      <c r="AG29" s="60">
        <f t="shared" si="19"/>
        <v>0.60311320754716979</v>
      </c>
      <c r="AH29" s="41">
        <f t="shared" si="3"/>
        <v>31800</v>
      </c>
      <c r="AI29" s="41">
        <f t="shared" si="8"/>
        <v>26072</v>
      </c>
      <c r="AJ29" s="93">
        <f>IF(AI29&gt;0,SUM(AI$7:AI29)-SUM(AH$7:AH29),0)</f>
        <v>-140450</v>
      </c>
      <c r="AK29" s="60">
        <f t="shared" si="20"/>
        <v>0.81987421383647796</v>
      </c>
      <c r="AM29" s="47">
        <f t="shared" si="21"/>
        <v>40839</v>
      </c>
      <c r="AN29" s="54" t="str">
        <f t="shared" si="9"/>
        <v>sáb</v>
      </c>
      <c r="AO29" s="75">
        <v>6600</v>
      </c>
      <c r="AP29" s="75">
        <v>4215</v>
      </c>
      <c r="AQ29" s="75">
        <f>IF(AP29&gt;0,SUM(AP$7:AP29)-SUM(AO$7:AO29),0)</f>
        <v>8596</v>
      </c>
      <c r="AR29" s="45">
        <f t="shared" si="22"/>
        <v>0.63863636363636367</v>
      </c>
      <c r="AS29" s="75">
        <v>6600</v>
      </c>
      <c r="AT29" s="75">
        <v>6664</v>
      </c>
      <c r="AU29" s="90">
        <f>IF(AT29&gt;0,SUM(AT$7:AT29)-SUM(AS$7:AS29),0)</f>
        <v>-10109</v>
      </c>
      <c r="AV29" s="45">
        <f t="shared" si="23"/>
        <v>1.0096969696969698</v>
      </c>
      <c r="AW29" s="75">
        <v>6600</v>
      </c>
      <c r="AX29" s="75">
        <v>5259</v>
      </c>
      <c r="AY29" s="90">
        <f>IF(AX29&gt;0,SUM(AX$7:AX29)-SUM(AW$7:AW29),0)</f>
        <v>-23308</v>
      </c>
      <c r="AZ29" s="45">
        <f t="shared" si="31"/>
        <v>0.79681818181818187</v>
      </c>
      <c r="BA29" s="35">
        <f t="shared" si="4"/>
        <v>19800</v>
      </c>
      <c r="BB29" s="35">
        <f t="shared" si="10"/>
        <v>16138</v>
      </c>
      <c r="BC29" s="91">
        <f>IF(BB29&gt;0,SUM(BB$7:BB29)-SUM(BA$7:BA29),0)</f>
        <v>-24821</v>
      </c>
      <c r="BD29" s="45">
        <f t="shared" si="24"/>
        <v>0.81505050505050503</v>
      </c>
      <c r="BF29" s="47">
        <f t="shared" si="25"/>
        <v>40839</v>
      </c>
      <c r="BG29" s="54" t="str">
        <f t="shared" si="11"/>
        <v>sáb</v>
      </c>
      <c r="BH29" s="75">
        <v>15200</v>
      </c>
      <c r="BI29" s="75">
        <v>10300</v>
      </c>
      <c r="BJ29" s="75">
        <f>IF(BI29&gt;0,SUM(BI$7:BI29)-SUM(BH$7:BH29),0)</f>
        <v>-42829</v>
      </c>
      <c r="BK29" s="45">
        <f t="shared" si="26"/>
        <v>0.67763157894736847</v>
      </c>
      <c r="BL29" s="75">
        <v>8000</v>
      </c>
      <c r="BM29" s="75">
        <v>5842</v>
      </c>
      <c r="BN29" s="90">
        <f>IF(BM29&gt;0,SUM(BM$7:BM29)-SUM(BL$7:BL29),0)</f>
        <v>-47380</v>
      </c>
      <c r="BO29" s="45">
        <f t="shared" si="27"/>
        <v>0.73024999999999995</v>
      </c>
      <c r="BP29" s="75">
        <v>9000</v>
      </c>
      <c r="BQ29" s="75">
        <v>5955</v>
      </c>
      <c r="BR29" s="90">
        <f>IF(BQ29&gt;0,SUM(BQ$7:BQ29)-SUM(BP$7:BP29),0)</f>
        <v>-65866</v>
      </c>
      <c r="BS29" s="45">
        <f t="shared" si="32"/>
        <v>0.66166666666666663</v>
      </c>
      <c r="BT29" s="35">
        <f t="shared" si="5"/>
        <v>32200</v>
      </c>
      <c r="BU29" s="35">
        <f t="shared" si="5"/>
        <v>22097</v>
      </c>
      <c r="BV29" s="91">
        <f>IF(BU29&gt;0,SUM(BU$7:BU29)-SUM(BT$7:BT29),0)</f>
        <v>-156075</v>
      </c>
      <c r="BW29" s="45">
        <f t="shared" si="28"/>
        <v>0.68624223602484469</v>
      </c>
      <c r="BY29" s="47">
        <f t="shared" si="29"/>
        <v>40839</v>
      </c>
      <c r="BZ29" s="54" t="str">
        <f t="shared" si="12"/>
        <v>sáb</v>
      </c>
      <c r="CA29" s="75">
        <v>2550</v>
      </c>
      <c r="CB29" s="75">
        <v>111</v>
      </c>
      <c r="CC29" s="90">
        <f>IF(CB29&gt;0,SUM(CB$7:CB29)-SUM(CA$7:CA29),0)</f>
        <v>29722</v>
      </c>
      <c r="CD29" s="45">
        <f t="shared" si="30"/>
        <v>4.3529411764705879E-2</v>
      </c>
    </row>
    <row r="30" spans="1:82" x14ac:dyDescent="0.25">
      <c r="A30" s="47">
        <f t="shared" si="13"/>
        <v>40840</v>
      </c>
      <c r="B30" s="54" t="s">
        <v>26</v>
      </c>
      <c r="C30" s="75"/>
      <c r="D30" s="75">
        <v>15038</v>
      </c>
      <c r="E30" s="90">
        <f>IF(D30&gt;0,SUM(D$7:D30)-SUM(C$7:C30),0)</f>
        <v>6496</v>
      </c>
      <c r="F30" s="45">
        <f t="shared" si="14"/>
        <v>0</v>
      </c>
      <c r="G30" s="75"/>
      <c r="H30" s="75"/>
      <c r="I30" s="75">
        <f>IF(H30&gt;0,SUM(H$7:H30)-SUM(G$7:G30),0)</f>
        <v>0</v>
      </c>
      <c r="J30" s="45">
        <f t="shared" si="33"/>
        <v>0</v>
      </c>
      <c r="K30" s="75"/>
      <c r="L30" s="75"/>
      <c r="M30" s="90">
        <f>IF(L30&gt;0,SUM(L$7:L30)-SUM(K$7:K30),0)</f>
        <v>0</v>
      </c>
      <c r="N30" s="45">
        <f t="shared" si="35"/>
        <v>0</v>
      </c>
      <c r="O30" s="35">
        <f t="shared" si="34"/>
        <v>0</v>
      </c>
      <c r="P30" s="35">
        <f t="shared" si="6"/>
        <v>15038</v>
      </c>
      <c r="Q30" s="91">
        <f>IF(P30&gt;0,SUM(P$7:P30)-SUM(O$7:O30),0)</f>
        <v>-91729</v>
      </c>
      <c r="R30" s="45">
        <f t="shared" si="15"/>
        <v>0</v>
      </c>
      <c r="T30" s="47">
        <f t="shared" si="16"/>
        <v>40840</v>
      </c>
      <c r="U30" s="54" t="str">
        <f t="shared" si="7"/>
        <v>dom</v>
      </c>
      <c r="V30" s="75"/>
      <c r="W30" s="75">
        <v>17053</v>
      </c>
      <c r="X30" s="92">
        <f>IF(W30&gt;0,SUM(W$7:W30)-SUM(V$7:V30),0)</f>
        <v>-9230</v>
      </c>
      <c r="Y30" s="60">
        <f t="shared" si="17"/>
        <v>0</v>
      </c>
      <c r="Z30" s="75"/>
      <c r="AA30" s="75"/>
      <c r="AB30" s="92">
        <f>IF(AA30&gt;0,SUM(AA$7:AA30)-SUM(Z$7:Z30),0)</f>
        <v>0</v>
      </c>
      <c r="AC30" s="60">
        <f t="shared" si="18"/>
        <v>0</v>
      </c>
      <c r="AD30" s="75"/>
      <c r="AE30" s="75"/>
      <c r="AF30" s="92">
        <f>IF(AE30&gt;0,SUM(AE$7:AE30)-SUM(AD$7:AD30),0)</f>
        <v>0</v>
      </c>
      <c r="AG30" s="60">
        <f t="shared" si="19"/>
        <v>0</v>
      </c>
      <c r="AH30" s="41">
        <f t="shared" si="3"/>
        <v>0</v>
      </c>
      <c r="AI30" s="41">
        <f t="shared" si="8"/>
        <v>17053</v>
      </c>
      <c r="AJ30" s="93">
        <f>IF(AI30&gt;0,SUM(AI$7:AI30)-SUM(AH$7:AH30),0)</f>
        <v>-123397</v>
      </c>
      <c r="AK30" s="60">
        <f t="shared" si="20"/>
        <v>0</v>
      </c>
      <c r="AM30" s="47">
        <f t="shared" si="21"/>
        <v>40840</v>
      </c>
      <c r="AN30" s="54" t="str">
        <f t="shared" si="9"/>
        <v>dom</v>
      </c>
      <c r="AO30" s="75"/>
      <c r="AP30" s="75"/>
      <c r="AQ30" s="75">
        <f>IF(AP30&gt;0,SUM(AP$7:AP30)-SUM(AO$7:AO30),0)</f>
        <v>0</v>
      </c>
      <c r="AR30" s="45">
        <f t="shared" si="22"/>
        <v>0</v>
      </c>
      <c r="AS30" s="75"/>
      <c r="AT30" s="75"/>
      <c r="AU30" s="90">
        <f>IF(AT30&gt;0,SUM(AT$7:AT30)-SUM(AS$7:AS30),0)</f>
        <v>0</v>
      </c>
      <c r="AV30" s="45">
        <f t="shared" si="23"/>
        <v>0</v>
      </c>
      <c r="AW30" s="75"/>
      <c r="AX30" s="75"/>
      <c r="AY30" s="90">
        <f>IF(AX30&gt;0,SUM(AX$7:AX30)-SUM(AW$7:AW30),0)</f>
        <v>0</v>
      </c>
      <c r="AZ30" s="45">
        <f t="shared" si="31"/>
        <v>0</v>
      </c>
      <c r="BA30" s="35">
        <f t="shared" si="4"/>
        <v>0</v>
      </c>
      <c r="BB30" s="35">
        <f t="shared" si="10"/>
        <v>0</v>
      </c>
      <c r="BC30" s="91">
        <f>IF(BB30&gt;0,SUM(BB$7:BB30)-SUM(BA$7:BA30),0)</f>
        <v>0</v>
      </c>
      <c r="BD30" s="45">
        <f t="shared" si="24"/>
        <v>0</v>
      </c>
      <c r="BF30" s="47">
        <f t="shared" si="25"/>
        <v>40840</v>
      </c>
      <c r="BG30" s="54" t="str">
        <f t="shared" si="11"/>
        <v>dom</v>
      </c>
      <c r="BH30" s="75"/>
      <c r="BI30" s="75"/>
      <c r="BJ30" s="75">
        <f>IF(BI30&gt;0,SUM(BI$7:BI30)-SUM(BH$7:BH30),0)</f>
        <v>0</v>
      </c>
      <c r="BK30" s="45">
        <f t="shared" si="26"/>
        <v>0</v>
      </c>
      <c r="BL30" s="75"/>
      <c r="BM30" s="75"/>
      <c r="BN30" s="90">
        <f>IF(BM30&gt;0,SUM(BM$7:BM30)-SUM(BL$7:BL30),0)</f>
        <v>0</v>
      </c>
      <c r="BO30" s="45">
        <f t="shared" si="27"/>
        <v>0</v>
      </c>
      <c r="BP30" s="75"/>
      <c r="BQ30" s="75"/>
      <c r="BR30" s="90">
        <f>IF(BQ30&gt;0,SUM(BQ$7:BQ30)-SUM(BP$7:BP30),0)</f>
        <v>0</v>
      </c>
      <c r="BS30" s="45">
        <f t="shared" si="32"/>
        <v>0</v>
      </c>
      <c r="BT30" s="35">
        <f t="shared" si="5"/>
        <v>0</v>
      </c>
      <c r="BU30" s="35">
        <f t="shared" si="5"/>
        <v>0</v>
      </c>
      <c r="BV30" s="91">
        <f>IF(BU30&gt;0,SUM(BU$7:BU30)-SUM(BT$7:BT30),0)</f>
        <v>0</v>
      </c>
      <c r="BW30" s="45">
        <f t="shared" si="28"/>
        <v>0</v>
      </c>
      <c r="BY30" s="47">
        <f t="shared" si="29"/>
        <v>40840</v>
      </c>
      <c r="BZ30" s="54" t="str">
        <f t="shared" si="12"/>
        <v>dom</v>
      </c>
      <c r="CA30" s="75"/>
      <c r="CB30" s="75"/>
      <c r="CC30" s="90">
        <f>IF(CB30&gt;0,SUM(CB$7:CB30)-SUM(CA$7:CA30),0)</f>
        <v>0</v>
      </c>
      <c r="CD30" s="45">
        <f t="shared" si="30"/>
        <v>0</v>
      </c>
    </row>
    <row r="31" spans="1:82" x14ac:dyDescent="0.25">
      <c r="A31" s="47">
        <f t="shared" si="13"/>
        <v>40841</v>
      </c>
      <c r="B31" s="54" t="s">
        <v>27</v>
      </c>
      <c r="C31" s="75">
        <v>11300</v>
      </c>
      <c r="D31" s="75">
        <v>8952</v>
      </c>
      <c r="E31" s="90">
        <f>IF(D31&gt;0,SUM(D$7:D31)-SUM(C$7:C31),0)</f>
        <v>4148</v>
      </c>
      <c r="F31" s="45">
        <f t="shared" si="14"/>
        <v>0.79221238938053096</v>
      </c>
      <c r="G31" s="75">
        <v>11300</v>
      </c>
      <c r="H31" s="75">
        <v>11604</v>
      </c>
      <c r="I31" s="75">
        <f>IF(H31&gt;0,SUM(H$7:H31)-SUM(G$7:G31),0)</f>
        <v>-53293</v>
      </c>
      <c r="J31" s="45">
        <f t="shared" si="33"/>
        <v>1.0269026548672566</v>
      </c>
      <c r="K31" s="75">
        <v>11300</v>
      </c>
      <c r="L31" s="75">
        <v>9527</v>
      </c>
      <c r="M31" s="90">
        <f>IF(L31&gt;0,SUM(L$7:L31)-SUM(K$7:K31),0)</f>
        <v>-46401</v>
      </c>
      <c r="N31" s="45">
        <f t="shared" si="35"/>
        <v>0.84309734513274337</v>
      </c>
      <c r="O31" s="35">
        <f t="shared" si="34"/>
        <v>33900</v>
      </c>
      <c r="P31" s="35">
        <f t="shared" si="6"/>
        <v>30083</v>
      </c>
      <c r="Q31" s="91">
        <f>IF(P31&gt;0,SUM(P$7:P31)-SUM(O$7:O31),0)</f>
        <v>-95546</v>
      </c>
      <c r="R31" s="45">
        <f t="shared" si="15"/>
        <v>0.88740412979351035</v>
      </c>
      <c r="T31" s="47">
        <f t="shared" si="16"/>
        <v>40841</v>
      </c>
      <c r="U31" s="54" t="str">
        <f t="shared" si="7"/>
        <v>seg</v>
      </c>
      <c r="V31" s="75">
        <v>10600</v>
      </c>
      <c r="W31" s="75">
        <v>10261</v>
      </c>
      <c r="X31" s="92">
        <f>IF(W31&gt;0,SUM(W$7:W31)-SUM(V$7:V31),0)</f>
        <v>-9569</v>
      </c>
      <c r="Y31" s="60">
        <f t="shared" si="17"/>
        <v>0.96801886792452829</v>
      </c>
      <c r="Z31" s="75">
        <v>10600</v>
      </c>
      <c r="AA31" s="75">
        <v>8260</v>
      </c>
      <c r="AB31" s="92">
        <f>IF(AA31&gt;0,SUM(AA$7:AA31)-SUM(Z$7:Z31),0)</f>
        <v>-51254</v>
      </c>
      <c r="AC31" s="60">
        <f t="shared" si="18"/>
        <v>0.77924528301886797</v>
      </c>
      <c r="AD31" s="75">
        <v>10600</v>
      </c>
      <c r="AE31" s="75">
        <v>10240</v>
      </c>
      <c r="AF31" s="92">
        <f>IF(AE31&gt;0,SUM(AE$7:AE31)-SUM(AD$7:AD31),0)</f>
        <v>-65613</v>
      </c>
      <c r="AG31" s="60">
        <f t="shared" si="19"/>
        <v>0.96603773584905661</v>
      </c>
      <c r="AH31" s="41">
        <f t="shared" si="3"/>
        <v>31800</v>
      </c>
      <c r="AI31" s="41">
        <f t="shared" si="8"/>
        <v>28761</v>
      </c>
      <c r="AJ31" s="93">
        <f>IF(AI31&gt;0,SUM(AI$7:AI31)-SUM(AH$7:AH31),0)</f>
        <v>-126436</v>
      </c>
      <c r="AK31" s="60">
        <f t="shared" si="20"/>
        <v>0.90443396226415096</v>
      </c>
      <c r="AM31" s="47">
        <f t="shared" si="21"/>
        <v>40841</v>
      </c>
      <c r="AN31" s="54" t="str">
        <f t="shared" si="9"/>
        <v>seg</v>
      </c>
      <c r="AO31" s="75">
        <v>6600</v>
      </c>
      <c r="AP31" s="75">
        <v>7290</v>
      </c>
      <c r="AQ31" s="75">
        <f>IF(AP31&gt;0,SUM(AP$7:AP31)-SUM(AO$7:AO31),0)</f>
        <v>9286</v>
      </c>
      <c r="AR31" s="45">
        <f t="shared" si="22"/>
        <v>1.1045454545454545</v>
      </c>
      <c r="AS31" s="75">
        <v>6600</v>
      </c>
      <c r="AT31" s="75">
        <v>6996</v>
      </c>
      <c r="AU31" s="90">
        <f>IF(AT31&gt;0,SUM(AT$7:AT31)-SUM(AS$7:AS31),0)</f>
        <v>-9713</v>
      </c>
      <c r="AV31" s="45">
        <f t="shared" si="23"/>
        <v>1.06</v>
      </c>
      <c r="AW31" s="75">
        <v>6600</v>
      </c>
      <c r="AX31" s="75">
        <v>4777</v>
      </c>
      <c r="AY31" s="90">
        <f>IF(AX31&gt;0,SUM(AX$7:AX31)-SUM(AW$7:AW31),0)</f>
        <v>-25131</v>
      </c>
      <c r="AZ31" s="45">
        <f t="shared" si="31"/>
        <v>0.72378787878787876</v>
      </c>
      <c r="BA31" s="35">
        <f t="shared" si="4"/>
        <v>19800</v>
      </c>
      <c r="BB31" s="35">
        <f t="shared" si="10"/>
        <v>19063</v>
      </c>
      <c r="BC31" s="91">
        <f>IF(BB31&gt;0,SUM(BB$7:BB31)-SUM(BA$7:BA31),0)</f>
        <v>-25558</v>
      </c>
      <c r="BD31" s="45">
        <f t="shared" si="24"/>
        <v>0.96277777777777773</v>
      </c>
      <c r="BF31" s="47">
        <f t="shared" si="25"/>
        <v>40841</v>
      </c>
      <c r="BG31" s="54" t="str">
        <f t="shared" si="11"/>
        <v>seg</v>
      </c>
      <c r="BH31" s="75">
        <v>15200</v>
      </c>
      <c r="BI31" s="75">
        <v>11636</v>
      </c>
      <c r="BJ31" s="75">
        <f>IF(BI31&gt;0,SUM(BI$7:BI31)-SUM(BH$7:BH31),0)</f>
        <v>-46393</v>
      </c>
      <c r="BK31" s="45">
        <f t="shared" si="26"/>
        <v>0.76552631578947372</v>
      </c>
      <c r="BL31" s="75">
        <v>8000</v>
      </c>
      <c r="BM31" s="75">
        <v>7422</v>
      </c>
      <c r="BN31" s="90">
        <f>IF(BM31&gt;0,SUM(BM$7:BM31)-SUM(BL$7:BL31),0)</f>
        <v>-47958</v>
      </c>
      <c r="BO31" s="45">
        <f t="shared" si="27"/>
        <v>0.92774999999999996</v>
      </c>
      <c r="BP31" s="75">
        <v>9000</v>
      </c>
      <c r="BQ31" s="75">
        <v>5050</v>
      </c>
      <c r="BR31" s="90">
        <f>IF(BQ31&gt;0,SUM(BQ$7:BQ31)-SUM(BP$7:BP31),0)</f>
        <v>-69816</v>
      </c>
      <c r="BS31" s="45">
        <f t="shared" si="32"/>
        <v>0.56111111111111112</v>
      </c>
      <c r="BT31" s="35">
        <f t="shared" si="5"/>
        <v>32200</v>
      </c>
      <c r="BU31" s="35">
        <f t="shared" si="5"/>
        <v>24108</v>
      </c>
      <c r="BV31" s="91">
        <f>IF(BU31&gt;0,SUM(BU$7:BU31)-SUM(BT$7:BT31),0)</f>
        <v>-164167</v>
      </c>
      <c r="BW31" s="45">
        <f t="shared" si="28"/>
        <v>0.7486956521739131</v>
      </c>
      <c r="BY31" s="47">
        <f t="shared" si="29"/>
        <v>40841</v>
      </c>
      <c r="BZ31" s="54" t="str">
        <f t="shared" si="12"/>
        <v>seg</v>
      </c>
      <c r="CA31" s="75">
        <v>2550</v>
      </c>
      <c r="CB31" s="75">
        <v>2746</v>
      </c>
      <c r="CC31" s="90">
        <f>IF(CB31&gt;0,SUM(CB$7:CB31)-SUM(CA$7:CA31),0)</f>
        <v>29918</v>
      </c>
      <c r="CD31" s="45">
        <f t="shared" si="30"/>
        <v>1.0768627450980393</v>
      </c>
    </row>
    <row r="32" spans="1:82" x14ac:dyDescent="0.25">
      <c r="A32" s="47">
        <f t="shared" si="13"/>
        <v>40842</v>
      </c>
      <c r="B32" s="54" t="s">
        <v>28</v>
      </c>
      <c r="C32" s="75">
        <v>11300</v>
      </c>
      <c r="D32" s="75">
        <v>3880</v>
      </c>
      <c r="E32" s="90">
        <f>IF(D32&gt;0,SUM(D$7:D32)-SUM(C$7:C32),0)</f>
        <v>-3272</v>
      </c>
      <c r="F32" s="45">
        <f t="shared" si="14"/>
        <v>0.3433628318584071</v>
      </c>
      <c r="G32" s="75">
        <v>11300</v>
      </c>
      <c r="H32" s="75">
        <v>8302</v>
      </c>
      <c r="I32" s="75">
        <f>IF(H32&gt;0,SUM(H$7:H32)-SUM(G$7:G32),0)</f>
        <v>-56291</v>
      </c>
      <c r="J32" s="45">
        <f t="shared" si="33"/>
        <v>0.73469026548672567</v>
      </c>
      <c r="K32" s="75">
        <v>11300</v>
      </c>
      <c r="L32" s="75">
        <v>7120</v>
      </c>
      <c r="M32" s="90">
        <f>IF(L32&gt;0,SUM(L$7:L32)-SUM(K$7:K32),0)</f>
        <v>-50581</v>
      </c>
      <c r="N32" s="45">
        <f t="shared" si="35"/>
        <v>0.63008849557522129</v>
      </c>
      <c r="O32" s="35">
        <f t="shared" si="34"/>
        <v>33900</v>
      </c>
      <c r="P32" s="35">
        <f t="shared" si="6"/>
        <v>19302</v>
      </c>
      <c r="Q32" s="91">
        <f>IF(P32&gt;0,SUM(P$7:P32)-SUM(O$7:O32),0)</f>
        <v>-110144</v>
      </c>
      <c r="R32" s="45">
        <f t="shared" si="15"/>
        <v>0.56938053097345132</v>
      </c>
      <c r="T32" s="47">
        <f t="shared" si="16"/>
        <v>40842</v>
      </c>
      <c r="U32" s="54" t="str">
        <f t="shared" si="7"/>
        <v>ter</v>
      </c>
      <c r="V32" s="75">
        <v>10600</v>
      </c>
      <c r="W32" s="75">
        <v>6052</v>
      </c>
      <c r="X32" s="92">
        <f>IF(W32&gt;0,SUM(W$7:W32)-SUM(V$7:V32),0)</f>
        <v>-14117</v>
      </c>
      <c r="Y32" s="60">
        <f t="shared" si="17"/>
        <v>0.5709433962264151</v>
      </c>
      <c r="Z32" s="75">
        <v>10600</v>
      </c>
      <c r="AA32" s="75">
        <v>10344</v>
      </c>
      <c r="AB32" s="92">
        <f>IF(AA32&gt;0,SUM(AA$7:AA32)-SUM(Z$7:Z32),0)</f>
        <v>-51510</v>
      </c>
      <c r="AC32" s="60">
        <f t="shared" si="18"/>
        <v>0.97584905660377363</v>
      </c>
      <c r="AD32" s="75">
        <v>10600</v>
      </c>
      <c r="AE32" s="75">
        <v>7925</v>
      </c>
      <c r="AF32" s="92">
        <f>IF(AE32&gt;0,SUM(AE$7:AE32)-SUM(AD$7:AD32),0)</f>
        <v>-68288</v>
      </c>
      <c r="AG32" s="60">
        <f t="shared" si="19"/>
        <v>0.74764150943396224</v>
      </c>
      <c r="AH32" s="41">
        <f t="shared" si="3"/>
        <v>31800</v>
      </c>
      <c r="AI32" s="41">
        <f t="shared" si="8"/>
        <v>24321</v>
      </c>
      <c r="AJ32" s="93">
        <f>IF(AI32&gt;0,SUM(AI$7:AI32)-SUM(AH$7:AH32),0)</f>
        <v>-133915</v>
      </c>
      <c r="AK32" s="60">
        <f t="shared" si="20"/>
        <v>0.76481132075471703</v>
      </c>
      <c r="AM32" s="47">
        <f t="shared" si="21"/>
        <v>40842</v>
      </c>
      <c r="AN32" s="54" t="str">
        <f t="shared" si="9"/>
        <v>ter</v>
      </c>
      <c r="AO32" s="75">
        <v>6600</v>
      </c>
      <c r="AP32" s="75">
        <v>9500</v>
      </c>
      <c r="AQ32" s="75">
        <f>IF(AP32&gt;0,SUM(AP$7:AP32)-SUM(AO$7:AO32),0)</f>
        <v>12186</v>
      </c>
      <c r="AR32" s="45">
        <f t="shared" si="22"/>
        <v>1.4393939393939394</v>
      </c>
      <c r="AS32" s="75">
        <v>6600</v>
      </c>
      <c r="AT32" s="75">
        <v>4376</v>
      </c>
      <c r="AU32" s="90">
        <f>IF(AT32&gt;0,SUM(AT$7:AT32)-SUM(AS$7:AS32),0)</f>
        <v>-11937</v>
      </c>
      <c r="AV32" s="45">
        <f t="shared" si="23"/>
        <v>0.66303030303030308</v>
      </c>
      <c r="AW32" s="75">
        <v>6600</v>
      </c>
      <c r="AX32" s="75">
        <v>5528</v>
      </c>
      <c r="AY32" s="90">
        <f>IF(AX32&gt;0,SUM(AX$7:AX32)-SUM(AW$7:AW32),0)</f>
        <v>-26203</v>
      </c>
      <c r="AZ32" s="45">
        <f t="shared" si="31"/>
        <v>0.83757575757575753</v>
      </c>
      <c r="BA32" s="35">
        <f t="shared" si="4"/>
        <v>19800</v>
      </c>
      <c r="BB32" s="35">
        <f t="shared" si="10"/>
        <v>19404</v>
      </c>
      <c r="BC32" s="91">
        <f>IF(BB32&gt;0,SUM(BB$7:BB32)-SUM(BA$7:BA32),0)</f>
        <v>-25954</v>
      </c>
      <c r="BD32" s="45">
        <f t="shared" si="24"/>
        <v>0.98</v>
      </c>
      <c r="BF32" s="47">
        <f t="shared" si="25"/>
        <v>40842</v>
      </c>
      <c r="BG32" s="54" t="str">
        <f t="shared" si="11"/>
        <v>ter</v>
      </c>
      <c r="BH32" s="75">
        <v>15200</v>
      </c>
      <c r="BI32" s="75">
        <v>12888</v>
      </c>
      <c r="BJ32" s="75">
        <f>IF(BI32&gt;0,SUM(BI$7:BI32)-SUM(BH$7:BH32),0)</f>
        <v>-48705</v>
      </c>
      <c r="BK32" s="45">
        <f t="shared" si="26"/>
        <v>0.84789473684210526</v>
      </c>
      <c r="BL32" s="75">
        <v>8000</v>
      </c>
      <c r="BM32" s="75">
        <v>7390</v>
      </c>
      <c r="BN32" s="90">
        <f>IF(BM32&gt;0,SUM(BM$7:BM32)-SUM(BL$7:BL32),0)</f>
        <v>-48568</v>
      </c>
      <c r="BO32" s="45">
        <f t="shared" si="27"/>
        <v>0.92374999999999996</v>
      </c>
      <c r="BP32" s="75">
        <v>9000</v>
      </c>
      <c r="BQ32" s="75">
        <v>15216</v>
      </c>
      <c r="BR32" s="90">
        <f>IF(BQ32&gt;0,SUM(BQ$7:BQ32)-SUM(BP$7:BP32),0)</f>
        <v>-63600</v>
      </c>
      <c r="BS32" s="45">
        <f t="shared" si="32"/>
        <v>1.6906666666666668</v>
      </c>
      <c r="BT32" s="35">
        <f t="shared" si="5"/>
        <v>32200</v>
      </c>
      <c r="BU32" s="35">
        <f t="shared" si="5"/>
        <v>35494</v>
      </c>
      <c r="BV32" s="91">
        <f>IF(BU32&gt;0,SUM(BU$7:BU32)-SUM(BT$7:BT32),0)</f>
        <v>-160873</v>
      </c>
      <c r="BW32" s="45">
        <f t="shared" si="28"/>
        <v>1.1022981366459628</v>
      </c>
      <c r="BY32" s="47">
        <f t="shared" si="29"/>
        <v>40842</v>
      </c>
      <c r="BZ32" s="54" t="str">
        <f t="shared" si="12"/>
        <v>ter</v>
      </c>
      <c r="CA32" s="75">
        <v>2550</v>
      </c>
      <c r="CB32" s="75">
        <v>4218</v>
      </c>
      <c r="CC32" s="90">
        <f>IF(CB32&gt;0,SUM(CB$7:CB32)-SUM(CA$7:CA32),0)</f>
        <v>31586</v>
      </c>
      <c r="CD32" s="45">
        <f t="shared" si="30"/>
        <v>1.6541176470588235</v>
      </c>
    </row>
    <row r="33" spans="1:82" x14ac:dyDescent="0.25">
      <c r="A33" s="47">
        <f t="shared" si="13"/>
        <v>40843</v>
      </c>
      <c r="B33" s="54" t="s">
        <v>22</v>
      </c>
      <c r="C33" s="75">
        <v>11300</v>
      </c>
      <c r="D33" s="75">
        <v>10555</v>
      </c>
      <c r="E33" s="90">
        <f>IF(D33&gt;0,SUM(D$7:D33)-SUM(C$7:C33),0)</f>
        <v>-4017</v>
      </c>
      <c r="F33" s="45">
        <f t="shared" si="14"/>
        <v>0.93407079646017699</v>
      </c>
      <c r="G33" s="75">
        <v>11300</v>
      </c>
      <c r="H33" s="75">
        <v>9228</v>
      </c>
      <c r="I33" s="75">
        <f>IF(H33&gt;0,SUM(H$7:H33)-SUM(G$7:G33),0)</f>
        <v>-58363</v>
      </c>
      <c r="J33" s="45">
        <f t="shared" si="33"/>
        <v>0.81663716814159293</v>
      </c>
      <c r="K33" s="75">
        <v>11300</v>
      </c>
      <c r="L33" s="75">
        <v>7228</v>
      </c>
      <c r="M33" s="90">
        <f>IF(L33&gt;0,SUM(L$7:L33)-SUM(K$7:K33),0)</f>
        <v>-54653</v>
      </c>
      <c r="N33" s="45">
        <f t="shared" si="35"/>
        <v>0.639646017699115</v>
      </c>
      <c r="O33" s="35">
        <f t="shared" si="34"/>
        <v>33900</v>
      </c>
      <c r="P33" s="35">
        <f t="shared" si="6"/>
        <v>27011</v>
      </c>
      <c r="Q33" s="91">
        <f>IF(P33&gt;0,SUM(P$7:P33)-SUM(O$7:O33),0)</f>
        <v>-117033</v>
      </c>
      <c r="R33" s="45">
        <f t="shared" si="15"/>
        <v>0.79678466076696164</v>
      </c>
      <c r="T33" s="47">
        <f t="shared" si="16"/>
        <v>40843</v>
      </c>
      <c r="U33" s="54" t="str">
        <f t="shared" si="7"/>
        <v>qua</v>
      </c>
      <c r="V33" s="75">
        <v>10600</v>
      </c>
      <c r="W33" s="75">
        <v>8954</v>
      </c>
      <c r="X33" s="92">
        <f>IF(W33&gt;0,SUM(W$7:W33)-SUM(V$7:V33),0)</f>
        <v>-15763</v>
      </c>
      <c r="Y33" s="60">
        <f t="shared" si="17"/>
        <v>0.8447169811320755</v>
      </c>
      <c r="Z33" s="75">
        <v>10600</v>
      </c>
      <c r="AA33" s="75">
        <v>10310</v>
      </c>
      <c r="AB33" s="92">
        <f>IF(AA33&gt;0,SUM(AA$7:AA33)-SUM(Z$7:Z33),0)</f>
        <v>-51800</v>
      </c>
      <c r="AC33" s="60">
        <f t="shared" si="18"/>
        <v>0.97264150943396221</v>
      </c>
      <c r="AD33" s="75">
        <v>10600</v>
      </c>
      <c r="AE33" s="75">
        <v>8764</v>
      </c>
      <c r="AF33" s="92">
        <f>IF(AE33&gt;0,SUM(AE$7:AE33)-SUM(AD$7:AD33),0)</f>
        <v>-70124</v>
      </c>
      <c r="AG33" s="60">
        <f t="shared" si="19"/>
        <v>0.82679245283018865</v>
      </c>
      <c r="AH33" s="41">
        <f t="shared" si="3"/>
        <v>31800</v>
      </c>
      <c r="AI33" s="41">
        <f t="shared" si="8"/>
        <v>28028</v>
      </c>
      <c r="AJ33" s="93">
        <f>IF(AI33&gt;0,SUM(AI$7:AI33)-SUM(AH$7:AH33),0)</f>
        <v>-137687</v>
      </c>
      <c r="AK33" s="60">
        <f t="shared" si="20"/>
        <v>0.88138364779874212</v>
      </c>
      <c r="AM33" s="47">
        <f t="shared" si="21"/>
        <v>40843</v>
      </c>
      <c r="AN33" s="54" t="str">
        <f t="shared" si="9"/>
        <v>qua</v>
      </c>
      <c r="AO33" s="75">
        <v>6600</v>
      </c>
      <c r="AP33" s="75">
        <v>9340</v>
      </c>
      <c r="AQ33" s="75">
        <f>IF(AP33&gt;0,SUM(AP$7:AP33)-SUM(AO$7:AO33),0)</f>
        <v>14926</v>
      </c>
      <c r="AR33" s="45">
        <f t="shared" si="22"/>
        <v>1.415151515151515</v>
      </c>
      <c r="AS33" s="75">
        <v>6600</v>
      </c>
      <c r="AT33" s="75">
        <v>5224</v>
      </c>
      <c r="AU33" s="90">
        <f>IF(AT33&gt;0,SUM(AT$7:AT33)-SUM(AS$7:AS33),0)</f>
        <v>-13313</v>
      </c>
      <c r="AV33" s="45">
        <f t="shared" si="23"/>
        <v>0.7915151515151515</v>
      </c>
      <c r="AW33" s="75">
        <v>6600</v>
      </c>
      <c r="AX33" s="75">
        <v>4418</v>
      </c>
      <c r="AY33" s="90">
        <f>IF(AX33&gt;0,SUM(AX$7:AX33)-SUM(AW$7:AW33),0)</f>
        <v>-28385</v>
      </c>
      <c r="AZ33" s="45">
        <f t="shared" si="31"/>
        <v>0.66939393939393943</v>
      </c>
      <c r="BA33" s="35">
        <f t="shared" si="4"/>
        <v>19800</v>
      </c>
      <c r="BB33" s="35">
        <f t="shared" si="10"/>
        <v>18982</v>
      </c>
      <c r="BC33" s="91">
        <f>IF(BB33&gt;0,SUM(BB$7:BB33)-SUM(BA$7:BA33),0)</f>
        <v>-26772</v>
      </c>
      <c r="BD33" s="45">
        <f t="shared" si="24"/>
        <v>0.9586868686868687</v>
      </c>
      <c r="BF33" s="47">
        <f t="shared" si="25"/>
        <v>40843</v>
      </c>
      <c r="BG33" s="54" t="str">
        <f t="shared" si="11"/>
        <v>qua</v>
      </c>
      <c r="BH33" s="75">
        <v>15200</v>
      </c>
      <c r="BI33" s="75">
        <v>12209</v>
      </c>
      <c r="BJ33" s="75">
        <f>IF(BI33&gt;0,SUM(BI$7:BI33)-SUM(BH$7:BH33),0)</f>
        <v>-51696</v>
      </c>
      <c r="BK33" s="45">
        <f t="shared" si="26"/>
        <v>0.80322368421052637</v>
      </c>
      <c r="BL33" s="75">
        <v>8000</v>
      </c>
      <c r="BM33" s="75">
        <v>6772</v>
      </c>
      <c r="BN33" s="90">
        <f>IF(BM33&gt;0,SUM(BM$7:BM33)-SUM(BL$7:BL33),0)</f>
        <v>-49796</v>
      </c>
      <c r="BO33" s="45">
        <f t="shared" si="27"/>
        <v>0.84650000000000003</v>
      </c>
      <c r="BP33" s="75">
        <v>9000</v>
      </c>
      <c r="BQ33" s="75">
        <v>14769</v>
      </c>
      <c r="BR33" s="90">
        <f>IF(BQ33&gt;0,SUM(BQ$7:BQ33)-SUM(BP$7:BP33),0)</f>
        <v>-57831</v>
      </c>
      <c r="BS33" s="45">
        <f t="shared" si="32"/>
        <v>1.641</v>
      </c>
      <c r="BT33" s="35">
        <f t="shared" si="5"/>
        <v>32200</v>
      </c>
      <c r="BU33" s="35">
        <f t="shared" si="5"/>
        <v>33750</v>
      </c>
      <c r="BV33" s="91">
        <f>IF(BU33&gt;0,SUM(BU$7:BU33)-SUM(BT$7:BT33),0)</f>
        <v>-159323</v>
      </c>
      <c r="BW33" s="45">
        <f t="shared" si="28"/>
        <v>1.0481366459627328</v>
      </c>
      <c r="BY33" s="47">
        <f t="shared" si="29"/>
        <v>40843</v>
      </c>
      <c r="BZ33" s="54" t="str">
        <f t="shared" si="12"/>
        <v>qua</v>
      </c>
      <c r="CA33" s="75">
        <v>2550</v>
      </c>
      <c r="CB33" s="75">
        <v>3219</v>
      </c>
      <c r="CC33" s="90">
        <f>IF(CB33&gt;0,SUM(CB$7:CB33)-SUM(CA$7:CA33),0)</f>
        <v>32255</v>
      </c>
      <c r="CD33" s="45">
        <f t="shared" si="30"/>
        <v>1.2623529411764707</v>
      </c>
    </row>
    <row r="34" spans="1:82" x14ac:dyDescent="0.25">
      <c r="A34" s="47">
        <f t="shared" si="13"/>
        <v>40844</v>
      </c>
      <c r="B34" s="54" t="s">
        <v>23</v>
      </c>
      <c r="C34" s="75">
        <v>11300</v>
      </c>
      <c r="D34" s="75">
        <v>10658</v>
      </c>
      <c r="E34" s="90">
        <f>IF(D34&gt;0,SUM(D$7:D34)-SUM(C$7:C34),0)</f>
        <v>-4659</v>
      </c>
      <c r="F34" s="45">
        <f t="shared" si="14"/>
        <v>0.94318584070796463</v>
      </c>
      <c r="G34" s="75">
        <v>11300</v>
      </c>
      <c r="H34" s="75">
        <v>4850</v>
      </c>
      <c r="I34" s="75">
        <f>IF(H34&gt;0,SUM(H$7:H34)-SUM(G$7:G34),0)</f>
        <v>-64813</v>
      </c>
      <c r="J34" s="45">
        <f t="shared" si="33"/>
        <v>0.42920353982300885</v>
      </c>
      <c r="K34" s="75">
        <v>11300</v>
      </c>
      <c r="L34" s="75">
        <v>8755</v>
      </c>
      <c r="M34" s="90">
        <f>IF(L34&gt;0,SUM(L$7:L34)-SUM(K$7:K34),0)</f>
        <v>-57198</v>
      </c>
      <c r="N34" s="45">
        <f t="shared" si="35"/>
        <v>0.77477876106194687</v>
      </c>
      <c r="O34" s="35">
        <f t="shared" si="34"/>
        <v>33900</v>
      </c>
      <c r="P34" s="35">
        <f t="shared" si="6"/>
        <v>24263</v>
      </c>
      <c r="Q34" s="91">
        <f>IF(P34&gt;0,SUM(P$7:P34)-SUM(O$7:O34),0)</f>
        <v>-126670</v>
      </c>
      <c r="R34" s="45">
        <f t="shared" si="15"/>
        <v>0.71572271386430675</v>
      </c>
      <c r="T34" s="47">
        <f t="shared" si="16"/>
        <v>40844</v>
      </c>
      <c r="U34" s="54" t="str">
        <f t="shared" si="7"/>
        <v>qui</v>
      </c>
      <c r="V34" s="75">
        <v>10600</v>
      </c>
      <c r="W34" s="75">
        <v>7221</v>
      </c>
      <c r="X34" s="92">
        <f>IF(W34&gt;0,SUM(W$7:W34)-SUM(V$7:V34),0)</f>
        <v>-19142</v>
      </c>
      <c r="Y34" s="60">
        <f t="shared" si="17"/>
        <v>0.68122641509433968</v>
      </c>
      <c r="Z34" s="75">
        <v>10600</v>
      </c>
      <c r="AA34" s="75">
        <v>10052</v>
      </c>
      <c r="AB34" s="92">
        <f>IF(AA34&gt;0,SUM(AA$7:AA34)-SUM(Z$7:Z34),0)</f>
        <v>-52348</v>
      </c>
      <c r="AC34" s="60">
        <f t="shared" si="18"/>
        <v>0.94830188679245286</v>
      </c>
      <c r="AD34" s="75">
        <v>10600</v>
      </c>
      <c r="AE34" s="75">
        <v>7328</v>
      </c>
      <c r="AF34" s="92">
        <f>IF(AE34&gt;0,SUM(AE$7:AE34)-SUM(AD$7:AD34),0)</f>
        <v>-73396</v>
      </c>
      <c r="AG34" s="60">
        <f t="shared" si="19"/>
        <v>0.69132075471698118</v>
      </c>
      <c r="AH34" s="41">
        <f t="shared" si="3"/>
        <v>31800</v>
      </c>
      <c r="AI34" s="41">
        <f t="shared" si="8"/>
        <v>24601</v>
      </c>
      <c r="AJ34" s="93">
        <f>IF(AI34&gt;0,SUM(AI$7:AI34)-SUM(AH$7:AH34),0)</f>
        <v>-144886</v>
      </c>
      <c r="AK34" s="60">
        <f t="shared" si="20"/>
        <v>0.77361635220125791</v>
      </c>
      <c r="AM34" s="47">
        <f t="shared" si="21"/>
        <v>40844</v>
      </c>
      <c r="AN34" s="54" t="str">
        <f t="shared" si="9"/>
        <v>qui</v>
      </c>
      <c r="AO34" s="75">
        <v>6600</v>
      </c>
      <c r="AP34" s="75">
        <v>9005</v>
      </c>
      <c r="AQ34" s="75">
        <f>IF(AP34&gt;0,SUM(AP$7:AP34)-SUM(AO$7:AO34),0)</f>
        <v>17331</v>
      </c>
      <c r="AR34" s="45">
        <f t="shared" si="22"/>
        <v>1.3643939393939395</v>
      </c>
      <c r="AS34" s="75">
        <v>6600</v>
      </c>
      <c r="AT34" s="75">
        <v>6488</v>
      </c>
      <c r="AU34" s="90">
        <f>IF(AT34&gt;0,SUM(AT$7:AT34)-SUM(AS$7:AS34),0)</f>
        <v>-13425</v>
      </c>
      <c r="AV34" s="45">
        <f t="shared" si="23"/>
        <v>0.98303030303030303</v>
      </c>
      <c r="AW34" s="75">
        <v>6600</v>
      </c>
      <c r="AX34" s="75">
        <v>5453</v>
      </c>
      <c r="AY34" s="90">
        <f>IF(AX34&gt;0,SUM(AX$7:AX34)-SUM(AW$7:AW34),0)</f>
        <v>-29532</v>
      </c>
      <c r="AZ34" s="45">
        <f t="shared" si="31"/>
        <v>0.82621212121212118</v>
      </c>
      <c r="BA34" s="35">
        <f t="shared" si="4"/>
        <v>19800</v>
      </c>
      <c r="BB34" s="35">
        <f t="shared" si="10"/>
        <v>20946</v>
      </c>
      <c r="BC34" s="91">
        <f>IF(BB34&gt;0,SUM(BB$7:BB34)-SUM(BA$7:BA34),0)</f>
        <v>-25626</v>
      </c>
      <c r="BD34" s="45">
        <f t="shared" si="24"/>
        <v>1.0578787878787879</v>
      </c>
      <c r="BF34" s="47">
        <f t="shared" si="25"/>
        <v>40844</v>
      </c>
      <c r="BG34" s="54" t="str">
        <f t="shared" si="11"/>
        <v>qui</v>
      </c>
      <c r="BH34" s="75">
        <v>15200</v>
      </c>
      <c r="BI34" s="75">
        <v>13343</v>
      </c>
      <c r="BJ34" s="75">
        <f>IF(BI34&gt;0,SUM(BI$7:BI34)-SUM(BH$7:BH34),0)</f>
        <v>-53553</v>
      </c>
      <c r="BK34" s="45">
        <f t="shared" si="26"/>
        <v>0.8778289473684211</v>
      </c>
      <c r="BL34" s="75">
        <v>8000</v>
      </c>
      <c r="BM34" s="75">
        <v>7403</v>
      </c>
      <c r="BN34" s="90">
        <f>IF(BM34&gt;0,SUM(BM$7:BM34)-SUM(BL$7:BL34),0)</f>
        <v>-50393</v>
      </c>
      <c r="BO34" s="45">
        <f t="shared" si="27"/>
        <v>0.92537499999999995</v>
      </c>
      <c r="BP34" s="75">
        <v>9000</v>
      </c>
      <c r="BQ34" s="75">
        <v>9946</v>
      </c>
      <c r="BR34" s="90">
        <f>IF(BQ34&gt;0,SUM(BQ$7:BQ34)-SUM(BP$7:BP34),0)</f>
        <v>-56885</v>
      </c>
      <c r="BS34" s="45">
        <f t="shared" si="32"/>
        <v>1.1051111111111112</v>
      </c>
      <c r="BT34" s="35">
        <f t="shared" si="5"/>
        <v>32200</v>
      </c>
      <c r="BU34" s="35">
        <f t="shared" si="5"/>
        <v>30692</v>
      </c>
      <c r="BV34" s="91">
        <f>IF(BU34&gt;0,SUM(BU$7:BU34)-SUM(BT$7:BT34),0)</f>
        <v>-160831</v>
      </c>
      <c r="BW34" s="45">
        <f t="shared" si="28"/>
        <v>0.95316770186335409</v>
      </c>
      <c r="BY34" s="47">
        <f t="shared" si="29"/>
        <v>40844</v>
      </c>
      <c r="BZ34" s="54" t="str">
        <f t="shared" si="12"/>
        <v>qui</v>
      </c>
      <c r="CA34" s="75">
        <v>2550</v>
      </c>
      <c r="CB34" s="75">
        <v>4303</v>
      </c>
      <c r="CC34" s="90">
        <f>IF(CB34&gt;0,SUM(CB$7:CB34)-SUM(CA$7:CA34),0)</f>
        <v>34008</v>
      </c>
      <c r="CD34" s="45">
        <f t="shared" si="30"/>
        <v>1.6874509803921569</v>
      </c>
    </row>
    <row r="35" spans="1:82" x14ac:dyDescent="0.25">
      <c r="A35" s="47">
        <f t="shared" si="13"/>
        <v>40845</v>
      </c>
      <c r="B35" s="54" t="s">
        <v>24</v>
      </c>
      <c r="C35" s="75">
        <v>11300</v>
      </c>
      <c r="D35" s="75">
        <v>5633</v>
      </c>
      <c r="E35" s="90">
        <f>IF(D35&gt;0,SUM(D$7:D35)-SUM(C$7:C35),0)</f>
        <v>-10326</v>
      </c>
      <c r="F35" s="45">
        <f t="shared" si="14"/>
        <v>0.49849557522123894</v>
      </c>
      <c r="G35" s="75">
        <v>11300</v>
      </c>
      <c r="H35" s="75">
        <v>8693</v>
      </c>
      <c r="I35" s="75">
        <f>IF(H35&gt;0,SUM(H$7:H35)-SUM(G$7:G35),0)</f>
        <v>-67420</v>
      </c>
      <c r="J35" s="45">
        <f t="shared" si="33"/>
        <v>0.7692920353982301</v>
      </c>
      <c r="K35" s="75">
        <v>11300</v>
      </c>
      <c r="L35" s="75">
        <v>5475</v>
      </c>
      <c r="M35" s="90">
        <f>IF(L35&gt;0,SUM(L$7:L35)-SUM(K$7:K35),0)</f>
        <v>-63023</v>
      </c>
      <c r="N35" s="45">
        <f t="shared" si="35"/>
        <v>0.48451327433628316</v>
      </c>
      <c r="O35" s="35">
        <f t="shared" si="34"/>
        <v>33900</v>
      </c>
      <c r="P35" s="35">
        <f t="shared" si="6"/>
        <v>19801</v>
      </c>
      <c r="Q35" s="91">
        <f>IF(P35&gt;0,SUM(P$7:P35)-SUM(O$7:O35),0)</f>
        <v>-140769</v>
      </c>
      <c r="R35" s="45">
        <f t="shared" si="15"/>
        <v>0.58410029498525073</v>
      </c>
      <c r="T35" s="47">
        <f t="shared" si="16"/>
        <v>40845</v>
      </c>
      <c r="U35" s="54" t="str">
        <f t="shared" si="7"/>
        <v>sex</v>
      </c>
      <c r="V35" s="75">
        <v>10600</v>
      </c>
      <c r="W35" s="75">
        <v>11008</v>
      </c>
      <c r="X35" s="92">
        <f>IF(W35&gt;0,SUM(W$7:W35)-SUM(V$7:V35),0)</f>
        <v>-18734</v>
      </c>
      <c r="Y35" s="60">
        <f t="shared" si="17"/>
        <v>1.0384905660377359</v>
      </c>
      <c r="Z35" s="75">
        <v>10600</v>
      </c>
      <c r="AA35" s="75">
        <v>10385</v>
      </c>
      <c r="AB35" s="92">
        <f>IF(AA35&gt;0,SUM(AA$7:AA35)-SUM(Z$7:Z35),0)</f>
        <v>-52563</v>
      </c>
      <c r="AC35" s="60">
        <f t="shared" si="18"/>
        <v>0.9797169811320755</v>
      </c>
      <c r="AD35" s="75">
        <v>10600</v>
      </c>
      <c r="AE35" s="75">
        <v>8261</v>
      </c>
      <c r="AF35" s="92">
        <f>IF(AE35&gt;0,SUM(AE$7:AE35)-SUM(AD$7:AD35),0)</f>
        <v>-75735</v>
      </c>
      <c r="AG35" s="60">
        <f t="shared" si="19"/>
        <v>0.77933962264150947</v>
      </c>
      <c r="AH35" s="41">
        <f t="shared" si="3"/>
        <v>31800</v>
      </c>
      <c r="AI35" s="41">
        <f t="shared" si="8"/>
        <v>29654</v>
      </c>
      <c r="AJ35" s="93">
        <f>IF(AI35&gt;0,SUM(AI$7:AI35)-SUM(AH$7:AH35),0)</f>
        <v>-147032</v>
      </c>
      <c r="AK35" s="60">
        <f t="shared" si="20"/>
        <v>0.9325157232704403</v>
      </c>
      <c r="AM35" s="47">
        <f t="shared" si="21"/>
        <v>40845</v>
      </c>
      <c r="AN35" s="54" t="str">
        <f t="shared" si="9"/>
        <v>sex</v>
      </c>
      <c r="AO35" s="75">
        <v>6600</v>
      </c>
      <c r="AP35" s="75">
        <v>4958</v>
      </c>
      <c r="AQ35" s="75">
        <f>IF(AP35&gt;0,SUM(AP$7:AP35)-SUM(AO$7:AO35),0)</f>
        <v>15689</v>
      </c>
      <c r="AR35" s="45">
        <f t="shared" si="22"/>
        <v>0.75121212121212122</v>
      </c>
      <c r="AS35" s="75">
        <v>6600</v>
      </c>
      <c r="AT35" s="75">
        <v>4956</v>
      </c>
      <c r="AU35" s="90">
        <f>IF(AT35&gt;0,SUM(AT$7:AT35)-SUM(AS$7:AS35),0)</f>
        <v>-15069</v>
      </c>
      <c r="AV35" s="45">
        <f t="shared" si="23"/>
        <v>0.75090909090909086</v>
      </c>
      <c r="AW35" s="75">
        <v>6600</v>
      </c>
      <c r="AX35" s="75">
        <v>3470</v>
      </c>
      <c r="AY35" s="90">
        <f>IF(AX35&gt;0,SUM(AX$7:AX35)-SUM(AW$7:AW35),0)</f>
        <v>-32662</v>
      </c>
      <c r="AZ35" s="45">
        <f t="shared" si="31"/>
        <v>0.52575757575757576</v>
      </c>
      <c r="BA35" s="35">
        <f t="shared" si="4"/>
        <v>19800</v>
      </c>
      <c r="BB35" s="35">
        <f t="shared" si="10"/>
        <v>13384</v>
      </c>
      <c r="BC35" s="91">
        <f>IF(BB35&gt;0,SUM(BB$7:BB35)-SUM(BA$7:BA35),0)</f>
        <v>-32042</v>
      </c>
      <c r="BD35" s="45">
        <f t="shared" si="24"/>
        <v>0.67595959595959598</v>
      </c>
      <c r="BF35" s="47">
        <f t="shared" si="25"/>
        <v>40845</v>
      </c>
      <c r="BG35" s="54" t="str">
        <f t="shared" si="11"/>
        <v>sex</v>
      </c>
      <c r="BH35" s="75">
        <v>15200</v>
      </c>
      <c r="BI35" s="75">
        <v>9729</v>
      </c>
      <c r="BJ35" s="75">
        <f>IF(BI35&gt;0,SUM(BI$7:BI35)-SUM(BH$7:BH35),0)</f>
        <v>-59024</v>
      </c>
      <c r="BK35" s="45">
        <f t="shared" si="26"/>
        <v>0.6400657894736842</v>
      </c>
      <c r="BL35" s="75">
        <v>8000</v>
      </c>
      <c r="BM35" s="75">
        <v>3655</v>
      </c>
      <c r="BN35" s="90">
        <f>IF(BM35&gt;0,SUM(BM$7:BM35)-SUM(BL$7:BL35),0)</f>
        <v>-54738</v>
      </c>
      <c r="BO35" s="45">
        <f t="shared" si="27"/>
        <v>0.45687499999999998</v>
      </c>
      <c r="BP35" s="75">
        <v>9000</v>
      </c>
      <c r="BQ35" s="75">
        <v>14142</v>
      </c>
      <c r="BR35" s="90">
        <f>IF(BQ35&gt;0,SUM(BQ$7:BQ35)-SUM(BP$7:BP35),0)</f>
        <v>-51743</v>
      </c>
      <c r="BS35" s="45">
        <f t="shared" si="32"/>
        <v>1.5713333333333332</v>
      </c>
      <c r="BT35" s="35">
        <f t="shared" si="5"/>
        <v>32200</v>
      </c>
      <c r="BU35" s="35">
        <f t="shared" si="5"/>
        <v>27526</v>
      </c>
      <c r="BV35" s="91">
        <f>IF(BU35&gt;0,SUM(BU$7:BU35)-SUM(BT$7:BT35),0)</f>
        <v>-165505</v>
      </c>
      <c r="BW35" s="45">
        <f t="shared" si="28"/>
        <v>0.85484472049689442</v>
      </c>
      <c r="BY35" s="47">
        <f t="shared" si="29"/>
        <v>40845</v>
      </c>
      <c r="BZ35" s="54" t="str">
        <f t="shared" si="12"/>
        <v>sex</v>
      </c>
      <c r="CA35" s="75">
        <v>2550</v>
      </c>
      <c r="CB35" s="75">
        <v>2988</v>
      </c>
      <c r="CC35" s="90">
        <f>IF(CB35&gt;0,SUM(CB$7:CB35)-SUM(CA$7:CA35),0)</f>
        <v>34446</v>
      </c>
      <c r="CD35" s="45">
        <f t="shared" si="30"/>
        <v>1.171764705882353</v>
      </c>
    </row>
    <row r="36" spans="1:82" x14ac:dyDescent="0.25">
      <c r="A36" s="47">
        <f t="shared" si="13"/>
        <v>40846</v>
      </c>
      <c r="B36" s="54" t="s">
        <v>25</v>
      </c>
      <c r="C36" s="75">
        <v>11300</v>
      </c>
      <c r="D36" s="75">
        <v>3952</v>
      </c>
      <c r="E36" s="90">
        <f>IF(D36&gt;0,SUM(D$7:D36)-SUM(C$7:C36),0)</f>
        <v>-17674</v>
      </c>
      <c r="F36" s="45">
        <f t="shared" si="14"/>
        <v>0.3497345132743363</v>
      </c>
      <c r="G36" s="75">
        <v>11300</v>
      </c>
      <c r="H36" s="75">
        <v>6510</v>
      </c>
      <c r="I36" s="75">
        <f>IF(H36&gt;0,SUM(H$7:H36)-SUM(G$7:G36),0)</f>
        <v>-72210</v>
      </c>
      <c r="J36" s="45">
        <f t="shared" si="33"/>
        <v>0.57610619469026547</v>
      </c>
      <c r="K36" s="75">
        <v>11300</v>
      </c>
      <c r="L36" s="75">
        <v>7020</v>
      </c>
      <c r="M36" s="90">
        <f>IF(L36&gt;0,SUM(L$7:L36)-SUM(K$7:K36),0)</f>
        <v>-67303</v>
      </c>
      <c r="N36" s="45">
        <f t="shared" si="35"/>
        <v>0.62123893805309738</v>
      </c>
      <c r="O36" s="35">
        <f t="shared" si="34"/>
        <v>33900</v>
      </c>
      <c r="P36" s="35">
        <f t="shared" si="6"/>
        <v>17482</v>
      </c>
      <c r="Q36" s="91">
        <f>IF(P36&gt;0,SUM(P$7:P36)-SUM(O$7:O36),0)</f>
        <v>-157187</v>
      </c>
      <c r="R36" s="45">
        <f t="shared" si="15"/>
        <v>0.51569321533923307</v>
      </c>
      <c r="T36" s="47">
        <f t="shared" si="16"/>
        <v>40846</v>
      </c>
      <c r="U36" s="54" t="str">
        <f t="shared" si="7"/>
        <v>sáb</v>
      </c>
      <c r="V36" s="75">
        <v>10600</v>
      </c>
      <c r="W36" s="75">
        <v>8295</v>
      </c>
      <c r="X36" s="92">
        <f>IF(W36&gt;0,SUM(W$7:W36)-SUM(V$7:V36),0)</f>
        <v>-21039</v>
      </c>
      <c r="Y36" s="60">
        <f t="shared" si="17"/>
        <v>0.78254716981132078</v>
      </c>
      <c r="Z36" s="75">
        <v>10600</v>
      </c>
      <c r="AA36" s="75">
        <v>7614</v>
      </c>
      <c r="AB36" s="92">
        <f>IF(AA36&gt;0,SUM(AA$7:AA36)-SUM(Z$7:Z36),0)</f>
        <v>-55549</v>
      </c>
      <c r="AC36" s="60">
        <f t="shared" si="18"/>
        <v>0.71830188679245288</v>
      </c>
      <c r="AD36" s="75">
        <v>10600</v>
      </c>
      <c r="AE36" s="75">
        <v>7328</v>
      </c>
      <c r="AF36" s="92">
        <f>IF(AE36&gt;0,SUM(AE$7:AE36)-SUM(AD$7:AD36),0)</f>
        <v>-79007</v>
      </c>
      <c r="AG36" s="60">
        <f t="shared" si="19"/>
        <v>0.69132075471698118</v>
      </c>
      <c r="AH36" s="41">
        <f t="shared" si="3"/>
        <v>31800</v>
      </c>
      <c r="AI36" s="41">
        <f t="shared" si="8"/>
        <v>23237</v>
      </c>
      <c r="AJ36" s="93">
        <f>IF(AI36&gt;0,SUM(AI$7:AI36)-SUM(AH$7:AH36),0)</f>
        <v>-155595</v>
      </c>
      <c r="AK36" s="60">
        <f t="shared" si="20"/>
        <v>0.73072327044025154</v>
      </c>
      <c r="AM36" s="47">
        <f t="shared" si="21"/>
        <v>40846</v>
      </c>
      <c r="AN36" s="54" t="str">
        <f t="shared" si="9"/>
        <v>sáb</v>
      </c>
      <c r="AO36" s="75">
        <v>6600</v>
      </c>
      <c r="AP36" s="75">
        <v>4243</v>
      </c>
      <c r="AQ36" s="75">
        <f>IF(AP36&gt;0,SUM(AP$7:AP36)-SUM(AO$7:AO36),0)</f>
        <v>13332</v>
      </c>
      <c r="AR36" s="45">
        <f t="shared" si="22"/>
        <v>0.64287878787878783</v>
      </c>
      <c r="AS36" s="75">
        <v>6600</v>
      </c>
      <c r="AT36" s="75">
        <v>3806</v>
      </c>
      <c r="AU36" s="90">
        <f>IF(AT36&gt;0,SUM(AT$7:AT36)-SUM(AS$7:AS36),0)</f>
        <v>-17863</v>
      </c>
      <c r="AV36" s="45">
        <f t="shared" si="23"/>
        <v>0.57666666666666666</v>
      </c>
      <c r="AW36" s="75">
        <v>6600</v>
      </c>
      <c r="AX36" s="75">
        <v>5228</v>
      </c>
      <c r="AY36" s="90">
        <f>IF(AX36&gt;0,SUM(AX$7:AX36)-SUM(AW$7:AW36),0)</f>
        <v>-34034</v>
      </c>
      <c r="AZ36" s="45">
        <f t="shared" si="31"/>
        <v>0.79212121212121211</v>
      </c>
      <c r="BA36" s="35">
        <f t="shared" si="4"/>
        <v>19800</v>
      </c>
      <c r="BB36" s="35">
        <f t="shared" si="10"/>
        <v>13277</v>
      </c>
      <c r="BC36" s="91">
        <f>IF(BB36&gt;0,SUM(BB$7:BB36)-SUM(BA$7:BA36),0)</f>
        <v>-38565</v>
      </c>
      <c r="BD36" s="45">
        <f t="shared" si="24"/>
        <v>0.67055555555555557</v>
      </c>
      <c r="BF36" s="47">
        <f t="shared" si="25"/>
        <v>40846</v>
      </c>
      <c r="BG36" s="54" t="str">
        <f t="shared" si="11"/>
        <v>sáb</v>
      </c>
      <c r="BH36" s="75">
        <v>15200</v>
      </c>
      <c r="BI36" s="75">
        <v>8981</v>
      </c>
      <c r="BJ36" s="75">
        <f>IF(BI36&gt;0,SUM(BI$7:BI36)-SUM(BH$7:BH36),0)</f>
        <v>-65243</v>
      </c>
      <c r="BK36" s="45">
        <f t="shared" si="26"/>
        <v>0.59085526315789472</v>
      </c>
      <c r="BL36" s="75">
        <v>8000</v>
      </c>
      <c r="BM36" s="75">
        <v>4322</v>
      </c>
      <c r="BN36" s="90">
        <f>IF(BM36&gt;0,SUM(BM$7:BM36)-SUM(BL$7:BL36),0)</f>
        <v>-58416</v>
      </c>
      <c r="BO36" s="45">
        <f t="shared" si="27"/>
        <v>0.54025000000000001</v>
      </c>
      <c r="BP36" s="75">
        <v>9000</v>
      </c>
      <c r="BQ36" s="75">
        <v>2567</v>
      </c>
      <c r="BR36" s="90">
        <f>IF(BQ36&gt;0,SUM(BQ$7:BQ36)-SUM(BP$7:BP36),0)</f>
        <v>-58176</v>
      </c>
      <c r="BS36" s="45">
        <f t="shared" si="32"/>
        <v>0.28522222222222221</v>
      </c>
      <c r="BT36" s="35">
        <f t="shared" si="5"/>
        <v>32200</v>
      </c>
      <c r="BU36" s="35">
        <f t="shared" si="5"/>
        <v>15870</v>
      </c>
      <c r="BV36" s="91">
        <f>IF(BU36&gt;0,SUM(BU$7:BU36)-SUM(BT$7:BT36),0)</f>
        <v>-181835</v>
      </c>
      <c r="BW36" s="45">
        <f t="shared" si="28"/>
        <v>0.49285714285714288</v>
      </c>
      <c r="BY36" s="47">
        <f t="shared" si="29"/>
        <v>40846</v>
      </c>
      <c r="BZ36" s="54" t="str">
        <f t="shared" si="12"/>
        <v>sáb</v>
      </c>
      <c r="CA36" s="75">
        <v>2550</v>
      </c>
      <c r="CB36" s="75">
        <v>3705</v>
      </c>
      <c r="CC36" s="90">
        <f>IF(CB36&gt;0,SUM(CB$7:CB36)-SUM(CA$7:CA36),0)</f>
        <v>35601</v>
      </c>
      <c r="CD36" s="45">
        <f t="shared" si="30"/>
        <v>1.4529411764705882</v>
      </c>
    </row>
    <row r="37" spans="1:82" x14ac:dyDescent="0.25">
      <c r="A37" s="47">
        <v>31</v>
      </c>
      <c r="B37" s="54" t="s">
        <v>26</v>
      </c>
      <c r="C37" s="75"/>
      <c r="D37" s="75"/>
      <c r="E37" s="90">
        <f>IF(D37&gt;0,SUM(D$7:D37)-SUM(C$7:C37),0)</f>
        <v>0</v>
      </c>
      <c r="F37" s="45">
        <f t="shared" si="14"/>
        <v>0</v>
      </c>
      <c r="G37" s="75"/>
      <c r="H37" s="75"/>
      <c r="I37" s="75">
        <f>IF(H37&gt;0,SUM(H$7:H37)-SUM(G$7:G37),0)</f>
        <v>0</v>
      </c>
      <c r="J37" s="45">
        <f>IF(H37&gt;0,IF(G37&gt;0,H37/G37,0),0)</f>
        <v>0</v>
      </c>
      <c r="K37" s="75"/>
      <c r="L37" s="75"/>
      <c r="M37" s="90">
        <f>IF(L37&gt;0,SUM(L$7:L37)-SUM(K$7:K37),0)</f>
        <v>0</v>
      </c>
      <c r="N37" s="45">
        <f t="shared" si="35"/>
        <v>0</v>
      </c>
      <c r="O37" s="35">
        <f>IF(SUM(C37,G37,K37)&gt;0,SUM(C37,G37,K37),0)</f>
        <v>0</v>
      </c>
      <c r="P37" s="35">
        <f t="shared" si="6"/>
        <v>0</v>
      </c>
      <c r="Q37" s="91">
        <f>IF(P37&gt;0,SUM(P$7:P37)-SUM(O$7:O37),0)</f>
        <v>0</v>
      </c>
      <c r="R37" s="45">
        <f t="shared" si="15"/>
        <v>0</v>
      </c>
      <c r="T37" s="47">
        <v>31</v>
      </c>
      <c r="U37" s="54" t="str">
        <f t="shared" si="7"/>
        <v>dom</v>
      </c>
      <c r="V37" s="75"/>
      <c r="W37" s="75"/>
      <c r="X37" s="92">
        <f>IF(W37&gt;0,SUM(W$7:W37)-SUM(V$7:V37),0)</f>
        <v>0</v>
      </c>
      <c r="Y37" s="60">
        <f t="shared" si="17"/>
        <v>0</v>
      </c>
      <c r="Z37" s="75"/>
      <c r="AA37" s="75"/>
      <c r="AB37" s="92">
        <f>IF(AA37&gt;0,SUM(AA$7:AA37)-SUM(Z$7:Z37),0)</f>
        <v>0</v>
      </c>
      <c r="AC37" s="60">
        <f t="shared" si="18"/>
        <v>0</v>
      </c>
      <c r="AD37" s="75"/>
      <c r="AE37" s="75"/>
      <c r="AF37" s="92">
        <f>IF(AE37&gt;0,SUM(AE$7:AE37)-SUM(AD$7:AD37),0)</f>
        <v>0</v>
      </c>
      <c r="AG37" s="60">
        <f t="shared" si="19"/>
        <v>0</v>
      </c>
      <c r="AH37" s="41">
        <f t="shared" si="3"/>
        <v>0</v>
      </c>
      <c r="AI37" s="41">
        <f t="shared" si="8"/>
        <v>0</v>
      </c>
      <c r="AJ37" s="93">
        <f>IF(AI37&gt;0,SUM(AI$7:AI37)-SUM(AH$7:AH37),0)</f>
        <v>0</v>
      </c>
      <c r="AK37" s="60">
        <f t="shared" si="20"/>
        <v>0</v>
      </c>
      <c r="AM37" s="47">
        <v>31</v>
      </c>
      <c r="AN37" s="54" t="str">
        <f t="shared" si="9"/>
        <v>dom</v>
      </c>
      <c r="AO37" s="75"/>
      <c r="AP37" s="75"/>
      <c r="AQ37" s="75">
        <f>IF(AP37&gt;0,SUM(AP$7:AP37)-SUM(AO$7:AO37),0)</f>
        <v>0</v>
      </c>
      <c r="AR37" s="45">
        <f t="shared" si="22"/>
        <v>0</v>
      </c>
      <c r="AS37" s="75"/>
      <c r="AT37" s="75"/>
      <c r="AU37" s="90">
        <f>IF(AT37&gt;0,SUM(AT$7:AT37)-SUM(AS$7:AS37),0)</f>
        <v>0</v>
      </c>
      <c r="AV37" s="45">
        <f t="shared" si="23"/>
        <v>0</v>
      </c>
      <c r="AW37" s="75"/>
      <c r="AX37" s="75"/>
      <c r="AY37" s="90">
        <f>IF(AX37&gt;0,SUM(AX$7:AX37)-SUM(AW$7:AW37),0)</f>
        <v>0</v>
      </c>
      <c r="AZ37" s="45">
        <f t="shared" si="31"/>
        <v>0</v>
      </c>
      <c r="BA37" s="35">
        <f t="shared" si="4"/>
        <v>0</v>
      </c>
      <c r="BB37" s="35">
        <f t="shared" si="10"/>
        <v>0</v>
      </c>
      <c r="BC37" s="91">
        <f>IF(BB37&gt;0,SUM(BB$7:BB37)-SUM(BA$7:BA37),0)</f>
        <v>0</v>
      </c>
      <c r="BD37" s="45">
        <f t="shared" si="24"/>
        <v>0</v>
      </c>
      <c r="BF37" s="47">
        <v>31</v>
      </c>
      <c r="BG37" s="54" t="str">
        <f t="shared" si="11"/>
        <v>dom</v>
      </c>
      <c r="BH37" s="75"/>
      <c r="BI37" s="75"/>
      <c r="BJ37" s="75">
        <f>IF(BI37&gt;0,SUM(BI$7:BI37)-SUM(BH$7:BH37),0)</f>
        <v>0</v>
      </c>
      <c r="BK37" s="45">
        <f t="shared" si="26"/>
        <v>0</v>
      </c>
      <c r="BL37" s="75"/>
      <c r="BM37" s="75"/>
      <c r="BN37" s="90">
        <f>IF(BM37&gt;0,SUM(BM$7:BM37)-SUM(BL$7:BL37),0)</f>
        <v>0</v>
      </c>
      <c r="BO37" s="45">
        <f t="shared" si="27"/>
        <v>0</v>
      </c>
      <c r="BP37" s="75"/>
      <c r="BQ37" s="75"/>
      <c r="BR37" s="90">
        <f>IF(BQ37&gt;0,SUM(BQ$7:BQ37)-SUM(BP$7:BP37),0)</f>
        <v>0</v>
      </c>
      <c r="BS37" s="45">
        <f t="shared" si="32"/>
        <v>0</v>
      </c>
      <c r="BT37" s="35">
        <f t="shared" si="5"/>
        <v>0</v>
      </c>
      <c r="BU37" s="35">
        <f t="shared" si="5"/>
        <v>0</v>
      </c>
      <c r="BV37" s="91">
        <f>IF(BU37&gt;0,SUM(BU$7:BU37)-SUM(BT$7:BT37),0)</f>
        <v>0</v>
      </c>
      <c r="BW37" s="45">
        <f t="shared" si="28"/>
        <v>0</v>
      </c>
      <c r="BY37" s="47">
        <v>31</v>
      </c>
      <c r="BZ37" s="54" t="str">
        <f t="shared" si="12"/>
        <v>dom</v>
      </c>
      <c r="CA37" s="75"/>
      <c r="CB37" s="75"/>
      <c r="CC37" s="90">
        <f>IF(CB37&gt;0,SUM(CB$7:CB37)-SUM(CA$7:CA37),0)</f>
        <v>0</v>
      </c>
      <c r="CD37" s="45">
        <f t="shared" si="30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282500</v>
      </c>
      <c r="D38" s="78">
        <f>SUM(D7:D37)</f>
        <v>264826</v>
      </c>
      <c r="E38" s="78">
        <f>D38-C38</f>
        <v>-17674</v>
      </c>
      <c r="F38" s="53">
        <f t="shared" si="14"/>
        <v>0.93743716814159295</v>
      </c>
      <c r="G38" s="78">
        <f>SUM(G7:G37)</f>
        <v>282500</v>
      </c>
      <c r="H38" s="78">
        <f>SUM(H7:H37)</f>
        <v>210290</v>
      </c>
      <c r="I38" s="78">
        <f>H38-G38</f>
        <v>-72210</v>
      </c>
      <c r="J38" s="53">
        <f>IF(H38&gt;0,IF(G38&gt;0,H38/G38,0),0)</f>
        <v>0.74438938053097348</v>
      </c>
      <c r="K38" s="78">
        <f>SUM(K7:K37)</f>
        <v>282500</v>
      </c>
      <c r="L38" s="78">
        <f>SUM(L7:L37)</f>
        <v>215197</v>
      </c>
      <c r="M38" s="78">
        <f>L38-K38</f>
        <v>-67303</v>
      </c>
      <c r="N38" s="45">
        <f t="shared" si="35"/>
        <v>0.76175929203539827</v>
      </c>
      <c r="O38" s="58">
        <f>IF(SUM(C38,G38,K38)&gt;0,SUM(C38,G38,K38),0)</f>
        <v>847500</v>
      </c>
      <c r="P38" s="58">
        <f>IF(SUM(D38,H38,L38)&gt;0,SUM(D38,H38,L38),0)</f>
        <v>690313</v>
      </c>
      <c r="Q38" s="58">
        <f>P38-O38</f>
        <v>-157187</v>
      </c>
      <c r="R38" s="53">
        <f t="shared" si="15"/>
        <v>0.81452861356932149</v>
      </c>
      <c r="T38" s="46" t="s">
        <v>17</v>
      </c>
      <c r="U38" s="63"/>
      <c r="V38" s="79">
        <f>SUM(V7:V37)</f>
        <v>265000</v>
      </c>
      <c r="W38" s="79">
        <f>SUM(W7:W37)</f>
        <v>243961</v>
      </c>
      <c r="X38" s="79">
        <f>W38-V38</f>
        <v>-21039</v>
      </c>
      <c r="Y38" s="61">
        <f t="shared" si="17"/>
        <v>0.9206075471698113</v>
      </c>
      <c r="Z38" s="79">
        <f>SUM(Z7:Z37)</f>
        <v>265000</v>
      </c>
      <c r="AA38" s="79">
        <f>SUM(AA7:AA37)</f>
        <v>209451</v>
      </c>
      <c r="AB38" s="79">
        <f>AA38-Z38</f>
        <v>-55549</v>
      </c>
      <c r="AC38" s="61">
        <f t="shared" si="18"/>
        <v>0.79038113207547167</v>
      </c>
      <c r="AD38" s="79">
        <f>SUM(AD7:AD37)</f>
        <v>265000</v>
      </c>
      <c r="AE38" s="79">
        <f>SUM(AE7:AE37)</f>
        <v>185993</v>
      </c>
      <c r="AF38" s="79">
        <f>AE38-AD38</f>
        <v>-79007</v>
      </c>
      <c r="AG38" s="61">
        <f t="shared" si="19"/>
        <v>0.70186037735849061</v>
      </c>
      <c r="AH38" s="62">
        <f t="shared" si="3"/>
        <v>795000</v>
      </c>
      <c r="AI38" s="62">
        <f t="shared" si="3"/>
        <v>639405</v>
      </c>
      <c r="AJ38" s="62">
        <f>AI38-AH38</f>
        <v>-155595</v>
      </c>
      <c r="AK38" s="61">
        <f t="shared" si="20"/>
        <v>0.80428301886792453</v>
      </c>
      <c r="AM38" s="46" t="s">
        <v>17</v>
      </c>
      <c r="AN38" s="63"/>
      <c r="AO38" s="78">
        <f>SUM(AO7:AO37)</f>
        <v>165000</v>
      </c>
      <c r="AP38" s="78">
        <f>SUM(AP7:AP37)</f>
        <v>178332</v>
      </c>
      <c r="AQ38" s="78">
        <f>AP38-AO38</f>
        <v>13332</v>
      </c>
      <c r="AR38" s="53">
        <f t="shared" si="22"/>
        <v>1.0808</v>
      </c>
      <c r="AS38" s="78">
        <f>SUM(AS7:AS37)</f>
        <v>165000</v>
      </c>
      <c r="AT38" s="95">
        <f>SUM(AT7:AT37)</f>
        <v>147137</v>
      </c>
      <c r="AU38" s="90">
        <f>IF(AT38&gt;0,SUM(AT$7:AT38)-SUM(AS$7:AS38),0)</f>
        <v>-35726</v>
      </c>
      <c r="AV38" s="96">
        <f t="shared" si="23"/>
        <v>0.89173939393939394</v>
      </c>
      <c r="AW38" s="78">
        <f>SUM(AW7:AW37)</f>
        <v>165000</v>
      </c>
      <c r="AX38" s="78">
        <f>SUM(AX7:AX37)</f>
        <v>130966</v>
      </c>
      <c r="AY38" s="78">
        <f>AX38-AW38</f>
        <v>-34034</v>
      </c>
      <c r="AZ38" s="53">
        <f t="shared" si="31"/>
        <v>0.79373333333333329</v>
      </c>
      <c r="BA38" s="58">
        <f t="shared" si="4"/>
        <v>495000</v>
      </c>
      <c r="BB38" s="58">
        <f>IF(SUM(AP38,AT38,AX38)&gt;0,SUM(AP38,AT38,AX38),0)</f>
        <v>456435</v>
      </c>
      <c r="BC38" s="58">
        <f>BB38-BA38</f>
        <v>-38565</v>
      </c>
      <c r="BD38" s="53">
        <f t="shared" si="24"/>
        <v>0.92209090909090907</v>
      </c>
      <c r="BF38" s="46" t="s">
        <v>17</v>
      </c>
      <c r="BG38" s="63"/>
      <c r="BH38" s="75">
        <f>SUM(BH7:BH37)</f>
        <v>380000</v>
      </c>
      <c r="BI38" s="78">
        <f>SUM(BI7:BI37)</f>
        <v>314757</v>
      </c>
      <c r="BJ38" s="78">
        <f>BI38-BH38</f>
        <v>-65243</v>
      </c>
      <c r="BK38" s="53">
        <f t="shared" si="26"/>
        <v>0.82830789473684208</v>
      </c>
      <c r="BL38" s="78">
        <f>SUM(BL7:BL37)</f>
        <v>200000</v>
      </c>
      <c r="BM38" s="78">
        <f>SUM(BM7:BM37)</f>
        <v>141584</v>
      </c>
      <c r="BN38" s="78">
        <f>BM38-BL38</f>
        <v>-58416</v>
      </c>
      <c r="BO38" s="53">
        <f t="shared" si="27"/>
        <v>0.70791999999999999</v>
      </c>
      <c r="BP38" s="78">
        <f>SUM(BP7:BP37)</f>
        <v>225000</v>
      </c>
      <c r="BQ38" s="78">
        <f>SUM(BQ7:BQ37)</f>
        <v>166824</v>
      </c>
      <c r="BR38" s="78">
        <f>BQ38-BP38</f>
        <v>-58176</v>
      </c>
      <c r="BS38" s="53">
        <f t="shared" si="32"/>
        <v>0.74143999999999999</v>
      </c>
      <c r="BT38" s="58">
        <f t="shared" si="5"/>
        <v>805000</v>
      </c>
      <c r="BU38" s="58">
        <f t="shared" si="5"/>
        <v>623165</v>
      </c>
      <c r="BV38" s="58">
        <f>BU38-BT38</f>
        <v>-181835</v>
      </c>
      <c r="BW38" s="53">
        <f t="shared" si="28"/>
        <v>0.77411801242236022</v>
      </c>
      <c r="BY38" s="46" t="s">
        <v>17</v>
      </c>
      <c r="BZ38" s="63"/>
      <c r="CA38" s="78">
        <f>SUM(CA7:CA37)</f>
        <v>63750</v>
      </c>
      <c r="CB38" s="78">
        <f>SUM(CB7:CB37)</f>
        <v>99351</v>
      </c>
      <c r="CC38" s="90">
        <f>CA38-CB38</f>
        <v>-35601</v>
      </c>
      <c r="CD38" s="53">
        <f t="shared" si="30"/>
        <v>1.5584470588235295</v>
      </c>
    </row>
    <row r="39" spans="1:82" x14ac:dyDescent="0.25">
      <c r="O39" s="97">
        <f>SUM(O38/0.69)</f>
        <v>1228260.8695652175</v>
      </c>
      <c r="P39" s="97">
        <f>SUM(P38/0.69)</f>
        <v>1000453.6231884059</v>
      </c>
      <c r="AH39" s="97">
        <f>SUM(AH38/0.7)</f>
        <v>1135714.2857142857</v>
      </c>
      <c r="AI39" s="97">
        <f>SUM(AI38/0.7)</f>
        <v>913435.71428571432</v>
      </c>
      <c r="AU39" s="94"/>
      <c r="BA39" s="97">
        <f>SUM(BA38/0.7)</f>
        <v>707142.85714285716</v>
      </c>
      <c r="BB39" s="97">
        <f>SUM(BB38/0.7)</f>
        <v>652050</v>
      </c>
      <c r="BT39" s="97">
        <f>SUM(BT38/0.7)</f>
        <v>1150000</v>
      </c>
      <c r="BU39" s="97">
        <f>SUM(BU38/0.7)</f>
        <v>890235.71428571432</v>
      </c>
      <c r="CA39" s="97">
        <f>SUM(CA38/0.7)</f>
        <v>91071.42857142858</v>
      </c>
      <c r="CB39" s="97">
        <f>SUM(CB38/0.7)</f>
        <v>141930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</mergeCells>
  <conditionalFormatting sqref="D8">
    <cfRule type="top10" dxfId="1805" priority="1561" rank="1"/>
  </conditionalFormatting>
  <conditionalFormatting sqref="D7:E37">
    <cfRule type="top10" dxfId="1804" priority="1604" rank="1"/>
  </conditionalFormatting>
  <conditionalFormatting sqref="H7:H37">
    <cfRule type="top10" dxfId="1803" priority="1603" rank="1"/>
  </conditionalFormatting>
  <conditionalFormatting sqref="H8">
    <cfRule type="top10" dxfId="1802" priority="1560" rank="1"/>
  </conditionalFormatting>
  <conditionalFormatting sqref="H16">
    <cfRule type="top10" dxfId="1801" priority="1601" rank="1"/>
  </conditionalFormatting>
  <conditionalFormatting sqref="H32">
    <cfRule type="top10" dxfId="1800" priority="1391" rank="1"/>
  </conditionalFormatting>
  <conditionalFormatting sqref="L7:L37">
    <cfRule type="top10" dxfId="1799" priority="1456" rank="1"/>
  </conditionalFormatting>
  <conditionalFormatting sqref="L8">
    <cfRule type="top10" dxfId="1798" priority="1455" rank="1"/>
  </conditionalFormatting>
  <conditionalFormatting sqref="P7:Q37">
    <cfRule type="top10" dxfId="1797" priority="1602" rank="1"/>
  </conditionalFormatting>
  <conditionalFormatting sqref="W7:W37">
    <cfRule type="top10" dxfId="1796" priority="1454" rank="1"/>
  </conditionalFormatting>
  <conditionalFormatting sqref="W8">
    <cfRule type="top10" dxfId="1795" priority="1453" rank="1"/>
  </conditionalFormatting>
  <conditionalFormatting sqref="X7:X37">
    <cfRule type="top10" dxfId="1794" priority="1600" rank="1"/>
  </conditionalFormatting>
  <conditionalFormatting sqref="AA7:AA23 AA25:AA37">
    <cfRule type="top10" dxfId="1793" priority="1452" rank="1"/>
  </conditionalFormatting>
  <conditionalFormatting sqref="AA8">
    <cfRule type="top10" dxfId="1792" priority="1451" rank="1"/>
  </conditionalFormatting>
  <conditionalFormatting sqref="AA24">
    <cfRule type="top10" dxfId="1791" priority="1434" rank="1"/>
  </conditionalFormatting>
  <conditionalFormatting sqref="AE7:AE37">
    <cfRule type="top10" dxfId="1790" priority="1436" rank="1"/>
  </conditionalFormatting>
  <conditionalFormatting sqref="AE8">
    <cfRule type="top10" dxfId="1789" priority="1435" rank="1"/>
  </conditionalFormatting>
  <conditionalFormatting sqref="AI7:AJ37">
    <cfRule type="top10" dxfId="1788" priority="1599" rank="1"/>
  </conditionalFormatting>
  <conditionalFormatting sqref="AP7:AP37">
    <cfRule type="top10" dxfId="1787" priority="1442" rank="1"/>
  </conditionalFormatting>
  <conditionalFormatting sqref="AP8">
    <cfRule type="top10" dxfId="1786" priority="1441" rank="1"/>
  </conditionalFormatting>
  <conditionalFormatting sqref="AQ7:AQ37">
    <cfRule type="top10" dxfId="1785" priority="1598" rank="1"/>
  </conditionalFormatting>
  <conditionalFormatting sqref="AT7:AT37">
    <cfRule type="top10" dxfId="1784" priority="1440" rank="1"/>
  </conditionalFormatting>
  <conditionalFormatting sqref="AT8">
    <cfRule type="top10" dxfId="1783" priority="1439" rank="1"/>
  </conditionalFormatting>
  <conditionalFormatting sqref="AX7:AX37">
    <cfRule type="top10" dxfId="1782" priority="1438" rank="1"/>
  </conditionalFormatting>
  <conditionalFormatting sqref="AX8">
    <cfRule type="top10" dxfId="1781" priority="1437" rank="1"/>
  </conditionalFormatting>
  <conditionalFormatting sqref="BB7:BC37">
    <cfRule type="top10" dxfId="1780" priority="1597" rank="1"/>
  </conditionalFormatting>
  <conditionalFormatting sqref="BH7:BH38">
    <cfRule type="top10" dxfId="1779" priority="1594" rank="1"/>
  </conditionalFormatting>
  <conditionalFormatting sqref="BI7:BI37">
    <cfRule type="top10" dxfId="1778" priority="1450" rank="1"/>
  </conditionalFormatting>
  <conditionalFormatting sqref="BI8">
    <cfRule type="top10" dxfId="1777" priority="1449" rank="1"/>
  </conditionalFormatting>
  <conditionalFormatting sqref="BJ7:BJ37">
    <cfRule type="top10" dxfId="1776" priority="1596" rank="1"/>
  </conditionalFormatting>
  <conditionalFormatting sqref="BL10">
    <cfRule type="top10" dxfId="1775" priority="1099" rank="1"/>
  </conditionalFormatting>
  <conditionalFormatting sqref="BL11:BL17">
    <cfRule type="top10" dxfId="1774" priority="1559" rank="1"/>
  </conditionalFormatting>
  <conditionalFormatting sqref="BL12:BL17">
    <cfRule type="top10" dxfId="1773" priority="1585" rank="1"/>
  </conditionalFormatting>
  <conditionalFormatting sqref="BL13:BL17">
    <cfRule type="top10" dxfId="1772" priority="1554" rank="1"/>
  </conditionalFormatting>
  <conditionalFormatting sqref="BL14">
    <cfRule type="top10" dxfId="1771" priority="1574" rank="1"/>
  </conditionalFormatting>
  <conditionalFormatting sqref="BL14:BL17">
    <cfRule type="top10" dxfId="1770" priority="1565" rank="1"/>
  </conditionalFormatting>
  <conditionalFormatting sqref="BL16:BL26">
    <cfRule type="top10" dxfId="1769" priority="1581" rank="1"/>
  </conditionalFormatting>
  <conditionalFormatting sqref="BL17">
    <cfRule type="top10" dxfId="1768" priority="1098" rank="1"/>
  </conditionalFormatting>
  <conditionalFormatting sqref="BL17:BL26">
    <cfRule type="top10" dxfId="1767" priority="1548" rank="1"/>
  </conditionalFormatting>
  <conditionalFormatting sqref="BL18">
    <cfRule type="top10" dxfId="1766" priority="1474" rank="1"/>
    <cfRule type="top10" dxfId="1765" priority="1473" rank="1"/>
  </conditionalFormatting>
  <conditionalFormatting sqref="BL18:BL19">
    <cfRule type="top10" dxfId="1764" priority="1416" rank="1"/>
    <cfRule type="top10" dxfId="1763" priority="1413" rank="1"/>
    <cfRule type="top10" dxfId="1762" priority="1414" rank="1"/>
    <cfRule type="top10" dxfId="1761" priority="1415" rank="1"/>
  </conditionalFormatting>
  <conditionalFormatting sqref="BL18:BL26">
    <cfRule type="top10" dxfId="1760" priority="1558" rank="1"/>
  </conditionalFormatting>
  <conditionalFormatting sqref="BL19">
    <cfRule type="top10" dxfId="1759" priority="1380" rank="1"/>
    <cfRule type="top10" dxfId="1758" priority="1379" rank="1"/>
    <cfRule type="top10" dxfId="1757" priority="1377" rank="1"/>
    <cfRule type="top10" dxfId="1756" priority="1378" rank="1"/>
  </conditionalFormatting>
  <conditionalFormatting sqref="BL19:BL26">
    <cfRule type="top10" dxfId="1755" priority="1584" rank="1"/>
  </conditionalFormatting>
  <conditionalFormatting sqref="BL20:BL23">
    <cfRule type="top10" dxfId="1754" priority="1542" rank="1"/>
  </conditionalFormatting>
  <conditionalFormatting sqref="BL20:BL24">
    <cfRule type="top10" dxfId="1753" priority="1538" rank="1"/>
  </conditionalFormatting>
  <conditionalFormatting sqref="BL20:BL26">
    <cfRule type="top10" dxfId="1752" priority="1553" rank="1"/>
  </conditionalFormatting>
  <conditionalFormatting sqref="BL21:BL26">
    <cfRule type="top10" dxfId="1751" priority="1564" rank="1"/>
  </conditionalFormatting>
  <conditionalFormatting sqref="BL22:BL24">
    <cfRule type="top10" dxfId="1750" priority="1494" rank="1"/>
    <cfRule type="top10" dxfId="1749" priority="1495" rank="1"/>
    <cfRule type="top10" dxfId="1748" priority="1497" rank="1"/>
    <cfRule type="top10" dxfId="1747" priority="1496" rank="1"/>
    <cfRule type="top10" dxfId="1746" priority="1498" rank="1"/>
  </conditionalFormatting>
  <conditionalFormatting sqref="BL22:BL26">
    <cfRule type="top10" dxfId="1745" priority="1557" rank="1"/>
  </conditionalFormatting>
  <conditionalFormatting sqref="BL23:BL31">
    <cfRule type="top10" dxfId="1744" priority="1580" rank="1"/>
  </conditionalFormatting>
  <conditionalFormatting sqref="BL24">
    <cfRule type="top10" dxfId="1743" priority="1097" rank="1"/>
  </conditionalFormatting>
  <conditionalFormatting sqref="BL24:BL33">
    <cfRule type="top10" dxfId="1742" priority="1547" rank="1"/>
  </conditionalFormatting>
  <conditionalFormatting sqref="BL25">
    <cfRule type="top10" dxfId="1741" priority="1472" rank="1"/>
    <cfRule type="top10" dxfId="1740" priority="1471" rank="1"/>
  </conditionalFormatting>
  <conditionalFormatting sqref="BL25:BL31">
    <cfRule type="top10" dxfId="1739" priority="1534" rank="1"/>
  </conditionalFormatting>
  <conditionalFormatting sqref="BL25:BL33">
    <cfRule type="top10" dxfId="1738" priority="1556" rank="1"/>
  </conditionalFormatting>
  <conditionalFormatting sqref="BL26">
    <cfRule type="top10" dxfId="1737" priority="1489" rank="1"/>
    <cfRule type="top10" dxfId="1736" priority="1490" rank="1"/>
    <cfRule type="top10" dxfId="1735" priority="1493" rank="1"/>
    <cfRule type="top10" dxfId="1734" priority="1492" rank="1"/>
    <cfRule type="top10" dxfId="1733" priority="1491" rank="1"/>
  </conditionalFormatting>
  <conditionalFormatting sqref="BL26:BL34">
    <cfRule type="top10" dxfId="1732" priority="1583" rank="1"/>
  </conditionalFormatting>
  <conditionalFormatting sqref="BL27">
    <cfRule type="top10" dxfId="1731" priority="1426" rank="1"/>
    <cfRule type="top10" dxfId="1730" priority="1432" rank="1"/>
    <cfRule type="top10" dxfId="1729" priority="1431" rank="1"/>
    <cfRule type="top10" dxfId="1728" priority="1429" rank="1"/>
    <cfRule type="top10" dxfId="1727" priority="1430" rank="1"/>
    <cfRule type="top10" dxfId="1726" priority="1425" rank="1"/>
    <cfRule type="top10" dxfId="1725" priority="1424" rank="1"/>
    <cfRule type="top10" dxfId="1724" priority="1423" rank="1"/>
    <cfRule type="top10" dxfId="1723" priority="1422" rank="1"/>
    <cfRule type="top10" dxfId="1722" priority="1428" rank="1"/>
    <cfRule type="top10" dxfId="1721" priority="1427" rank="1"/>
    <cfRule type="top10" dxfId="1720" priority="1395" rank="1"/>
    <cfRule type="top10" dxfId="1719" priority="1433" rank="1"/>
  </conditionalFormatting>
  <conditionalFormatting sqref="BL27:BL31">
    <cfRule type="top10" dxfId="1718" priority="1537" rank="1"/>
  </conditionalFormatting>
  <conditionalFormatting sqref="BL27:BL34">
    <cfRule type="top10" dxfId="1717" priority="1563" rank="1"/>
  </conditionalFormatting>
  <conditionalFormatting sqref="BL28:BL31">
    <cfRule type="top10" dxfId="1716" priority="1572" rank="1"/>
  </conditionalFormatting>
  <conditionalFormatting sqref="BL29:BL33">
    <cfRule type="top10" dxfId="1715" priority="1488" rank="1"/>
    <cfRule type="top10" dxfId="1714" priority="1502" rank="1"/>
    <cfRule type="top10" dxfId="1713" priority="1486" rank="1"/>
    <cfRule type="top10" dxfId="1712" priority="1485" rank="1"/>
    <cfRule type="top10" dxfId="1711" priority="1482" rank="1"/>
    <cfRule type="top10" dxfId="1710" priority="1487" rank="1"/>
    <cfRule type="top10" dxfId="1709" priority="1483" rank="1"/>
    <cfRule type="top10" dxfId="1708" priority="1484" rank="1"/>
  </conditionalFormatting>
  <conditionalFormatting sqref="BL30:BL35">
    <cfRule type="top10" dxfId="1707" priority="1579" rank="1"/>
  </conditionalFormatting>
  <conditionalFormatting sqref="BL31">
    <cfRule type="top10" dxfId="1706" priority="1096" rank="1"/>
  </conditionalFormatting>
  <conditionalFormatting sqref="BL31:BL34">
    <cfRule type="top10" dxfId="1705" priority="1546" rank="1"/>
  </conditionalFormatting>
  <conditionalFormatting sqref="BL31:BL35">
    <cfRule type="top10" dxfId="1704" priority="1533" rank="1"/>
  </conditionalFormatting>
  <conditionalFormatting sqref="BL32">
    <cfRule type="top10" dxfId="1703" priority="1470" rank="1"/>
    <cfRule type="top10" dxfId="1702" priority="1469" rank="1"/>
  </conditionalFormatting>
  <conditionalFormatting sqref="BL32:BL37">
    <cfRule type="top10" dxfId="1701" priority="1555" rank="1"/>
  </conditionalFormatting>
  <conditionalFormatting sqref="BL33:BL37">
    <cfRule type="top10" dxfId="1700" priority="1582" rank="1"/>
  </conditionalFormatting>
  <conditionalFormatting sqref="BL34:BL37">
    <cfRule type="top10" dxfId="1699" priority="1562" rank="1"/>
  </conditionalFormatting>
  <conditionalFormatting sqref="BL35">
    <cfRule type="top10" dxfId="1698" priority="1570" rank="1"/>
  </conditionalFormatting>
  <conditionalFormatting sqref="BL36">
    <cfRule type="top10" dxfId="1697" priority="1501" rank="1"/>
    <cfRule type="top10" dxfId="1696" priority="1480" rank="1"/>
    <cfRule type="top10" dxfId="1695" priority="1481" rank="1"/>
    <cfRule type="top10" dxfId="1694" priority="1478" rank="1"/>
    <cfRule type="top10" dxfId="1693" priority="1479" rank="1"/>
    <cfRule type="top10" dxfId="1692" priority="1477" rank="1"/>
    <cfRule type="top10" dxfId="1691" priority="1476" rank="1"/>
    <cfRule type="top10" dxfId="1690" priority="1475" rank="1"/>
  </conditionalFormatting>
  <conditionalFormatting sqref="BL37">
    <cfRule type="top10" dxfId="1689" priority="1405" rank="1"/>
    <cfRule type="top10" dxfId="1688" priority="1404" rank="1"/>
    <cfRule type="top10" dxfId="1687" priority="1403" rank="1"/>
    <cfRule type="top10" dxfId="1686" priority="1398" rank="1"/>
    <cfRule type="top10" dxfId="1685" priority="1399" rank="1"/>
    <cfRule type="top10" dxfId="1684" priority="1400" rank="1"/>
    <cfRule type="top10" dxfId="1683" priority="1401" rank="1"/>
    <cfRule type="top10" dxfId="1682" priority="1402" rank="1"/>
  </conditionalFormatting>
  <conditionalFormatting sqref="BL33:BM37 BL7:BL32">
    <cfRule type="top10" dxfId="1681" priority="1549" rank="1"/>
    <cfRule type="top10" dxfId="1680" priority="1593" rank="1"/>
    <cfRule type="top10" dxfId="1679" priority="1535" rank="1"/>
  </conditionalFormatting>
  <conditionalFormatting sqref="BM7:BM37">
    <cfRule type="top10" dxfId="1678" priority="1448" rank="1"/>
  </conditionalFormatting>
  <conditionalFormatting sqref="BM8">
    <cfRule type="top10" dxfId="1677" priority="1447" rank="1"/>
  </conditionalFormatting>
  <conditionalFormatting sqref="BP7:BP37">
    <cfRule type="top10" dxfId="1676" priority="1503" rank="1"/>
    <cfRule type="top10" dxfId="1675" priority="1591" rank="1"/>
    <cfRule type="top10" dxfId="1674" priority="1592" rank="1"/>
    <cfRule type="top10" dxfId="1673" priority="1513" rank="1"/>
    <cfRule type="top10" dxfId="1672" priority="1516" rank="1"/>
    <cfRule type="top10" dxfId="1671" priority="1528" rank="1"/>
    <cfRule type="top10" dxfId="1670" priority="1578" rank="1"/>
    <cfRule type="top10" dxfId="1669" priority="482" rank="1"/>
    <cfRule type="top10" dxfId="1668" priority="483" rank="1"/>
    <cfRule type="top10" dxfId="1667" priority="1100" rank="1"/>
    <cfRule type="top10" dxfId="1666" priority="1101" rank="1"/>
    <cfRule type="top10" dxfId="1665" priority="1102" rank="1"/>
    <cfRule type="top10" dxfId="1664" priority="481" rank="1"/>
  </conditionalFormatting>
  <conditionalFormatting sqref="BP10">
    <cfRule type="top10" dxfId="1663" priority="1095" rank="1"/>
  </conditionalFormatting>
  <conditionalFormatting sqref="BP11:BP17">
    <cfRule type="top10" dxfId="1662" priority="1523" rank="1"/>
  </conditionalFormatting>
  <conditionalFormatting sqref="BP12:BP17">
    <cfRule type="top10" dxfId="1661" priority="1531" rank="1"/>
  </conditionalFormatting>
  <conditionalFormatting sqref="BP12:BP24">
    <cfRule type="top10" dxfId="1660" priority="1589" rank="1"/>
  </conditionalFormatting>
  <conditionalFormatting sqref="BP13:BP14">
    <cfRule type="top10" dxfId="1659" priority="1539" rank="1"/>
  </conditionalFormatting>
  <conditionalFormatting sqref="BP13:BP17">
    <cfRule type="top10" dxfId="1658" priority="1518" rank="1"/>
  </conditionalFormatting>
  <conditionalFormatting sqref="BP13:BP24">
    <cfRule type="top10" dxfId="1657" priority="1552" rank="1"/>
  </conditionalFormatting>
  <conditionalFormatting sqref="BP14">
    <cfRule type="top10" dxfId="1656" priority="1573" rank="1"/>
  </conditionalFormatting>
  <conditionalFormatting sqref="BP14:BP17">
    <cfRule type="top10" dxfId="1655" priority="1526" rank="1"/>
  </conditionalFormatting>
  <conditionalFormatting sqref="BP16:BP18 BP20:BP21">
    <cfRule type="top10" dxfId="1654" priority="1577" rank="1"/>
  </conditionalFormatting>
  <conditionalFormatting sqref="BP16:BP21">
    <cfRule type="top10" dxfId="1653" priority="1527" rank="1"/>
  </conditionalFormatting>
  <conditionalFormatting sqref="BP16:BP23">
    <cfRule type="top10" dxfId="1652" priority="1509" rank="1"/>
  </conditionalFormatting>
  <conditionalFormatting sqref="BP17">
    <cfRule type="top10" dxfId="1651" priority="1094" rank="1"/>
  </conditionalFormatting>
  <conditionalFormatting sqref="BP17:BP18 BP20:BP21">
    <cfRule type="top10" dxfId="1650" priority="1545" rank="1"/>
  </conditionalFormatting>
  <conditionalFormatting sqref="BP17:BP20">
    <cfRule type="top10" dxfId="1649" priority="1512" rank="1"/>
  </conditionalFormatting>
  <conditionalFormatting sqref="BP17:BP21">
    <cfRule type="top10" dxfId="1648" priority="1515" rank="1"/>
  </conditionalFormatting>
  <conditionalFormatting sqref="BP17:BP23">
    <cfRule type="top10" dxfId="1647" priority="1505" rank="1"/>
  </conditionalFormatting>
  <conditionalFormatting sqref="BP18">
    <cfRule type="top10" dxfId="1646" priority="1466" rank="1"/>
    <cfRule type="top10" dxfId="1645" priority="1468" rank="1"/>
    <cfRule type="top10" dxfId="1644" priority="1465" rank="1"/>
    <cfRule type="top10" dxfId="1643" priority="1467" rank="1"/>
  </conditionalFormatting>
  <conditionalFormatting sqref="BP18:BP19">
    <cfRule type="top10" dxfId="1642" priority="1409" rank="1"/>
    <cfRule type="top10" dxfId="1641" priority="1410" rank="1"/>
    <cfRule type="top10" dxfId="1640" priority="1412" rank="1"/>
    <cfRule type="top10" dxfId="1639" priority="1411" rank="1"/>
  </conditionalFormatting>
  <conditionalFormatting sqref="BP18:BP20">
    <cfRule type="top10" dxfId="1638" priority="1522" rank="1"/>
  </conditionalFormatting>
  <conditionalFormatting sqref="BP18:BP23">
    <cfRule type="top10" dxfId="1637" priority="1506" rank="1"/>
  </conditionalFormatting>
  <conditionalFormatting sqref="BP19">
    <cfRule type="top10" dxfId="1636" priority="1376" rank="1"/>
    <cfRule type="top10" dxfId="1635" priority="1375" rank="1"/>
    <cfRule type="top10" dxfId="1634" priority="1370" rank="1"/>
    <cfRule type="top10" dxfId="1633" priority="1371" rank="1"/>
    <cfRule type="top10" dxfId="1632" priority="1372" rank="1"/>
    <cfRule type="top10" dxfId="1631" priority="1374" rank="1"/>
    <cfRule type="top10" dxfId="1630" priority="1373" rank="1"/>
  </conditionalFormatting>
  <conditionalFormatting sqref="BP19:BP23">
    <cfRule type="top10" dxfId="1629" priority="1532" rank="1"/>
  </conditionalFormatting>
  <conditionalFormatting sqref="BP19:BP26">
    <cfRule type="top10" dxfId="1628" priority="1530" rank="1"/>
  </conditionalFormatting>
  <conditionalFormatting sqref="BP20:BP21">
    <cfRule type="top10" dxfId="1627" priority="1540" rank="1"/>
  </conditionalFormatting>
  <conditionalFormatting sqref="BP20:BP23">
    <cfRule type="top10" dxfId="1626" priority="1504" rank="1"/>
  </conditionalFormatting>
  <conditionalFormatting sqref="BP20:BP24">
    <cfRule type="top10" dxfId="1625" priority="1588" rank="1"/>
  </conditionalFormatting>
  <conditionalFormatting sqref="BP20:BP26">
    <cfRule type="top10" dxfId="1624" priority="1517" rank="1"/>
  </conditionalFormatting>
  <conditionalFormatting sqref="BP21:BP26">
    <cfRule type="top10" dxfId="1623" priority="1525" rank="1"/>
  </conditionalFormatting>
  <conditionalFormatting sqref="BP22:BP26">
    <cfRule type="top10" dxfId="1622" priority="1521" rank="1"/>
  </conditionalFormatting>
  <conditionalFormatting sqref="BP23:BP28">
    <cfRule type="top10" dxfId="1621" priority="1576" rank="1"/>
  </conditionalFormatting>
  <conditionalFormatting sqref="BP23:BP33">
    <cfRule type="top10" dxfId="1620" priority="1508" rank="1"/>
  </conditionalFormatting>
  <conditionalFormatting sqref="BP24">
    <cfRule type="top10" dxfId="1619" priority="1093" rank="1"/>
  </conditionalFormatting>
  <conditionalFormatting sqref="BP24:BP28">
    <cfRule type="top10" dxfId="1618" priority="1544" rank="1"/>
  </conditionalFormatting>
  <conditionalFormatting sqref="BP24:BP33">
    <cfRule type="top10" dxfId="1617" priority="1514" rank="1"/>
  </conditionalFormatting>
  <conditionalFormatting sqref="BP25">
    <cfRule type="top10" dxfId="1616" priority="1464" rank="1"/>
    <cfRule type="top10" dxfId="1615" priority="1463" rank="1"/>
    <cfRule type="top10" dxfId="1614" priority="1462" rank="1"/>
    <cfRule type="top10" dxfId="1613" priority="1461" rank="1"/>
  </conditionalFormatting>
  <conditionalFormatting sqref="BP25:BP28">
    <cfRule type="top10" dxfId="1612" priority="1511" rank="1"/>
  </conditionalFormatting>
  <conditionalFormatting sqref="BP25:BP33">
    <cfRule type="top10" dxfId="1611" priority="1520" rank="1"/>
  </conditionalFormatting>
  <conditionalFormatting sqref="BP26">
    <cfRule type="top10" dxfId="1610" priority="1567" rank="1"/>
  </conditionalFormatting>
  <conditionalFormatting sqref="BP26:BP33">
    <cfRule type="top10" dxfId="1609" priority="1587" rank="1"/>
  </conditionalFormatting>
  <conditionalFormatting sqref="BP26:BP34">
    <cfRule type="top10" dxfId="1608" priority="1529" rank="1"/>
  </conditionalFormatting>
  <conditionalFormatting sqref="BP27">
    <cfRule type="top10" dxfId="1607" priority="1394" rank="1"/>
    <cfRule type="top10" dxfId="1606" priority="1393" rank="1"/>
    <cfRule type="top10" dxfId="1605" priority="1417" rank="1"/>
    <cfRule type="top10" dxfId="1604" priority="1418" rank="1"/>
    <cfRule type="top10" dxfId="1603" priority="1420" rank="1"/>
    <cfRule type="top10" dxfId="1602" priority="1421" rank="1"/>
    <cfRule type="top10" dxfId="1601" priority="1419" rank="1"/>
  </conditionalFormatting>
  <conditionalFormatting sqref="BP27:BP28">
    <cfRule type="top10" dxfId="1600" priority="1541" rank="1"/>
  </conditionalFormatting>
  <conditionalFormatting sqref="BP27:BP32">
    <cfRule type="top10" dxfId="1599" priority="1536" rank="1"/>
  </conditionalFormatting>
  <conditionalFormatting sqref="BP27:BP33">
    <cfRule type="top10" dxfId="1598" priority="1551" rank="1"/>
  </conditionalFormatting>
  <conditionalFormatting sqref="BP27:BP34">
    <cfRule type="top10" dxfId="1597" priority="1524" rank="1"/>
  </conditionalFormatting>
  <conditionalFormatting sqref="BP28">
    <cfRule type="top10" dxfId="1596" priority="1571" rank="1"/>
  </conditionalFormatting>
  <conditionalFormatting sqref="BP28:BP32">
    <cfRule type="top10" dxfId="1595" priority="1507" rank="1"/>
  </conditionalFormatting>
  <conditionalFormatting sqref="BP29:BP33">
    <cfRule type="top10" dxfId="1594" priority="1500" rank="1"/>
  </conditionalFormatting>
  <conditionalFormatting sqref="BP30:BP35">
    <cfRule type="top10" dxfId="1593" priority="1575" rank="1"/>
  </conditionalFormatting>
  <conditionalFormatting sqref="BP31:BP32">
    <cfRule type="top10" dxfId="1592" priority="1092" rank="1"/>
  </conditionalFormatting>
  <conditionalFormatting sqref="BP31:BP34">
    <cfRule type="top10" dxfId="1591" priority="1543" rank="1"/>
  </conditionalFormatting>
  <conditionalFormatting sqref="BP31:BP35">
    <cfRule type="top10" dxfId="1590" priority="1510" rank="1"/>
  </conditionalFormatting>
  <conditionalFormatting sqref="BP32">
    <cfRule type="top10" dxfId="1589" priority="1458" rank="1"/>
    <cfRule type="top10" dxfId="1588" priority="1459" rank="1"/>
    <cfRule type="top10" dxfId="1587" priority="1457" rank="1"/>
    <cfRule type="top10" dxfId="1586" priority="1460" rank="1"/>
  </conditionalFormatting>
  <conditionalFormatting sqref="BP32:BP37">
    <cfRule type="top10" dxfId="1585" priority="1519" rank="1"/>
  </conditionalFormatting>
  <conditionalFormatting sqref="BP33">
    <cfRule type="top10" dxfId="1584" priority="1566" rank="1"/>
  </conditionalFormatting>
  <conditionalFormatting sqref="BP33:BP37">
    <cfRule type="top10" dxfId="1583" priority="1586" rank="1"/>
  </conditionalFormatting>
  <conditionalFormatting sqref="BP34:BP37">
    <cfRule type="top10" dxfId="1582" priority="1550" rank="1"/>
  </conditionalFormatting>
  <conditionalFormatting sqref="BP35">
    <cfRule type="top10" dxfId="1581" priority="1569" rank="1"/>
  </conditionalFormatting>
  <conditionalFormatting sqref="BP36">
    <cfRule type="top10" dxfId="1580" priority="1499" rank="1"/>
  </conditionalFormatting>
  <conditionalFormatting sqref="BP37">
    <cfRule type="top10" dxfId="1579" priority="1568" rank="1"/>
    <cfRule type="top10" dxfId="1578" priority="1397" rank="1"/>
  </conditionalFormatting>
  <conditionalFormatting sqref="BQ7:BQ37">
    <cfRule type="top10" dxfId="1577" priority="1446" rank="1"/>
  </conditionalFormatting>
  <conditionalFormatting sqref="BQ8">
    <cfRule type="top10" dxfId="1576" priority="1445" rank="1"/>
  </conditionalFormatting>
  <conditionalFormatting sqref="BU7:BV37">
    <cfRule type="top10" dxfId="1575" priority="1595" rank="1"/>
  </conditionalFormatting>
  <conditionalFormatting sqref="CB7:CB37">
    <cfRule type="top10" dxfId="1574" priority="1444" rank="1"/>
  </conditionalFormatting>
  <conditionalFormatting sqref="CB8">
    <cfRule type="top10" dxfId="1573" priority="1443" rank="1"/>
  </conditionalFormatting>
  <conditionalFormatting sqref="CC7:CC38">
    <cfRule type="top10" dxfId="1572" priority="1590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Plan152">
    <tabColor rgb="FF92D050"/>
  </sheetPr>
  <dimension ref="A1:V34"/>
  <sheetViews>
    <sheetView topLeftCell="A4" zoomScale="80" zoomScaleNormal="80" workbookViewId="0">
      <selection activeCell="I39" sqref="I3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43010</v>
      </c>
      <c r="C5" s="24">
        <v>57025</v>
      </c>
      <c r="D5" s="85">
        <f>SUM(C5:C5)-(F5*1)</f>
        <v>7025</v>
      </c>
      <c r="E5" s="24">
        <f>C5/1</f>
        <v>57025</v>
      </c>
      <c r="F5" s="30">
        <f t="shared" ref="F5:F28" si="0">$F$29/$G$28</f>
        <v>50000</v>
      </c>
      <c r="G5" s="20">
        <v>1</v>
      </c>
      <c r="H5" s="89">
        <v>43010</v>
      </c>
      <c r="I5" s="12">
        <v>34268</v>
      </c>
      <c r="J5" s="10">
        <f>SUM(I5:I5)-(L5*G5)</f>
        <v>9268</v>
      </c>
      <c r="K5" s="10">
        <f>I5/1</f>
        <v>34268</v>
      </c>
      <c r="L5" s="10">
        <f t="shared" ref="L5:L28" si="1">$L$29/$G$28</f>
        <v>25000</v>
      </c>
    </row>
    <row r="6" spans="2:22" ht="20.100000000000001" customHeight="1" x14ac:dyDescent="0.2">
      <c r="B6" s="89">
        <v>43011</v>
      </c>
      <c r="C6" s="26">
        <v>25646</v>
      </c>
      <c r="D6" s="85">
        <f>SUM(C$5:C6)-(F6*G6)</f>
        <v>-17329</v>
      </c>
      <c r="E6" s="24">
        <f>SUM(C$5:C6)/G6</f>
        <v>41335.5</v>
      </c>
      <c r="F6" s="30">
        <f t="shared" si="0"/>
        <v>50000</v>
      </c>
      <c r="G6" s="20">
        <v>2</v>
      </c>
      <c r="H6" s="89">
        <v>43011</v>
      </c>
      <c r="I6" s="21">
        <v>11781</v>
      </c>
      <c r="J6" s="85">
        <f>SUM(I$5:I6)-(L6*G6)</f>
        <v>-3951</v>
      </c>
      <c r="K6" s="10">
        <f>SUM(I$5:I6)/G6</f>
        <v>23024.5</v>
      </c>
      <c r="L6" s="10">
        <f t="shared" si="1"/>
        <v>25000</v>
      </c>
    </row>
    <row r="7" spans="2:22" ht="20.100000000000001" customHeight="1" x14ac:dyDescent="0.2">
      <c r="B7" s="89">
        <v>43012</v>
      </c>
      <c r="C7" s="24">
        <v>57203</v>
      </c>
      <c r="D7" s="85">
        <f>SUM(C$5:C7)-(F7*G7)</f>
        <v>-10126</v>
      </c>
      <c r="E7" s="24">
        <f>SUM(C$5:C7)/G7</f>
        <v>46624.666666666664</v>
      </c>
      <c r="F7" s="30">
        <f t="shared" si="0"/>
        <v>50000</v>
      </c>
      <c r="G7" s="20">
        <v>3</v>
      </c>
      <c r="H7" s="89">
        <v>43012</v>
      </c>
      <c r="I7" s="21">
        <v>27273</v>
      </c>
      <c r="J7" s="85">
        <f>SUM(I$5:I7)-(L7*G7)</f>
        <v>-1678</v>
      </c>
      <c r="K7" s="10">
        <f>SUM(I$5:I7)/G7</f>
        <v>24440.666666666668</v>
      </c>
      <c r="L7" s="10">
        <f t="shared" si="1"/>
        <v>25000</v>
      </c>
    </row>
    <row r="8" spans="2:22" ht="19.5" customHeight="1" x14ac:dyDescent="0.2">
      <c r="B8" s="89">
        <v>43013</v>
      </c>
      <c r="C8" s="24">
        <v>44841</v>
      </c>
      <c r="D8" s="85">
        <f>SUM(C$5:C8)-(F8*G8)</f>
        <v>-15285</v>
      </c>
      <c r="E8" s="24">
        <f>SUM(C$5:C8)/G8</f>
        <v>46178.75</v>
      </c>
      <c r="F8" s="30">
        <f t="shared" si="0"/>
        <v>50000</v>
      </c>
      <c r="G8" s="20">
        <v>4</v>
      </c>
      <c r="H8" s="89">
        <v>43013</v>
      </c>
      <c r="I8" s="21">
        <v>10066</v>
      </c>
      <c r="J8" s="85">
        <f>SUM(I$5:I8)-(L8*G8)</f>
        <v>-16612</v>
      </c>
      <c r="K8" s="10">
        <f>SUM(I$5:I8)/G8</f>
        <v>20847</v>
      </c>
      <c r="L8" s="10">
        <f t="shared" si="1"/>
        <v>25000</v>
      </c>
    </row>
    <row r="9" spans="2:22" ht="20.100000000000001" customHeight="1" x14ac:dyDescent="0.2">
      <c r="B9" s="89">
        <v>43014</v>
      </c>
      <c r="C9" s="27">
        <v>23412</v>
      </c>
      <c r="D9" s="85">
        <f>SUM(C$5:C9)-(F9*G9)</f>
        <v>-41873</v>
      </c>
      <c r="E9" s="24">
        <f>SUM(C$5:C9)/G9</f>
        <v>41625.4</v>
      </c>
      <c r="F9" s="30">
        <f t="shared" si="0"/>
        <v>50000</v>
      </c>
      <c r="G9" s="20">
        <v>5</v>
      </c>
      <c r="H9" s="89">
        <v>43014</v>
      </c>
      <c r="I9" s="22">
        <v>934</v>
      </c>
      <c r="J9" s="85">
        <f>SUM(I$5:I9)-(L9*G9)</f>
        <v>-40678</v>
      </c>
      <c r="K9" s="10">
        <f>SUM(I$5:I9)/G9</f>
        <v>16864.400000000001</v>
      </c>
      <c r="L9" s="10">
        <f t="shared" si="1"/>
        <v>25000</v>
      </c>
    </row>
    <row r="10" spans="2:22" ht="20.100000000000001" customHeight="1" x14ac:dyDescent="0.2">
      <c r="B10" s="89">
        <v>43015</v>
      </c>
      <c r="C10" s="27">
        <v>62449</v>
      </c>
      <c r="D10" s="85">
        <f>SUM(C$5:C10)-(F10*G10)</f>
        <v>-29424</v>
      </c>
      <c r="E10" s="24">
        <f>SUM(C$5:C10)/G10</f>
        <v>45096</v>
      </c>
      <c r="F10" s="30">
        <f t="shared" si="0"/>
        <v>50000</v>
      </c>
      <c r="G10" s="20">
        <v>6</v>
      </c>
      <c r="H10" s="89">
        <v>43015</v>
      </c>
      <c r="I10" s="22">
        <v>12924</v>
      </c>
      <c r="J10" s="85">
        <f>SUM(I$5:I10)-(L10*G10)</f>
        <v>-52754</v>
      </c>
      <c r="K10" s="10">
        <f>SUM(I$5:I10)/G10</f>
        <v>16207.666666666666</v>
      </c>
      <c r="L10" s="10">
        <f t="shared" si="1"/>
        <v>25000</v>
      </c>
    </row>
    <row r="11" spans="2:22" ht="20.100000000000001" customHeight="1" x14ac:dyDescent="0.2">
      <c r="B11" s="89">
        <v>43017</v>
      </c>
      <c r="C11" s="24">
        <v>44721</v>
      </c>
      <c r="D11" s="85">
        <f>SUM(C$5:C11)-(F11*G11)</f>
        <v>-34703</v>
      </c>
      <c r="E11" s="24">
        <f>SUM(C$5:C11)/G11</f>
        <v>45042.428571428572</v>
      </c>
      <c r="F11" s="30">
        <f t="shared" si="0"/>
        <v>50000</v>
      </c>
      <c r="G11" s="20">
        <v>7</v>
      </c>
      <c r="H11" s="89">
        <v>43017</v>
      </c>
      <c r="I11" s="21">
        <v>23859</v>
      </c>
      <c r="J11" s="85">
        <f>SUM(I$5:I11)-(L11*G11)</f>
        <v>-53895</v>
      </c>
      <c r="K11" s="10">
        <f>SUM(I$5:I11)/G11</f>
        <v>17300.714285714286</v>
      </c>
      <c r="L11" s="10">
        <f t="shared" si="1"/>
        <v>25000</v>
      </c>
    </row>
    <row r="12" spans="2:22" ht="20.100000000000001" customHeight="1" x14ac:dyDescent="0.2">
      <c r="B12" s="89">
        <v>43018</v>
      </c>
      <c r="C12" s="24">
        <v>50926</v>
      </c>
      <c r="D12" s="85">
        <f>SUM(C$5:C12)-(F12*G12)</f>
        <v>-33777</v>
      </c>
      <c r="E12" s="24">
        <f>SUM(C$5:C12)/G12</f>
        <v>45777.875</v>
      </c>
      <c r="F12" s="30">
        <f t="shared" si="0"/>
        <v>50000</v>
      </c>
      <c r="G12" s="20">
        <v>8</v>
      </c>
      <c r="H12" s="89">
        <v>43018</v>
      </c>
      <c r="I12" s="21">
        <v>23780</v>
      </c>
      <c r="J12" s="85">
        <f>SUM(I$5:I12)-(L12*G12)</f>
        <v>-55115</v>
      </c>
      <c r="K12" s="10">
        <f>SUM(I$5:I12)/G12</f>
        <v>18110.625</v>
      </c>
      <c r="L12" s="10">
        <f t="shared" si="1"/>
        <v>25000</v>
      </c>
    </row>
    <row r="13" spans="2:22" ht="20.100000000000001" customHeight="1" x14ac:dyDescent="0.2">
      <c r="B13" s="89">
        <v>43019</v>
      </c>
      <c r="C13" s="29">
        <v>10422</v>
      </c>
      <c r="D13" s="85">
        <f>SUM(C$5:C13)-(F13*G13)</f>
        <v>-73355</v>
      </c>
      <c r="E13" s="24">
        <f>SUM(C$5:C13)/G13</f>
        <v>41849.444444444445</v>
      </c>
      <c r="F13" s="30">
        <f t="shared" si="0"/>
        <v>50000</v>
      </c>
      <c r="G13" s="20">
        <v>9</v>
      </c>
      <c r="H13" s="89">
        <v>43019</v>
      </c>
      <c r="I13" s="13">
        <v>0</v>
      </c>
      <c r="J13" s="85">
        <f>SUM(I$5:I13)-(L13*G13)</f>
        <v>-80115</v>
      </c>
      <c r="K13" s="10">
        <f>SUM(I$5:I13)/G13</f>
        <v>16098.333333333334</v>
      </c>
      <c r="L13" s="10">
        <f t="shared" si="1"/>
        <v>25000</v>
      </c>
    </row>
    <row r="14" spans="2:22" ht="20.100000000000001" customHeight="1" x14ac:dyDescent="0.2">
      <c r="B14" s="89">
        <v>43020</v>
      </c>
      <c r="C14" s="29">
        <v>89406</v>
      </c>
      <c r="D14" s="85">
        <f>SUM(C$5:C14)-(F14*G14)</f>
        <v>-33949</v>
      </c>
      <c r="E14" s="24">
        <f>SUM(C$5:C14)/G14</f>
        <v>46605.1</v>
      </c>
      <c r="F14" s="30">
        <f t="shared" si="0"/>
        <v>50000</v>
      </c>
      <c r="G14" s="20">
        <v>10</v>
      </c>
      <c r="H14" s="89">
        <v>43020</v>
      </c>
      <c r="I14" s="13">
        <v>41082</v>
      </c>
      <c r="J14" s="85">
        <f>SUM(I$5:I14)-(L14*G14)</f>
        <v>-64033</v>
      </c>
      <c r="K14" s="10">
        <f>SUM(I$5:I14)/G14</f>
        <v>18596.7</v>
      </c>
      <c r="L14" s="10">
        <f t="shared" si="1"/>
        <v>25000</v>
      </c>
    </row>
    <row r="15" spans="2:22" ht="20.100000000000001" customHeight="1" x14ac:dyDescent="0.2">
      <c r="B15" s="89">
        <v>43024</v>
      </c>
      <c r="C15" s="29">
        <v>50446</v>
      </c>
      <c r="D15" s="85">
        <f>SUM(C$5:C15)-(F15*G15)</f>
        <v>-33503</v>
      </c>
      <c r="E15" s="24">
        <f>SUM(C$5:C15)/G15</f>
        <v>46954.272727272728</v>
      </c>
      <c r="F15" s="30">
        <f t="shared" si="0"/>
        <v>50000</v>
      </c>
      <c r="G15" s="20">
        <v>11</v>
      </c>
      <c r="H15" s="89">
        <v>43024</v>
      </c>
      <c r="I15" s="13">
        <v>23267</v>
      </c>
      <c r="J15" s="85">
        <f>SUM(I$5:I15)-(L15*G15)</f>
        <v>-65766</v>
      </c>
      <c r="K15" s="10">
        <f>SUM(I$5:I15)/G15</f>
        <v>19021.272727272728</v>
      </c>
      <c r="L15" s="10">
        <f t="shared" si="1"/>
        <v>25000</v>
      </c>
    </row>
    <row r="16" spans="2:22" ht="19.5" customHeight="1" x14ac:dyDescent="0.2">
      <c r="B16" s="89">
        <v>43025</v>
      </c>
      <c r="C16" s="29">
        <v>49667</v>
      </c>
      <c r="D16" s="85">
        <f>SUM(C$5:C16)-(F16*G16)</f>
        <v>-33836</v>
      </c>
      <c r="E16" s="24">
        <f>SUM(C$5:C16)/G16</f>
        <v>47180.333333333336</v>
      </c>
      <c r="F16" s="30">
        <f t="shared" si="0"/>
        <v>50000</v>
      </c>
      <c r="G16" s="20">
        <v>12</v>
      </c>
      <c r="H16" s="89">
        <v>43025</v>
      </c>
      <c r="I16" s="13">
        <v>21567</v>
      </c>
      <c r="J16" s="85">
        <f>SUM(I$5:I16)-(L16*G16)</f>
        <v>-69199</v>
      </c>
      <c r="K16" s="10">
        <f>SUM(I$5:I16)/G16</f>
        <v>19233.416666666668</v>
      </c>
      <c r="L16" s="10">
        <f t="shared" si="1"/>
        <v>25000</v>
      </c>
    </row>
    <row r="17" spans="2:12" ht="20.100000000000001" customHeight="1" x14ac:dyDescent="0.2">
      <c r="B17" s="89">
        <v>43026</v>
      </c>
      <c r="C17" s="29">
        <v>25229</v>
      </c>
      <c r="D17" s="85">
        <f>SUM(C$5:C17)-(F17*G17)</f>
        <v>-58607</v>
      </c>
      <c r="E17" s="24">
        <f>SUM(C$5:C17)/G17</f>
        <v>45491.769230769234</v>
      </c>
      <c r="F17" s="30">
        <f t="shared" si="0"/>
        <v>50000</v>
      </c>
      <c r="G17" s="20">
        <v>13</v>
      </c>
      <c r="H17" s="89">
        <v>43026</v>
      </c>
      <c r="I17" s="13">
        <v>26956</v>
      </c>
      <c r="J17" s="85">
        <f>SUM(I$5:I17)-(L17*G17)</f>
        <v>-67243</v>
      </c>
      <c r="K17" s="10">
        <f>SUM(I$5:I17)/G17</f>
        <v>19827.461538461539</v>
      </c>
      <c r="L17" s="10">
        <f t="shared" si="1"/>
        <v>25000</v>
      </c>
    </row>
    <row r="18" spans="2:12" ht="20.100000000000001" customHeight="1" x14ac:dyDescent="0.2">
      <c r="B18" s="89">
        <v>43027</v>
      </c>
      <c r="C18" s="29">
        <v>51680</v>
      </c>
      <c r="D18" s="85">
        <f>SUM(C$5:C18)-(F18*G18)</f>
        <v>-56927</v>
      </c>
      <c r="E18" s="24">
        <f>SUM(C$5:C18)/G18</f>
        <v>45933.785714285717</v>
      </c>
      <c r="F18" s="30">
        <f t="shared" si="0"/>
        <v>50000</v>
      </c>
      <c r="G18" s="20">
        <v>14</v>
      </c>
      <c r="H18" s="89">
        <v>43027</v>
      </c>
      <c r="I18" s="13">
        <v>24676</v>
      </c>
      <c r="J18" s="85">
        <f>SUM(I$5:I18)-(L18*G18)</f>
        <v>-67567</v>
      </c>
      <c r="K18" s="10">
        <f>SUM(I$5:I18)/G18</f>
        <v>20173.785714285714</v>
      </c>
      <c r="L18" s="10">
        <f t="shared" si="1"/>
        <v>25000</v>
      </c>
    </row>
    <row r="19" spans="2:12" ht="20.100000000000001" customHeight="1" x14ac:dyDescent="0.2">
      <c r="B19" s="89">
        <v>43028</v>
      </c>
      <c r="C19" s="24">
        <v>27592</v>
      </c>
      <c r="D19" s="85">
        <f>SUM(C$5:C19)-(F19*G19)</f>
        <v>-79335</v>
      </c>
      <c r="E19" s="24">
        <f>SUM(C$5:C19)/G19</f>
        <v>44711</v>
      </c>
      <c r="F19" s="30">
        <f t="shared" si="0"/>
        <v>50000</v>
      </c>
      <c r="G19" s="20">
        <v>15</v>
      </c>
      <c r="H19" s="89">
        <v>43028</v>
      </c>
      <c r="I19" s="21">
        <v>20966</v>
      </c>
      <c r="J19" s="85">
        <f>SUM(I$5:I19)-(L19*G19)</f>
        <v>-71601</v>
      </c>
      <c r="K19" s="10">
        <f>SUM(I$5:I19)/G19</f>
        <v>20226.599999999999</v>
      </c>
      <c r="L19" s="10">
        <f t="shared" si="1"/>
        <v>25000</v>
      </c>
    </row>
    <row r="20" spans="2:12" ht="20.100000000000001" customHeight="1" x14ac:dyDescent="0.2">
      <c r="B20" s="89">
        <v>43029</v>
      </c>
      <c r="C20" s="29">
        <v>68904</v>
      </c>
      <c r="D20" s="85">
        <f>SUM(C$5:C20)-(F20*G20)</f>
        <v>-60431</v>
      </c>
      <c r="E20" s="24">
        <f>SUM(C$5:C20)/G20</f>
        <v>46223.0625</v>
      </c>
      <c r="F20" s="30">
        <f t="shared" si="0"/>
        <v>50000</v>
      </c>
      <c r="G20" s="20">
        <v>16</v>
      </c>
      <c r="H20" s="89">
        <v>43029</v>
      </c>
      <c r="I20" s="13">
        <v>45003</v>
      </c>
      <c r="J20" s="85">
        <f>SUM(I$5:I20)-(L20*G20)</f>
        <v>-51598</v>
      </c>
      <c r="K20" s="10">
        <f>SUM(I$5:I20)/G20</f>
        <v>21775.125</v>
      </c>
      <c r="L20" s="10">
        <f t="shared" si="1"/>
        <v>25000</v>
      </c>
    </row>
    <row r="21" spans="2:12" ht="20.100000000000001" customHeight="1" x14ac:dyDescent="0.2">
      <c r="B21" s="89">
        <v>43031</v>
      </c>
      <c r="C21" s="29">
        <v>40281</v>
      </c>
      <c r="D21" s="85">
        <f>SUM(C$5:C21)-(F21*G21)</f>
        <v>-70150</v>
      </c>
      <c r="E21" s="24">
        <f>SUM(C$5:C21)/G21</f>
        <v>45873.529411764706</v>
      </c>
      <c r="F21" s="30">
        <f t="shared" si="0"/>
        <v>50000</v>
      </c>
      <c r="G21" s="20">
        <v>17</v>
      </c>
      <c r="H21" s="89">
        <v>43031</v>
      </c>
      <c r="I21" s="12">
        <v>17910</v>
      </c>
      <c r="J21" s="85">
        <f>SUM(I$5:I21)-(L21*G21)</f>
        <v>-58688</v>
      </c>
      <c r="K21" s="10">
        <f>SUM(I$5:I21)/G21</f>
        <v>21547.764705882353</v>
      </c>
      <c r="L21" s="10">
        <f t="shared" si="1"/>
        <v>25000</v>
      </c>
    </row>
    <row r="22" spans="2:12" ht="20.100000000000001" customHeight="1" x14ac:dyDescent="0.2">
      <c r="B22" s="89">
        <v>43032</v>
      </c>
      <c r="C22" s="29">
        <v>36106</v>
      </c>
      <c r="D22" s="85">
        <f>SUM(C$5:C22)-(F22*G22)</f>
        <v>-84044</v>
      </c>
      <c r="E22" s="24">
        <f>SUM(C$5:C22)/G22</f>
        <v>45330.888888888891</v>
      </c>
      <c r="F22" s="30">
        <f t="shared" si="0"/>
        <v>50000</v>
      </c>
      <c r="G22" s="20">
        <v>18</v>
      </c>
      <c r="H22" s="89">
        <v>43032</v>
      </c>
      <c r="I22" s="12">
        <v>27959</v>
      </c>
      <c r="J22" s="85">
        <f>SUM(I$5:I22)-(L22*G22)</f>
        <v>-55729</v>
      </c>
      <c r="K22" s="10">
        <f>SUM(I$5:I22)/G22</f>
        <v>21903.944444444445</v>
      </c>
      <c r="L22" s="10">
        <f t="shared" si="1"/>
        <v>25000</v>
      </c>
    </row>
    <row r="23" spans="2:12" ht="20.100000000000001" customHeight="1" x14ac:dyDescent="0.2">
      <c r="B23" s="89">
        <v>43033</v>
      </c>
      <c r="C23" s="29">
        <v>21068</v>
      </c>
      <c r="D23" s="85">
        <f>SUM(C$5:C23)-(F23*G23)</f>
        <v>-112976</v>
      </c>
      <c r="E23" s="24">
        <f>SUM(C$5:C23)/G23</f>
        <v>44053.894736842107</v>
      </c>
      <c r="F23" s="30">
        <f t="shared" si="0"/>
        <v>50000</v>
      </c>
      <c r="G23" s="20">
        <v>19</v>
      </c>
      <c r="H23" s="89">
        <v>43033</v>
      </c>
      <c r="I23" s="12">
        <v>23799</v>
      </c>
      <c r="J23" s="85">
        <f>SUM(I$5:I23)-(L23*G23)</f>
        <v>-56930</v>
      </c>
      <c r="K23" s="10">
        <f>SUM(I$5:I23)/G23</f>
        <v>22003.684210526317</v>
      </c>
      <c r="L23" s="10">
        <f t="shared" si="1"/>
        <v>25000</v>
      </c>
    </row>
    <row r="24" spans="2:12" ht="20.100000000000001" customHeight="1" x14ac:dyDescent="0.2">
      <c r="B24" s="89">
        <v>43034</v>
      </c>
      <c r="C24" s="29">
        <v>66442</v>
      </c>
      <c r="D24" s="85">
        <f>SUM(C$5:C24)-(F24*G24)</f>
        <v>-96534</v>
      </c>
      <c r="E24" s="24">
        <f>SUM(C$5:C24)/G24</f>
        <v>45173.3</v>
      </c>
      <c r="F24" s="30">
        <f t="shared" si="0"/>
        <v>50000</v>
      </c>
      <c r="G24" s="20">
        <v>20</v>
      </c>
      <c r="H24" s="89">
        <v>43034</v>
      </c>
      <c r="I24" s="12">
        <v>28916</v>
      </c>
      <c r="J24" s="85">
        <f>SUM(I$5:I24)-(L24*G24)</f>
        <v>-53014</v>
      </c>
      <c r="K24" s="10">
        <f>SUM(I$5:I24)/G24</f>
        <v>22349.3</v>
      </c>
      <c r="L24" s="10">
        <f t="shared" si="1"/>
        <v>25000</v>
      </c>
    </row>
    <row r="25" spans="2:12" ht="20.100000000000001" customHeight="1" x14ac:dyDescent="0.2">
      <c r="B25" s="89">
        <v>43035</v>
      </c>
      <c r="C25" s="29">
        <v>36920</v>
      </c>
      <c r="D25" s="85">
        <f>SUM(C$5:C25)-(F25*G25)</f>
        <v>-109614</v>
      </c>
      <c r="E25" s="24">
        <f>SUM(C$5:C25)/G25</f>
        <v>44780.285714285717</v>
      </c>
      <c r="F25" s="30">
        <f t="shared" si="0"/>
        <v>50000</v>
      </c>
      <c r="G25" s="20">
        <v>21</v>
      </c>
      <c r="H25" s="89">
        <v>43035</v>
      </c>
      <c r="I25" s="12">
        <v>7529</v>
      </c>
      <c r="J25" s="85">
        <f>SUM(I$5:I25)-(L25*G25)</f>
        <v>-70485</v>
      </c>
      <c r="K25" s="10">
        <f>SUM(I$5:I25)/G25</f>
        <v>21643.571428571428</v>
      </c>
      <c r="L25" s="10">
        <f t="shared" si="1"/>
        <v>25000</v>
      </c>
    </row>
    <row r="26" spans="2:12" ht="20.100000000000001" customHeight="1" x14ac:dyDescent="0.2">
      <c r="B26" s="89">
        <v>43036</v>
      </c>
      <c r="C26" s="29">
        <v>56795</v>
      </c>
      <c r="D26" s="85">
        <f>SUM(C$5:C26)-(F26*G26)</f>
        <v>-102819</v>
      </c>
      <c r="E26" s="24">
        <f>SUM(C$5:C26)/G26</f>
        <v>45326.409090909088</v>
      </c>
      <c r="F26" s="30">
        <f t="shared" si="0"/>
        <v>50000</v>
      </c>
      <c r="G26" s="20">
        <v>22</v>
      </c>
      <c r="H26" s="89">
        <v>43036</v>
      </c>
      <c r="I26" s="12">
        <v>10224</v>
      </c>
      <c r="J26" s="85">
        <f>SUM(I$5:I26)-(L26*G26)</f>
        <v>-85261</v>
      </c>
      <c r="K26" s="10">
        <f>SUM(I$5:I26)/G26</f>
        <v>21124.5</v>
      </c>
      <c r="L26" s="10">
        <f t="shared" si="1"/>
        <v>25000</v>
      </c>
    </row>
    <row r="27" spans="2:12" ht="20.100000000000001" customHeight="1" x14ac:dyDescent="0.2">
      <c r="B27" s="89">
        <v>43038</v>
      </c>
      <c r="C27" s="29">
        <v>64046</v>
      </c>
      <c r="D27" s="85">
        <f>SUM(C$5:C27)-(F27*G27)</f>
        <v>-88773</v>
      </c>
      <c r="E27" s="24">
        <f>SUM(C$5:C27)/G27</f>
        <v>46140.304347826088</v>
      </c>
      <c r="F27" s="30">
        <f t="shared" si="0"/>
        <v>50000</v>
      </c>
      <c r="G27" s="20">
        <v>23</v>
      </c>
      <c r="H27" s="89">
        <v>43038</v>
      </c>
      <c r="I27" s="12">
        <v>24302</v>
      </c>
      <c r="J27" s="85">
        <f>SUM(I$5:I27)-(L27*G27)</f>
        <v>-85959</v>
      </c>
      <c r="K27" s="10">
        <f>SUM(I$5:I27)/G27</f>
        <v>21262.652173913044</v>
      </c>
      <c r="L27" s="10">
        <f t="shared" si="1"/>
        <v>25000</v>
      </c>
    </row>
    <row r="28" spans="2:12" ht="20.100000000000001" customHeight="1" x14ac:dyDescent="0.2">
      <c r="B28" s="89">
        <v>43039</v>
      </c>
      <c r="C28" s="29">
        <v>13402</v>
      </c>
      <c r="D28" s="85">
        <f>SUM(C$5:C28)-(F28*G28)</f>
        <v>-125371</v>
      </c>
      <c r="E28" s="24">
        <f>SUM(C$5:C28)/G28</f>
        <v>44776.208333333336</v>
      </c>
      <c r="F28" s="30">
        <f t="shared" si="0"/>
        <v>50000</v>
      </c>
      <c r="G28" s="20">
        <v>24</v>
      </c>
      <c r="H28" s="89">
        <v>43039</v>
      </c>
      <c r="I28" s="12">
        <v>6315</v>
      </c>
      <c r="J28" s="85">
        <f>SUM(I$5:I28)-(L28*G28)</f>
        <v>-104644</v>
      </c>
      <c r="K28" s="10">
        <f>SUM(I$5:I28)/G28</f>
        <v>20639.833333333332</v>
      </c>
      <c r="L28" s="10">
        <f t="shared" si="1"/>
        <v>25000</v>
      </c>
    </row>
    <row r="29" spans="2:12" ht="20.100000000000001" customHeight="1" x14ac:dyDescent="0.2">
      <c r="B29" s="19" t="s">
        <v>8</v>
      </c>
      <c r="C29" s="12">
        <f>SUM(C5:C28)</f>
        <v>1074629</v>
      </c>
      <c r="D29" s="86"/>
      <c r="E29" s="23"/>
      <c r="F29" s="30">
        <v>1200000</v>
      </c>
      <c r="G29" s="18"/>
      <c r="H29" s="11" t="s">
        <v>8</v>
      </c>
      <c r="I29" s="12">
        <f>SUM(I5:I28)</f>
        <v>495356</v>
      </c>
      <c r="J29" s="8"/>
      <c r="K29" s="8"/>
      <c r="L29" s="10">
        <v>600000</v>
      </c>
    </row>
    <row r="30" spans="2:12" ht="19.5" customHeight="1" x14ac:dyDescent="0.2"/>
    <row r="31" spans="2:12" ht="19.5" customHeight="1" x14ac:dyDescent="0.2"/>
    <row r="33" spans="1:12" x14ac:dyDescent="0.2">
      <c r="A33" s="156"/>
      <c r="B33" s="156"/>
      <c r="C33" s="156"/>
      <c r="D33" s="156"/>
      <c r="I33" s="34"/>
      <c r="J33" s="32"/>
    </row>
    <row r="34" spans="1:12" x14ac:dyDescent="0.2">
      <c r="L34" s="33"/>
    </row>
  </sheetData>
  <mergeCells count="5">
    <mergeCell ref="B1:F2"/>
    <mergeCell ref="H1:L2"/>
    <mergeCell ref="B3:F3"/>
    <mergeCell ref="H3:L3"/>
    <mergeCell ref="A33:D33"/>
  </mergeCells>
  <conditionalFormatting sqref="D5:D28 J5:J29">
    <cfRule type="cellIs" dxfId="157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Plan153">
    <tabColor rgb="FF92D050"/>
    <pageSetUpPr fitToPage="1"/>
  </sheetPr>
  <dimension ref="A1:CD55"/>
  <sheetViews>
    <sheetView topLeftCell="Q16" zoomScale="80" zoomScaleNormal="80" workbookViewId="0">
      <selection activeCell="I39" sqref="I39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11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48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43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Outubro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Outubro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Outubro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Outubro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26</v>
      </c>
      <c r="C7" s="75"/>
      <c r="D7" s="75"/>
      <c r="E7" s="90">
        <f>IF(D7&gt;0,SUM(D$7:D7)-SUM(C$7:C7),0)</f>
        <v>0</v>
      </c>
      <c r="F7" s="45">
        <f>IF(D7&gt;0,IF(C7&gt;0,D7/C7,0),0)</f>
        <v>0</v>
      </c>
      <c r="G7" s="75"/>
      <c r="H7" s="75"/>
      <c r="I7" s="75">
        <f>IF(H7&gt;0,SUM(H$7:H7)-SUM(G$7:G7),0)</f>
        <v>0</v>
      </c>
      <c r="J7" s="45">
        <f t="shared" ref="J7:J14" si="0">IF(H7&gt;0,IF(G7&gt;0,H7/G7,0),0)</f>
        <v>0</v>
      </c>
      <c r="K7" s="75"/>
      <c r="L7" s="75"/>
      <c r="M7" s="90">
        <f>IF(L7&gt;0,SUM(L$7:L7)-SUM(K$7:K7),0)</f>
        <v>0</v>
      </c>
      <c r="N7" s="45">
        <f t="shared" ref="N7:N17" si="1">IF(L7&gt;0,IF(K7&gt;0,L7/K7,0),0)</f>
        <v>0</v>
      </c>
      <c r="O7" s="35">
        <f t="shared" ref="O7:O14" si="2">IF(SUM(C7,G7,K7)&gt;0,SUM(C7,G7,K7),0)</f>
        <v>0</v>
      </c>
      <c r="P7" s="35">
        <f>IF(SUM(D7,H7,L7,)&gt;0,SUM(D7,H7,L7,),0)</f>
        <v>0</v>
      </c>
      <c r="Q7" s="91">
        <f>IF(P7&gt;0,SUM(P$7:P7)-SUM(O$7:O7),0)</f>
        <v>0</v>
      </c>
      <c r="R7" s="45">
        <f>IF(P7&gt;0,IF(O7&gt;0,P7/O7,0),0)</f>
        <v>0</v>
      </c>
      <c r="T7" s="47">
        <v>40817</v>
      </c>
      <c r="U7" s="54" t="str">
        <f>B7</f>
        <v>dom</v>
      </c>
      <c r="V7" s="75"/>
      <c r="W7" s="75"/>
      <c r="X7" s="92">
        <f>IF(W7&gt;0,SUM(W$7:W7)-SUM(V$7:V7),0)</f>
        <v>0</v>
      </c>
      <c r="Y7" s="60">
        <f>IF(W7&gt;0,IF(V7&gt;0,W7/V7,0),0)</f>
        <v>0</v>
      </c>
      <c r="Z7" s="75"/>
      <c r="AA7" s="75"/>
      <c r="AB7" s="92">
        <f>IF(AA7&gt;0,SUM(AA$7:AA7)-SUM(Z$7:Z7),0)</f>
        <v>0</v>
      </c>
      <c r="AC7" s="60">
        <f>IF(AA7&gt;0,IF(Z7&gt;0,AA7/Z7,0),0)</f>
        <v>0</v>
      </c>
      <c r="AD7" s="75"/>
      <c r="AE7" s="75"/>
      <c r="AF7" s="92">
        <f>IF(AE7&gt;0,SUM(AE$7:AE7)-SUM(AD$7:AD7),0)</f>
        <v>0</v>
      </c>
      <c r="AG7" s="60">
        <f>IF(AE7&gt;0,IF(AD7&gt;0,AE7/AD7,0),0)</f>
        <v>0</v>
      </c>
      <c r="AH7" s="41">
        <f t="shared" ref="AH7:AI38" si="3">IF(SUM(V7,Z7,AD7)&gt;0,SUM(V7,Z7,AD7),0)</f>
        <v>0</v>
      </c>
      <c r="AI7" s="41">
        <f>IF(SUM(W7,AA7,AE7,)&gt;0,SUM(W7,AA7,AE7),0)</f>
        <v>0</v>
      </c>
      <c r="AJ7" s="93">
        <f>IF(AI7&gt;0,SUM(AI$7:AI7)-SUM(AH$7:AH7),0)</f>
        <v>0</v>
      </c>
      <c r="AK7" s="60">
        <f>IF(AI7&gt;0,IF(AH7&gt;0,AI7/AH7,0),0)</f>
        <v>0</v>
      </c>
      <c r="AM7" s="47">
        <v>40817</v>
      </c>
      <c r="AN7" s="54" t="str">
        <f>U7</f>
        <v>dom</v>
      </c>
      <c r="AO7" s="75"/>
      <c r="AP7" s="75"/>
      <c r="AQ7" s="75">
        <f>IF(AP7&gt;0,SUM(AP$7:AP7)-SUM(AO$7:AO7),0)</f>
        <v>0</v>
      </c>
      <c r="AR7" s="45">
        <f>IF(AP7&gt;0,IF(AO7&gt;0,AP7/AO7,0),0)</f>
        <v>0</v>
      </c>
      <c r="AS7" s="75"/>
      <c r="AT7" s="75"/>
      <c r="AU7" s="90">
        <f>IF(AT7&gt;0,SUM(AT$7:AT7)-SUM(AS$7:AS7),0)</f>
        <v>0</v>
      </c>
      <c r="AV7" s="45">
        <f>IF(AT7&gt;0,IF(AS7&gt;0,AT7/AS7,0),0)</f>
        <v>0</v>
      </c>
      <c r="AW7" s="75"/>
      <c r="AX7" s="75"/>
      <c r="AY7" s="90">
        <f>IF(AX7&gt;0,SUM(AX$7:AX7)-SUM(AW$7:AW7),0)</f>
        <v>0</v>
      </c>
      <c r="AZ7" s="45">
        <f>IF(AX7&gt;0,IF(AW7&gt;0,AX7/AW7,0),0)</f>
        <v>0</v>
      </c>
      <c r="BA7" s="35">
        <f t="shared" ref="BA7:BA38" si="4">IF(SUM(AO7,AS7,AW7)&gt;0,SUM(AO7,AS7,AW7),0)</f>
        <v>0</v>
      </c>
      <c r="BB7" s="35">
        <f>IF(SUM(AP7,AT7,AX7,)&gt;0,SUM(AP7,AT7,AX7,),0)</f>
        <v>0</v>
      </c>
      <c r="BC7" s="91">
        <f>IF(BB7&gt;0,SUM(BB$7:BB7)-SUM(BA$7:BA7),0)</f>
        <v>0</v>
      </c>
      <c r="BD7" s="45">
        <f>IF(BB7&gt;0,IF(BA7&gt;0,BB7/BA7,0),0)</f>
        <v>0</v>
      </c>
      <c r="BF7" s="47">
        <v>40817</v>
      </c>
      <c r="BG7" s="54" t="str">
        <f>AN7</f>
        <v>dom</v>
      </c>
      <c r="BH7" s="75"/>
      <c r="BI7" s="75"/>
      <c r="BJ7" s="75">
        <f>IF(BI7&gt;0,SUM(BI$7:BI7)-SUM(BH$7:BH7),0)</f>
        <v>0</v>
      </c>
      <c r="BK7" s="45">
        <f>IF(BI7&gt;0,IF(BH7&gt;0,BI7/BH7,0),0)</f>
        <v>0</v>
      </c>
      <c r="BL7" s="75"/>
      <c r="BM7" s="75"/>
      <c r="BN7" s="90">
        <f>IF(BM7&gt;0,SUM(BM$7:BM7)-SUM(BL$7:BL7),0)</f>
        <v>0</v>
      </c>
      <c r="BO7" s="45">
        <f>IF(BM7&gt;0,IF(BL7&gt;0,BM7/BL7,0),0)</f>
        <v>0</v>
      </c>
      <c r="BP7" s="75"/>
      <c r="BQ7" s="75"/>
      <c r="BR7" s="90">
        <f>IF(BQ7&gt;0,SUM(BQ$7:BQ7)-SUM(BP$7:BP7),0)</f>
        <v>0</v>
      </c>
      <c r="BS7" s="45">
        <f>IF(BQ7&gt;0,IF(BP7&gt;0,BQ7/BP7,0),0)</f>
        <v>0</v>
      </c>
      <c r="BT7" s="35">
        <f t="shared" ref="BT7:BU38" si="5">IF(SUM(BH7,BL7,BP7)&gt;0,SUM(BH7,BL7,BP7),0)</f>
        <v>0</v>
      </c>
      <c r="BU7" s="35">
        <f>IF(SUM(BI7,BM7,BQ7)&gt;0,SUM(BI7,BM7,BQ7),0)</f>
        <v>0</v>
      </c>
      <c r="BV7" s="91">
        <f>IF(BU7&gt;0,SUM(BU$7:BU7)-SUM(BT$7:BT7),0)</f>
        <v>0</v>
      </c>
      <c r="BW7" s="45">
        <f>IF(BU7&gt;0,IF(BT7&gt;0,BU7/BT7,0),0)</f>
        <v>0</v>
      </c>
      <c r="BY7" s="47">
        <v>40817</v>
      </c>
      <c r="BZ7" s="54" t="str">
        <f>BG7</f>
        <v>dom</v>
      </c>
      <c r="CA7" s="75"/>
      <c r="CB7" s="75"/>
      <c r="CC7" s="90">
        <f>IF(CB7&gt;0,SUM(CB$7:CB7)-SUM(CA7:CA$7),0)</f>
        <v>0</v>
      </c>
      <c r="CD7" s="45">
        <f>IF(CB7&gt;0,IF(CA7&gt;0,CB7/CA7,0),0)</f>
        <v>0</v>
      </c>
    </row>
    <row r="8" spans="1:82" x14ac:dyDescent="0.25">
      <c r="A8" s="47">
        <f>A7+1</f>
        <v>40818</v>
      </c>
      <c r="B8" s="54" t="s">
        <v>27</v>
      </c>
      <c r="C8" s="75">
        <v>12000</v>
      </c>
      <c r="D8" s="75">
        <v>7760</v>
      </c>
      <c r="E8" s="90">
        <f>IF(D8&gt;0,SUM(D$7:D8)-SUM(C$7:C8),0)</f>
        <v>-4240</v>
      </c>
      <c r="F8" s="45">
        <f>IF(D8&gt;0,IF(C8&gt;0,D8/C8,0),0)</f>
        <v>0.64666666666666661</v>
      </c>
      <c r="G8" s="75">
        <v>12000</v>
      </c>
      <c r="H8" s="36">
        <v>7877</v>
      </c>
      <c r="I8" s="75">
        <f>IF(H8&gt;0,SUM(H$7:H8)-SUM(G$7:G8),0)</f>
        <v>-4123</v>
      </c>
      <c r="J8" s="45">
        <f t="shared" si="0"/>
        <v>0.65641666666666665</v>
      </c>
      <c r="K8" s="75">
        <v>12000</v>
      </c>
      <c r="L8" s="75">
        <v>11274</v>
      </c>
      <c r="M8" s="90">
        <f>IF(L8&gt;0,SUM(L$7:L8)-SUM(K$7:K8),0)</f>
        <v>-726</v>
      </c>
      <c r="N8" s="45">
        <f t="shared" si="1"/>
        <v>0.9395</v>
      </c>
      <c r="O8" s="35">
        <f t="shared" si="2"/>
        <v>36000</v>
      </c>
      <c r="P8" s="35">
        <f t="shared" ref="P8:P37" si="6">IF(SUM(D8,H8,L8,)&gt;0,SUM(D8,H8,L8,),0)</f>
        <v>26911</v>
      </c>
      <c r="Q8" s="91">
        <f>IF(P8&gt;0,SUM(P$7:P8)-SUM(O$7:O8),0)</f>
        <v>-9089</v>
      </c>
      <c r="R8" s="45">
        <f>IF(P8&gt;0,IF(O8&gt;0,P8/O8,0),0)</f>
        <v>0.74752777777777779</v>
      </c>
      <c r="T8" s="47">
        <f>T7+1</f>
        <v>40818</v>
      </c>
      <c r="U8" s="54" t="str">
        <f t="shared" ref="U8:U37" si="7">B8</f>
        <v>seg</v>
      </c>
      <c r="V8" s="75">
        <v>11000</v>
      </c>
      <c r="W8" s="75">
        <v>11325</v>
      </c>
      <c r="X8" s="92">
        <f>IF(W8&gt;0,SUM(W$7:W8)-SUM(V$7:V8),0)</f>
        <v>325</v>
      </c>
      <c r="Y8" s="60">
        <f>IF(W8&gt;0,IF(V8&gt;0,W8/V8,0),0)</f>
        <v>1.0295454545454545</v>
      </c>
      <c r="Z8" s="75">
        <v>11000</v>
      </c>
      <c r="AA8" s="75">
        <v>8098</v>
      </c>
      <c r="AB8" s="92">
        <f>IF(AA8&gt;0,SUM(AA$7:AA8)-SUM(Z$7:Z8),0)</f>
        <v>-2902</v>
      </c>
      <c r="AC8" s="60">
        <f>IF(AA8&gt;0,IF(Z8&gt;0,AA8/Z8,0),0)</f>
        <v>0.73618181818181816</v>
      </c>
      <c r="AD8" s="75">
        <v>11000</v>
      </c>
      <c r="AE8" s="75">
        <v>12380</v>
      </c>
      <c r="AF8" s="92">
        <f>IF(AE8&gt;0,SUM(AE$7:AE8)-SUM(AD$7:AD8),0)</f>
        <v>1380</v>
      </c>
      <c r="AG8" s="60">
        <f>IF(AE8&gt;0,IF(AD8&gt;0,AE8/AD8,0),0)</f>
        <v>1.1254545454545455</v>
      </c>
      <c r="AH8" s="41">
        <f t="shared" si="3"/>
        <v>33000</v>
      </c>
      <c r="AI8" s="41">
        <f t="shared" ref="AI8:AI37" si="8">IF(SUM(W8,AA8,AE8,)&gt;0,SUM(W8,AA8,AE8),0)</f>
        <v>31803</v>
      </c>
      <c r="AJ8" s="93">
        <f>IF(AI8&gt;0,SUM(AI$7:AI8)-SUM(AH$7:AH8),0)</f>
        <v>-1197</v>
      </c>
      <c r="AK8" s="60">
        <f>IF(AI8&gt;0,IF(AH8&gt;0,AI8/AH8,0),0)</f>
        <v>0.96372727272727277</v>
      </c>
      <c r="AM8" s="47">
        <f>AM7+1</f>
        <v>40818</v>
      </c>
      <c r="AN8" s="54" t="str">
        <f t="shared" ref="AN8:AN37" si="9">U8</f>
        <v>seg</v>
      </c>
      <c r="AO8" s="75">
        <v>8055</v>
      </c>
      <c r="AP8" s="75">
        <v>5528</v>
      </c>
      <c r="AQ8" s="75">
        <f>IF(AP8&gt;0,SUM(AP$7:AP8)-SUM(AO$7:AO8),0)</f>
        <v>-2527</v>
      </c>
      <c r="AR8" s="45">
        <f>IF(AP8&gt;0,IF(AO8&gt;0,AP8/AO8,0),0)</f>
        <v>0.68628181253879583</v>
      </c>
      <c r="AS8" s="75">
        <v>8055</v>
      </c>
      <c r="AT8" s="75">
        <v>6942</v>
      </c>
      <c r="AU8" s="90">
        <f>IF(AT8&gt;0,SUM(AT$7:AT8)-SUM(AS$7:AS8),0)</f>
        <v>-1113</v>
      </c>
      <c r="AV8" s="45">
        <f>IF(AT8&gt;0,IF(AS8&gt;0,AT8/AS8,0),0)</f>
        <v>0.86182495344506516</v>
      </c>
      <c r="AW8" s="75">
        <v>8055</v>
      </c>
      <c r="AX8" s="75">
        <v>6158</v>
      </c>
      <c r="AY8" s="90">
        <f>IF(AX8&gt;0,SUM(AX$7:AX8)-SUM(AW$7:AW8),0)</f>
        <v>-1897</v>
      </c>
      <c r="AZ8" s="45">
        <f>IF(AX8&gt;0,IF(AW8&gt;0,AX8/AW8,0),0)</f>
        <v>0.76449410304158905</v>
      </c>
      <c r="BA8" s="35">
        <f t="shared" si="4"/>
        <v>24165</v>
      </c>
      <c r="BB8" s="35">
        <f t="shared" ref="BB8:BB37" si="10">IF(SUM(AP8,AT8,AX8,)&gt;0,SUM(AP8,AT8,AX8,),0)</f>
        <v>18628</v>
      </c>
      <c r="BC8" s="91">
        <f>IF(BB8&gt;0,SUM(BB$7:BB8)-SUM(BA$7:BA8),0)</f>
        <v>-5537</v>
      </c>
      <c r="BD8" s="45">
        <f>IF(BB8&gt;0,IF(BA8&gt;0,BB8/BA8,0),0)</f>
        <v>0.77086695634181668</v>
      </c>
      <c r="BF8" s="47">
        <f>BF7+1</f>
        <v>40818</v>
      </c>
      <c r="BG8" s="54" t="str">
        <f t="shared" ref="BG8:BG37" si="11">AN8</f>
        <v>seg</v>
      </c>
      <c r="BH8" s="75">
        <v>16200</v>
      </c>
      <c r="BI8" s="75">
        <v>14076</v>
      </c>
      <c r="BJ8" s="75">
        <f>IF(BI8&gt;0,SUM(BI$7:BI8)-SUM(BH$7:BH8),0)</f>
        <v>-2124</v>
      </c>
      <c r="BK8" s="45">
        <f>IF(BI8&gt;0,IF(BH8&gt;0,BI8/BH8,0),0)</f>
        <v>0.86888888888888893</v>
      </c>
      <c r="BL8" s="75">
        <v>7000</v>
      </c>
      <c r="BM8" s="75">
        <v>4875</v>
      </c>
      <c r="BN8" s="90">
        <f>IF(BM8&gt;0,SUM(BM$7:BM8)-SUM(BL$7:BL8),0)</f>
        <v>-2125</v>
      </c>
      <c r="BO8" s="45">
        <f>IF(BM8&gt;0,IF(BL8&gt;0,BM8/BL8,0),0)</f>
        <v>0.6964285714285714</v>
      </c>
      <c r="BP8" s="75">
        <v>10000</v>
      </c>
      <c r="BQ8" s="75">
        <v>11395</v>
      </c>
      <c r="BR8" s="90">
        <f>IF(BQ8&gt;0,SUM(BQ$7:BQ8)-SUM(BP$7:BP8),0)</f>
        <v>1395</v>
      </c>
      <c r="BS8" s="45">
        <f>IF(BQ8&gt;0,IF(BP8&gt;0,BQ8/BP8,0),0)</f>
        <v>1.1395</v>
      </c>
      <c r="BT8" s="35">
        <f t="shared" si="5"/>
        <v>33200</v>
      </c>
      <c r="BU8" s="35">
        <f t="shared" si="5"/>
        <v>30346</v>
      </c>
      <c r="BV8" s="91">
        <f>IF(BU8&gt;0,SUM(BU$7:BU8)-SUM(BT$7:BT8),0)</f>
        <v>-2854</v>
      </c>
      <c r="BW8" s="45">
        <f>IF(BU8&gt;0,IF(BT8&gt;0,BU8/BT8,0),0)</f>
        <v>0.91403614457831328</v>
      </c>
      <c r="BY8" s="47">
        <f>BY7+1</f>
        <v>40818</v>
      </c>
      <c r="BZ8" s="54" t="str">
        <f t="shared" ref="BZ8:BZ37" si="12">BG8</f>
        <v>seg</v>
      </c>
      <c r="CA8" s="75">
        <v>2550</v>
      </c>
      <c r="CB8" s="75">
        <v>1</v>
      </c>
      <c r="CC8" s="90">
        <f>IF(CB8&gt;0,SUM(CB$7:CB8)-SUM(CA$7:CA8),0)</f>
        <v>-2549</v>
      </c>
      <c r="CD8" s="45">
        <f>IF(CB8&gt;0,IF(CA8&gt;0,CB8/CA8,0),0)</f>
        <v>3.9215686274509802E-4</v>
      </c>
    </row>
    <row r="9" spans="1:82" x14ac:dyDescent="0.25">
      <c r="A9" s="47">
        <f t="shared" ref="A9:A36" si="13">A8+1</f>
        <v>40819</v>
      </c>
      <c r="B9" s="54" t="s">
        <v>28</v>
      </c>
      <c r="C9" s="75">
        <v>12000</v>
      </c>
      <c r="D9" s="75">
        <v>14066</v>
      </c>
      <c r="E9" s="90">
        <f>IF(D9&gt;0,SUM(D$7:D9)-SUM(C$7:C9),0)</f>
        <v>-2174</v>
      </c>
      <c r="F9" s="45">
        <f t="shared" ref="F9:F38" si="14">IF(D9&gt;0,IF(C9&gt;0,D9/C9,0),0)</f>
        <v>1.1721666666666666</v>
      </c>
      <c r="G9" s="75">
        <v>12000</v>
      </c>
      <c r="H9" s="75">
        <v>10211</v>
      </c>
      <c r="I9" s="75">
        <f>IF(H9&gt;0,SUM(H$7:H9)-SUM(G$7:G9),0)</f>
        <v>-5912</v>
      </c>
      <c r="J9" s="45">
        <f t="shared" si="0"/>
        <v>0.85091666666666665</v>
      </c>
      <c r="K9" s="75">
        <v>12000</v>
      </c>
      <c r="L9" s="75">
        <v>13492</v>
      </c>
      <c r="M9" s="90">
        <f>IF(L9&gt;0,SUM(L$7:L9)-SUM(K$7:K9),0)</f>
        <v>766</v>
      </c>
      <c r="N9" s="45">
        <f t="shared" si="1"/>
        <v>1.1243333333333334</v>
      </c>
      <c r="O9" s="35">
        <f t="shared" si="2"/>
        <v>36000</v>
      </c>
      <c r="P9" s="35">
        <f t="shared" si="6"/>
        <v>37769</v>
      </c>
      <c r="Q9" s="91">
        <f>IF(P9&gt;0,SUM(P$7:P9)-SUM(O$7:O9),0)</f>
        <v>-7320</v>
      </c>
      <c r="R9" s="45">
        <f t="shared" ref="R9:R38" si="15">IF(P9&gt;0,IF(O9&gt;0,P9/O9,0),0)</f>
        <v>1.0491388888888888</v>
      </c>
      <c r="T9" s="47">
        <f t="shared" ref="T9:T36" si="16">T8+1</f>
        <v>40819</v>
      </c>
      <c r="U9" s="54" t="str">
        <f t="shared" si="7"/>
        <v>ter</v>
      </c>
      <c r="V9" s="75">
        <v>11000</v>
      </c>
      <c r="W9" s="75">
        <v>12551</v>
      </c>
      <c r="X9" s="92">
        <f>IF(W9&gt;0,SUM(W$7:W9)-SUM(V$7:V9),0)</f>
        <v>1876</v>
      </c>
      <c r="Y9" s="60">
        <f t="shared" ref="Y9:Y38" si="17">IF(W9&gt;0,IF(V9&gt;0,W9/V9,0),0)</f>
        <v>1.141</v>
      </c>
      <c r="Z9" s="75">
        <v>11000</v>
      </c>
      <c r="AA9" s="75">
        <v>13346</v>
      </c>
      <c r="AB9" s="92">
        <f>IF(AA9&gt;0,SUM(AA$7:AA9)-SUM(Z$7:Z9),0)</f>
        <v>-556</v>
      </c>
      <c r="AC9" s="60">
        <f t="shared" ref="AC9:AC38" si="18">IF(AA9&gt;0,IF(Z9&gt;0,AA9/Z9,0),0)</f>
        <v>1.2132727272727273</v>
      </c>
      <c r="AD9" s="75">
        <v>11000</v>
      </c>
      <c r="AE9" s="75">
        <v>12890</v>
      </c>
      <c r="AF9" s="92">
        <f>IF(AE9&gt;0,SUM(AE$7:AE9)-SUM(AD$7:AD9),0)</f>
        <v>3270</v>
      </c>
      <c r="AG9" s="60">
        <f t="shared" ref="AG9:AG38" si="19">IF(AE9&gt;0,IF(AD9&gt;0,AE9/AD9,0),0)</f>
        <v>1.1718181818181819</v>
      </c>
      <c r="AH9" s="41">
        <f t="shared" si="3"/>
        <v>33000</v>
      </c>
      <c r="AI9" s="41">
        <f t="shared" si="8"/>
        <v>38787</v>
      </c>
      <c r="AJ9" s="93">
        <f>IF(AI9&gt;0,SUM(AI$7:AI9)-SUM(AH$7:AH9),0)</f>
        <v>4590</v>
      </c>
      <c r="AK9" s="60">
        <f t="shared" ref="AK9:AK37" si="20">IF(AI9&gt;0,IF(AH9&gt;0,AI9/AH9,0),0)</f>
        <v>1.1753636363636364</v>
      </c>
      <c r="AM9" s="47">
        <f t="shared" ref="AM9:AM36" si="21">AM8+1</f>
        <v>40819</v>
      </c>
      <c r="AN9" s="54" t="str">
        <f t="shared" si="9"/>
        <v>ter</v>
      </c>
      <c r="AO9" s="75">
        <v>8055</v>
      </c>
      <c r="AP9" s="75">
        <v>8535</v>
      </c>
      <c r="AQ9" s="75">
        <f>IF(AP9&gt;0,SUM(AP$7:AP9)-SUM(AO$7:AO9),0)</f>
        <v>-2047</v>
      </c>
      <c r="AR9" s="45">
        <f t="shared" ref="AR9:AR38" si="22">IF(AP9&gt;0,IF(AO9&gt;0,AP9/AO9,0),0)</f>
        <v>1.0595903165735567</v>
      </c>
      <c r="AS9" s="75">
        <v>8055</v>
      </c>
      <c r="AT9" s="75">
        <v>7214</v>
      </c>
      <c r="AU9" s="90">
        <f>IF(AT9&gt;0,SUM(AT$7:AT9)-SUM(AS$7:AS9),0)</f>
        <v>-1954</v>
      </c>
      <c r="AV9" s="45">
        <f t="shared" ref="AV9:AV38" si="23">IF(AT9&gt;0,IF(AS9&gt;0,AT9/AS9,0),0)</f>
        <v>0.89559279950341408</v>
      </c>
      <c r="AW9" s="75">
        <v>8055</v>
      </c>
      <c r="AX9" s="75">
        <v>5624</v>
      </c>
      <c r="AY9" s="90">
        <f>IF(AX9&gt;0,SUM(AX$7:AX9)-SUM(AW$7:AW9),0)</f>
        <v>-4328</v>
      </c>
      <c r="AZ9" s="45">
        <f>IF(AX9&gt;0,IF(AW9&gt;0,AX9/AW9,0),0)</f>
        <v>0.69819987585350718</v>
      </c>
      <c r="BA9" s="35">
        <f t="shared" si="4"/>
        <v>24165</v>
      </c>
      <c r="BB9" s="35">
        <f t="shared" si="10"/>
        <v>21373</v>
      </c>
      <c r="BC9" s="91">
        <f>IF(BB9&gt;0,SUM(BB$7:BB9)-SUM(BA$7:BA9),0)</f>
        <v>-8329</v>
      </c>
      <c r="BD9" s="45">
        <f t="shared" ref="BD9:BD38" si="24">IF(BB9&gt;0,IF(BA9&gt;0,BB9/BA9,0),0)</f>
        <v>0.88446099731015937</v>
      </c>
      <c r="BF9" s="47">
        <f t="shared" ref="BF9:BF36" si="25">BF8+1</f>
        <v>40819</v>
      </c>
      <c r="BG9" s="54" t="str">
        <f t="shared" si="11"/>
        <v>ter</v>
      </c>
      <c r="BH9" s="75">
        <v>16200</v>
      </c>
      <c r="BI9" s="75">
        <v>12399</v>
      </c>
      <c r="BJ9" s="75">
        <f>IF(BI9&gt;0,SUM(BI$7:BI9)-SUM(BH$7:BH9),0)</f>
        <v>-5925</v>
      </c>
      <c r="BK9" s="45">
        <f t="shared" ref="BK9:BK38" si="26">IF(BI9&gt;0,IF(BH9&gt;0,BI9/BH9,0),0)</f>
        <v>0.76537037037037037</v>
      </c>
      <c r="BL9" s="75">
        <v>7000</v>
      </c>
      <c r="BM9" s="75">
        <v>8974</v>
      </c>
      <c r="BN9" s="90">
        <f>IF(BM9&gt;0,SUM(BM$7:BM9)-SUM(BL$7:BL9),0)</f>
        <v>-151</v>
      </c>
      <c r="BO9" s="45">
        <f t="shared" ref="BO9:BO38" si="27">IF(BM9&gt;0,IF(BL9&gt;0,BM9/BL9,0),0)</f>
        <v>1.282</v>
      </c>
      <c r="BP9" s="75">
        <v>10000</v>
      </c>
      <c r="BQ9" s="75">
        <v>8773</v>
      </c>
      <c r="BR9" s="90">
        <f>IF(BQ9&gt;0,SUM(BQ$7:BQ9)-SUM(BP$7:BP9),0)</f>
        <v>168</v>
      </c>
      <c r="BS9" s="45">
        <f>IF(BQ9&gt;0,IF(BP9&gt;0,BQ9/BP9,0),0)</f>
        <v>0.87729999999999997</v>
      </c>
      <c r="BT9" s="35">
        <f>IF(SUM(BH9,BL9,BP9)&gt;0,SUM(BH9,BL9,BP9),0)</f>
        <v>33200</v>
      </c>
      <c r="BU9" s="35">
        <f t="shared" si="5"/>
        <v>30146</v>
      </c>
      <c r="BV9" s="91">
        <f>IF(BU9&gt;0,SUM(BU$7:BU9)-SUM(BT$7:BT9),0)</f>
        <v>-5908</v>
      </c>
      <c r="BW9" s="45">
        <f t="shared" ref="BW9:BW38" si="28">IF(BU9&gt;0,IF(BT9&gt;0,BU9/BT9,0),0)</f>
        <v>0.90801204819277104</v>
      </c>
      <c r="BY9" s="47">
        <f t="shared" ref="BY9:BY36" si="29">BY8+1</f>
        <v>40819</v>
      </c>
      <c r="BZ9" s="54" t="str">
        <f t="shared" si="12"/>
        <v>ter</v>
      </c>
      <c r="CA9" s="75">
        <v>2550</v>
      </c>
      <c r="CB9" s="75">
        <v>1</v>
      </c>
      <c r="CC9" s="90">
        <f>IF(CB9&gt;0,SUM(CB$7:CB9)-SUM(CA$7:CA9),0)</f>
        <v>-5098</v>
      </c>
      <c r="CD9" s="45">
        <f t="shared" ref="CD9:CD38" si="30">IF(CB9&gt;0,IF(CA9&gt;0,CB9/CA9,0),0)</f>
        <v>3.9215686274509802E-4</v>
      </c>
    </row>
    <row r="10" spans="1:82" x14ac:dyDescent="0.25">
      <c r="A10" s="47">
        <f t="shared" si="13"/>
        <v>40820</v>
      </c>
      <c r="B10" s="54" t="s">
        <v>22</v>
      </c>
      <c r="C10" s="75">
        <v>12000</v>
      </c>
      <c r="D10" s="75">
        <v>6118</v>
      </c>
      <c r="E10" s="90">
        <f>IF(D10&gt;0,SUM(D$7:D10)-SUM(C$7:C10),0)</f>
        <v>-8056</v>
      </c>
      <c r="F10" s="45">
        <f t="shared" si="14"/>
        <v>0.50983333333333336</v>
      </c>
      <c r="G10" s="75">
        <v>12000</v>
      </c>
      <c r="H10" s="75">
        <v>8852</v>
      </c>
      <c r="I10" s="75">
        <f>IF(H10&gt;0,SUM(H$7:H10)-SUM(G$7:G10),0)</f>
        <v>-9060</v>
      </c>
      <c r="J10" s="45">
        <f t="shared" si="0"/>
        <v>0.73766666666666669</v>
      </c>
      <c r="K10" s="75">
        <v>12000</v>
      </c>
      <c r="L10" s="75">
        <v>13357</v>
      </c>
      <c r="M10" s="90">
        <f>IF(L10&gt;0,SUM(L$7:L10)-SUM(K$7:K10),0)</f>
        <v>2123</v>
      </c>
      <c r="N10" s="45">
        <f t="shared" si="1"/>
        <v>1.1130833333333334</v>
      </c>
      <c r="O10" s="35">
        <f t="shared" si="2"/>
        <v>36000</v>
      </c>
      <c r="P10" s="35">
        <f t="shared" si="6"/>
        <v>28327</v>
      </c>
      <c r="Q10" s="91">
        <f>IF(P10&gt;0,SUM(P$7:P10)-SUM(O$7:O10),0)</f>
        <v>-14993</v>
      </c>
      <c r="R10" s="45">
        <f t="shared" si="15"/>
        <v>0.78686111111111112</v>
      </c>
      <c r="T10" s="47">
        <f t="shared" si="16"/>
        <v>40820</v>
      </c>
      <c r="U10" s="54" t="str">
        <f t="shared" si="7"/>
        <v>qua</v>
      </c>
      <c r="V10" s="75">
        <v>11000</v>
      </c>
      <c r="W10" s="75">
        <v>9088</v>
      </c>
      <c r="X10" s="92">
        <f>IF(W10&gt;0,SUM(W$7:W10)-SUM(V$7:V10),0)</f>
        <v>-36</v>
      </c>
      <c r="Y10" s="60">
        <f t="shared" si="17"/>
        <v>0.82618181818181813</v>
      </c>
      <c r="Z10" s="75">
        <v>11000</v>
      </c>
      <c r="AA10" s="75">
        <v>12636</v>
      </c>
      <c r="AB10" s="92">
        <f>IF(AA10&gt;0,SUM(AA$7:AA10)-SUM(Z$7:Z10),0)</f>
        <v>1080</v>
      </c>
      <c r="AC10" s="60">
        <f t="shared" si="18"/>
        <v>1.1487272727272728</v>
      </c>
      <c r="AD10" s="75">
        <v>11000</v>
      </c>
      <c r="AE10" s="75">
        <v>11988</v>
      </c>
      <c r="AF10" s="92">
        <f>IF(AE10&gt;0,SUM(AE$7:AE10)-SUM(AD$7:AD10),0)</f>
        <v>4258</v>
      </c>
      <c r="AG10" s="60">
        <f t="shared" si="19"/>
        <v>1.0898181818181818</v>
      </c>
      <c r="AH10" s="41">
        <f t="shared" si="3"/>
        <v>33000</v>
      </c>
      <c r="AI10" s="41">
        <f t="shared" si="8"/>
        <v>33712</v>
      </c>
      <c r="AJ10" s="93">
        <f>IF(AI10&gt;0,SUM(AI$7:AI10)-SUM(AH$7:AH10),0)</f>
        <v>5302</v>
      </c>
      <c r="AK10" s="60">
        <f t="shared" si="20"/>
        <v>1.0215757575757576</v>
      </c>
      <c r="AM10" s="47">
        <f t="shared" si="21"/>
        <v>40820</v>
      </c>
      <c r="AN10" s="54" t="str">
        <f t="shared" si="9"/>
        <v>qua</v>
      </c>
      <c r="AO10" s="75">
        <v>8055</v>
      </c>
      <c r="AP10" s="75">
        <v>9346</v>
      </c>
      <c r="AQ10" s="75">
        <f>IF(AP10&gt;0,SUM(AP$7:AP10)-SUM(AO$7:AO10),0)</f>
        <v>-756</v>
      </c>
      <c r="AR10" s="45">
        <f t="shared" si="22"/>
        <v>1.1602731222842955</v>
      </c>
      <c r="AS10" s="75">
        <v>8055</v>
      </c>
      <c r="AT10" s="75">
        <v>5590</v>
      </c>
      <c r="AU10" s="90">
        <f>IF(AT10&gt;0,SUM(AT$7:AT10)-SUM(AS$7:AS10),0)</f>
        <v>-4419</v>
      </c>
      <c r="AV10" s="45">
        <f t="shared" si="23"/>
        <v>0.69397889509621358</v>
      </c>
      <c r="AW10" s="75">
        <v>8055</v>
      </c>
      <c r="AX10" s="75">
        <v>6662</v>
      </c>
      <c r="AY10" s="90">
        <f>IF(AX10&gt;0,SUM(AX$7:AX10)-SUM(AW$7:AW10),0)</f>
        <v>-5721</v>
      </c>
      <c r="AZ10" s="45">
        <f>IF(AX10&gt;0,IF(AW10&gt;0,AX10/AW10,0),0)</f>
        <v>0.82706393544382373</v>
      </c>
      <c r="BA10" s="35">
        <f t="shared" si="4"/>
        <v>24165</v>
      </c>
      <c r="BB10" s="35">
        <f t="shared" si="10"/>
        <v>21598</v>
      </c>
      <c r="BC10" s="91">
        <f>IF(BB10&gt;0,SUM(BB$7:BB10)-SUM(BA$7:BA10),0)</f>
        <v>-10896</v>
      </c>
      <c r="BD10" s="45">
        <f t="shared" si="24"/>
        <v>0.89377198427477755</v>
      </c>
      <c r="BF10" s="47">
        <f t="shared" si="25"/>
        <v>40820</v>
      </c>
      <c r="BG10" s="54" t="str">
        <f t="shared" si="11"/>
        <v>qua</v>
      </c>
      <c r="BH10" s="75">
        <v>16200</v>
      </c>
      <c r="BI10" s="75">
        <v>12973</v>
      </c>
      <c r="BJ10" s="75">
        <f>IF(BI10&gt;0,SUM(BI$7:BI10)-SUM(BH$7:BH10),0)</f>
        <v>-9152</v>
      </c>
      <c r="BK10" s="45">
        <f t="shared" si="26"/>
        <v>0.80080246913580244</v>
      </c>
      <c r="BL10" s="75">
        <v>7000</v>
      </c>
      <c r="BM10" s="75">
        <v>8627</v>
      </c>
      <c r="BN10" s="90">
        <f>IF(BM10&gt;0,SUM(BM$7:BM10)-SUM(BL$7:BL10),0)</f>
        <v>1476</v>
      </c>
      <c r="BO10" s="45">
        <f t="shared" si="27"/>
        <v>1.2324285714285714</v>
      </c>
      <c r="BP10" s="75">
        <v>10000</v>
      </c>
      <c r="BQ10" s="75">
        <v>7168</v>
      </c>
      <c r="BR10" s="90">
        <f>IF(BQ10&gt;0,SUM(BQ$7:BQ10)-SUM(BP$7:BP10),0)</f>
        <v>-2664</v>
      </c>
      <c r="BS10" s="45">
        <f>IF(BQ10&gt;0,IF(BP10&gt;0,BQ10/BP10,0),0)</f>
        <v>0.71679999999999999</v>
      </c>
      <c r="BT10" s="35">
        <f>IF(SUM(BH10,BL10,BP10)&gt;0,SUM(BH10,BL10,BP10),0)</f>
        <v>33200</v>
      </c>
      <c r="BU10" s="35">
        <f t="shared" si="5"/>
        <v>28768</v>
      </c>
      <c r="BV10" s="91">
        <f>IF(BU10&gt;0,SUM(BU$7:BU10)-SUM(BT$7:BT10),0)</f>
        <v>-10340</v>
      </c>
      <c r="BW10" s="45">
        <f t="shared" si="28"/>
        <v>0.86650602409638555</v>
      </c>
      <c r="BY10" s="47">
        <f t="shared" si="29"/>
        <v>40820</v>
      </c>
      <c r="BZ10" s="54" t="str">
        <f t="shared" si="12"/>
        <v>qua</v>
      </c>
      <c r="CA10" s="75">
        <v>2550</v>
      </c>
      <c r="CB10" s="75">
        <v>2732</v>
      </c>
      <c r="CC10" s="90">
        <f>IF(CB10&gt;0,SUM(CB$7:CB10)-SUM(CA$7:CA10),0)</f>
        <v>-4916</v>
      </c>
      <c r="CD10" s="45">
        <f t="shared" si="30"/>
        <v>1.0713725490196078</v>
      </c>
    </row>
    <row r="11" spans="1:82" x14ac:dyDescent="0.25">
      <c r="A11" s="47">
        <f t="shared" si="13"/>
        <v>40821</v>
      </c>
      <c r="B11" s="54" t="s">
        <v>23</v>
      </c>
      <c r="C11" s="75">
        <v>12000</v>
      </c>
      <c r="D11" s="75">
        <v>11459</v>
      </c>
      <c r="E11" s="90">
        <f>IF(D11&gt;0,SUM(D$7:D11)-SUM(C$7:C11),0)</f>
        <v>-8597</v>
      </c>
      <c r="F11" s="45">
        <f t="shared" si="14"/>
        <v>0.95491666666666664</v>
      </c>
      <c r="G11" s="75">
        <v>12000</v>
      </c>
      <c r="H11" s="75">
        <v>11602</v>
      </c>
      <c r="I11" s="75">
        <f>IF(H11&gt;0,SUM(H$7:H11)-SUM(G$7:G11),0)</f>
        <v>-9458</v>
      </c>
      <c r="J11" s="45">
        <f t="shared" si="0"/>
        <v>0.96683333333333332</v>
      </c>
      <c r="K11" s="75">
        <v>12000</v>
      </c>
      <c r="L11" s="75">
        <v>13801</v>
      </c>
      <c r="M11" s="90">
        <f>IF(L11&gt;0,SUM(L$7:L11)-SUM(K$7:K11),0)</f>
        <v>3924</v>
      </c>
      <c r="N11" s="45">
        <f t="shared" si="1"/>
        <v>1.1500833333333333</v>
      </c>
      <c r="O11" s="35">
        <f t="shared" si="2"/>
        <v>36000</v>
      </c>
      <c r="P11" s="35">
        <f t="shared" si="6"/>
        <v>36862</v>
      </c>
      <c r="Q11" s="91">
        <f>IF(P11&gt;0,SUM(P$7:P11)-SUM(O$7:O11),0)</f>
        <v>-14131</v>
      </c>
      <c r="R11" s="45">
        <f t="shared" si="15"/>
        <v>1.0239444444444445</v>
      </c>
      <c r="T11" s="47">
        <f t="shared" si="16"/>
        <v>40821</v>
      </c>
      <c r="U11" s="54" t="str">
        <f t="shared" si="7"/>
        <v>qui</v>
      </c>
      <c r="V11" s="75">
        <v>11000</v>
      </c>
      <c r="W11" s="75">
        <v>10175</v>
      </c>
      <c r="X11" s="92">
        <f>IF(W11&gt;0,SUM(W$7:W11)-SUM(V$7:V11),0)</f>
        <v>-861</v>
      </c>
      <c r="Y11" s="60">
        <f t="shared" si="17"/>
        <v>0.92500000000000004</v>
      </c>
      <c r="Z11" s="75">
        <v>11000</v>
      </c>
      <c r="AA11" s="75">
        <v>11423</v>
      </c>
      <c r="AB11" s="92">
        <f>IF(AA11&gt;0,SUM(AA$7:AA11)-SUM(Z$7:Z11),0)</f>
        <v>1503</v>
      </c>
      <c r="AC11" s="60">
        <f t="shared" si="18"/>
        <v>1.0384545454545455</v>
      </c>
      <c r="AD11" s="75">
        <v>11000</v>
      </c>
      <c r="AE11" s="75">
        <v>9122</v>
      </c>
      <c r="AF11" s="92">
        <f>IF(AE11&gt;0,SUM(AE$7:AE11)-SUM(AD$7:AD11),0)</f>
        <v>2380</v>
      </c>
      <c r="AG11" s="60">
        <f t="shared" si="19"/>
        <v>0.82927272727272727</v>
      </c>
      <c r="AH11" s="41">
        <f t="shared" si="3"/>
        <v>33000</v>
      </c>
      <c r="AI11" s="41">
        <f t="shared" si="8"/>
        <v>30720</v>
      </c>
      <c r="AJ11" s="93">
        <f>IF(AI11&gt;0,SUM(AI$7:AI11)-SUM(AH$7:AH11),0)</f>
        <v>3022</v>
      </c>
      <c r="AK11" s="60">
        <f t="shared" si="20"/>
        <v>0.93090909090909091</v>
      </c>
      <c r="AM11" s="47">
        <f t="shared" si="21"/>
        <v>40821</v>
      </c>
      <c r="AN11" s="54" t="str">
        <f t="shared" si="9"/>
        <v>qui</v>
      </c>
      <c r="AO11" s="75">
        <v>8055</v>
      </c>
      <c r="AP11" s="75">
        <v>8880</v>
      </c>
      <c r="AQ11" s="75">
        <f>IF(AP11&gt;0,SUM(AP$7:AP11)-SUM(AO$7:AO11),0)</f>
        <v>69</v>
      </c>
      <c r="AR11" s="45">
        <f t="shared" si="22"/>
        <v>1.1024208566108007</v>
      </c>
      <c r="AS11" s="75">
        <v>8055</v>
      </c>
      <c r="AT11" s="75">
        <v>8601</v>
      </c>
      <c r="AU11" s="90">
        <f>IF(AT11&gt;0,SUM(AT$7:AT11)-SUM(AS$7:AS11),0)</f>
        <v>-3873</v>
      </c>
      <c r="AV11" s="45">
        <f t="shared" si="23"/>
        <v>1.0677839851024209</v>
      </c>
      <c r="AW11" s="75">
        <v>8055</v>
      </c>
      <c r="AX11" s="75">
        <v>6950</v>
      </c>
      <c r="AY11" s="90">
        <f>IF(AX11&gt;0,SUM(AX$7:AX11)-SUM(AW$7:AW11),0)</f>
        <v>-6826</v>
      </c>
      <c r="AZ11" s="45">
        <f t="shared" ref="AZ11:AZ38" si="31">IF(AX11&gt;0,IF(AW11&gt;0,AX11/AW11,0),0)</f>
        <v>0.86281812538795777</v>
      </c>
      <c r="BA11" s="35">
        <f t="shared" si="4"/>
        <v>24165</v>
      </c>
      <c r="BB11" s="35">
        <f t="shared" si="10"/>
        <v>24431</v>
      </c>
      <c r="BC11" s="91">
        <f>IF(BB11&gt;0,SUM(BB$7:BB11)-SUM(BA$7:BA11),0)</f>
        <v>-10630</v>
      </c>
      <c r="BD11" s="45">
        <f t="shared" si="24"/>
        <v>1.0110076557003931</v>
      </c>
      <c r="BF11" s="47">
        <f t="shared" si="25"/>
        <v>40821</v>
      </c>
      <c r="BG11" s="54" t="str">
        <f t="shared" si="11"/>
        <v>qui</v>
      </c>
      <c r="BH11" s="75">
        <v>16200</v>
      </c>
      <c r="BI11" s="75">
        <v>16406</v>
      </c>
      <c r="BJ11" s="75">
        <f>IF(BI11&gt;0,SUM(BI$7:BI11)-SUM(BH$7:BH11),0)</f>
        <v>-8946</v>
      </c>
      <c r="BK11" s="45">
        <f t="shared" si="26"/>
        <v>1.0127160493827161</v>
      </c>
      <c r="BL11" s="75">
        <v>7000</v>
      </c>
      <c r="BM11" s="75">
        <v>8633</v>
      </c>
      <c r="BN11" s="90">
        <f>IF(BM11&gt;0,SUM(BM$7:BM11)-SUM(BL$7:BL11),0)</f>
        <v>3109</v>
      </c>
      <c r="BO11" s="45">
        <f t="shared" si="27"/>
        <v>1.2332857142857143</v>
      </c>
      <c r="BP11" s="75">
        <v>10000</v>
      </c>
      <c r="BQ11" s="75">
        <v>4363</v>
      </c>
      <c r="BR11" s="90">
        <f>IF(BQ11&gt;0,SUM(BQ$7:BQ11)-SUM(BP$7:BP11),0)</f>
        <v>-8301</v>
      </c>
      <c r="BS11" s="45">
        <f t="shared" ref="BS11:BS38" si="32">IF(BQ11&gt;0,IF(BP11&gt;0,BQ11/BP11,0),0)</f>
        <v>0.43630000000000002</v>
      </c>
      <c r="BT11" s="35">
        <f t="shared" si="5"/>
        <v>33200</v>
      </c>
      <c r="BU11" s="35">
        <f t="shared" si="5"/>
        <v>29402</v>
      </c>
      <c r="BV11" s="91">
        <f>IF(BU11&gt;0,SUM(BU$7:BU11)-SUM(BT$7:BT11),0)</f>
        <v>-14138</v>
      </c>
      <c r="BW11" s="45">
        <f t="shared" si="28"/>
        <v>0.88560240963855419</v>
      </c>
      <c r="BY11" s="47">
        <f t="shared" si="29"/>
        <v>40821</v>
      </c>
      <c r="BZ11" s="54" t="str">
        <f t="shared" si="12"/>
        <v>qui</v>
      </c>
      <c r="CA11" s="75">
        <v>2550</v>
      </c>
      <c r="CB11" s="75">
        <v>7921</v>
      </c>
      <c r="CC11" s="90">
        <f>IF(CB11&gt;0,SUM(CB$7:CB11)-SUM(CA$7:CA11),0)</f>
        <v>455</v>
      </c>
      <c r="CD11" s="45">
        <f t="shared" si="30"/>
        <v>3.1062745098039217</v>
      </c>
    </row>
    <row r="12" spans="1:82" x14ac:dyDescent="0.25">
      <c r="A12" s="47">
        <f t="shared" si="13"/>
        <v>40822</v>
      </c>
      <c r="B12" s="54" t="s">
        <v>24</v>
      </c>
      <c r="C12" s="75">
        <v>12000</v>
      </c>
      <c r="D12" s="75">
        <v>6698</v>
      </c>
      <c r="E12" s="90">
        <f>IF(D12&gt;0,SUM(D$7:D12)-SUM(C$7:C12),0)</f>
        <v>-13899</v>
      </c>
      <c r="F12" s="45">
        <f t="shared" si="14"/>
        <v>0.5581666666666667</v>
      </c>
      <c r="G12" s="75">
        <v>12000</v>
      </c>
      <c r="H12" s="75">
        <v>6305</v>
      </c>
      <c r="I12" s="75">
        <f>IF(H12&gt;0,SUM(H$7:H12)-SUM(G$7:G12),0)</f>
        <v>-15153</v>
      </c>
      <c r="J12" s="45">
        <f t="shared" si="0"/>
        <v>0.52541666666666664</v>
      </c>
      <c r="K12" s="75">
        <v>12000</v>
      </c>
      <c r="L12" s="75">
        <v>5798</v>
      </c>
      <c r="M12" s="90">
        <f>IF(L12&gt;0,SUM(L$7:L12)-SUM(K$7:K12),0)</f>
        <v>-2278</v>
      </c>
      <c r="N12" s="45">
        <f t="shared" si="1"/>
        <v>0.48316666666666669</v>
      </c>
      <c r="O12" s="35">
        <f t="shared" si="2"/>
        <v>36000</v>
      </c>
      <c r="P12" s="35">
        <f t="shared" si="6"/>
        <v>18801</v>
      </c>
      <c r="Q12" s="91">
        <f>IF(P12&gt;0,SUM(P$7:P12)-SUM(O$7:O12),0)</f>
        <v>-31330</v>
      </c>
      <c r="R12" s="45">
        <f t="shared" si="15"/>
        <v>0.52224999999999999</v>
      </c>
      <c r="T12" s="47">
        <f t="shared" si="16"/>
        <v>40822</v>
      </c>
      <c r="U12" s="54" t="str">
        <f t="shared" si="7"/>
        <v>sex</v>
      </c>
      <c r="V12" s="75">
        <v>11000</v>
      </c>
      <c r="W12" s="75">
        <v>10107</v>
      </c>
      <c r="X12" s="92">
        <f>IF(W12&gt;0,SUM(W$7:W12)-SUM(V$7:V12),0)</f>
        <v>-1754</v>
      </c>
      <c r="Y12" s="60">
        <f t="shared" si="17"/>
        <v>0.91881818181818187</v>
      </c>
      <c r="Z12" s="75">
        <v>11000</v>
      </c>
      <c r="AA12" s="75">
        <v>7881</v>
      </c>
      <c r="AB12" s="92">
        <f>IF(AA12&gt;0,SUM(AA$7:AA12)-SUM(Z$7:Z12),0)</f>
        <v>-1616</v>
      </c>
      <c r="AC12" s="60">
        <f t="shared" si="18"/>
        <v>0.71645454545454546</v>
      </c>
      <c r="AD12" s="75">
        <v>11000</v>
      </c>
      <c r="AE12" s="75">
        <v>7790</v>
      </c>
      <c r="AF12" s="92">
        <f>IF(AE12&gt;0,SUM(AE$7:AE12)-SUM(AD$7:AD12),0)</f>
        <v>-830</v>
      </c>
      <c r="AG12" s="60">
        <f t="shared" si="19"/>
        <v>0.70818181818181813</v>
      </c>
      <c r="AH12" s="41">
        <f t="shared" si="3"/>
        <v>33000</v>
      </c>
      <c r="AI12" s="41">
        <f t="shared" si="8"/>
        <v>25778</v>
      </c>
      <c r="AJ12" s="93">
        <f>IF(AI12&gt;0,SUM(AI$7:AI12)-SUM(AH$7:AH12),0)</f>
        <v>-4200</v>
      </c>
      <c r="AK12" s="60">
        <f t="shared" si="20"/>
        <v>0.78115151515151515</v>
      </c>
      <c r="AM12" s="47">
        <f t="shared" si="21"/>
        <v>40822</v>
      </c>
      <c r="AN12" s="54" t="str">
        <f t="shared" si="9"/>
        <v>sex</v>
      </c>
      <c r="AO12" s="75">
        <v>8055</v>
      </c>
      <c r="AP12" s="75">
        <v>7460</v>
      </c>
      <c r="AQ12" s="75">
        <f>IF(AP12&gt;0,SUM(AP$7:AP12)-SUM(AO$7:AO12),0)</f>
        <v>-526</v>
      </c>
      <c r="AR12" s="45">
        <f t="shared" si="22"/>
        <v>0.92613283674736191</v>
      </c>
      <c r="AS12" s="75">
        <v>8055</v>
      </c>
      <c r="AT12" s="75">
        <v>6564</v>
      </c>
      <c r="AU12" s="90">
        <f>IF(AT12&gt;0,SUM(AT$7:AT12)-SUM(AS$7:AS12),0)</f>
        <v>-5364</v>
      </c>
      <c r="AV12" s="45">
        <f t="shared" si="23"/>
        <v>0.81489757914338923</v>
      </c>
      <c r="AW12" s="75">
        <v>8055</v>
      </c>
      <c r="AX12" s="75">
        <v>3084</v>
      </c>
      <c r="AY12" s="90">
        <f>IF(AX12&gt;0,SUM(AX$7:AX12)-SUM(AW$7:AW12),0)</f>
        <v>-11797</v>
      </c>
      <c r="AZ12" s="45">
        <f t="shared" si="31"/>
        <v>0.38286778398510241</v>
      </c>
      <c r="BA12" s="35">
        <f t="shared" si="4"/>
        <v>24165</v>
      </c>
      <c r="BB12" s="35">
        <f t="shared" si="10"/>
        <v>17108</v>
      </c>
      <c r="BC12" s="91">
        <f>IF(BB12&gt;0,SUM(BB$7:BB12)-SUM(BA$7:BA12),0)</f>
        <v>-17687</v>
      </c>
      <c r="BD12" s="45">
        <f t="shared" si="24"/>
        <v>0.7079660666252845</v>
      </c>
      <c r="BF12" s="47">
        <f t="shared" si="25"/>
        <v>40822</v>
      </c>
      <c r="BG12" s="54" t="str">
        <f t="shared" si="11"/>
        <v>sex</v>
      </c>
      <c r="BH12" s="75">
        <v>16200</v>
      </c>
      <c r="BI12" s="75">
        <v>11828</v>
      </c>
      <c r="BJ12" s="75">
        <f>IF(BI12&gt;0,SUM(BI$7:BI12)-SUM(BH$7:BH12),0)</f>
        <v>-13318</v>
      </c>
      <c r="BK12" s="45">
        <f t="shared" si="26"/>
        <v>0.73012345679012347</v>
      </c>
      <c r="BL12" s="75">
        <v>7000</v>
      </c>
      <c r="BM12" s="75">
        <v>5280</v>
      </c>
      <c r="BN12" s="90">
        <f>IF(BM12&gt;0,SUM(BM$7:BM12)-SUM(BL$7:BL12),0)</f>
        <v>1389</v>
      </c>
      <c r="BO12" s="45">
        <f t="shared" si="27"/>
        <v>0.75428571428571434</v>
      </c>
      <c r="BP12" s="75">
        <v>10000</v>
      </c>
      <c r="BQ12" s="75">
        <v>3244</v>
      </c>
      <c r="BR12" s="90">
        <f>IF(BQ12&gt;0,SUM(BQ$7:BQ12)-SUM(BP$7:BP12),0)</f>
        <v>-15057</v>
      </c>
      <c r="BS12" s="45">
        <f t="shared" si="32"/>
        <v>0.32440000000000002</v>
      </c>
      <c r="BT12" s="35">
        <f t="shared" si="5"/>
        <v>33200</v>
      </c>
      <c r="BU12" s="35">
        <f t="shared" si="5"/>
        <v>20352</v>
      </c>
      <c r="BV12" s="91">
        <f>IF(BU12&gt;0,SUM(BU$7:BU12)-SUM(BT$7:BT12),0)</f>
        <v>-26986</v>
      </c>
      <c r="BW12" s="45">
        <f t="shared" si="28"/>
        <v>0.61301204819277111</v>
      </c>
      <c r="BY12" s="47">
        <f t="shared" si="29"/>
        <v>40822</v>
      </c>
      <c r="BZ12" s="54" t="str">
        <f t="shared" si="12"/>
        <v>sex</v>
      </c>
      <c r="CA12" s="75">
        <v>2550</v>
      </c>
      <c r="CB12" s="75">
        <v>1</v>
      </c>
      <c r="CC12" s="90">
        <f>IF(CB12&gt;0,SUM(CB$7:CB12)-SUM(CA$7:CA12),0)</f>
        <v>-2094</v>
      </c>
      <c r="CD12" s="45">
        <f t="shared" si="30"/>
        <v>3.9215686274509802E-4</v>
      </c>
    </row>
    <row r="13" spans="1:82" x14ac:dyDescent="0.25">
      <c r="A13" s="47">
        <f t="shared" si="13"/>
        <v>40823</v>
      </c>
      <c r="B13" s="54" t="s">
        <v>25</v>
      </c>
      <c r="C13" s="75">
        <v>12000</v>
      </c>
      <c r="D13" s="75">
        <v>6306</v>
      </c>
      <c r="E13" s="90">
        <f>IF(D13&gt;0,SUM(D$7:D13)-SUM(C$7:C13),0)</f>
        <v>-19593</v>
      </c>
      <c r="F13" s="45">
        <f t="shared" si="14"/>
        <v>0.52549999999999997</v>
      </c>
      <c r="G13" s="75">
        <v>12000</v>
      </c>
      <c r="H13" s="75">
        <v>8176</v>
      </c>
      <c r="I13" s="75">
        <f>IF(H13&gt;0,SUM(H$7:H13)-SUM(G$7:G13),0)</f>
        <v>-18977</v>
      </c>
      <c r="J13" s="45">
        <f t="shared" si="0"/>
        <v>0.68133333333333335</v>
      </c>
      <c r="K13" s="75">
        <v>12000</v>
      </c>
      <c r="L13" s="75">
        <v>8696</v>
      </c>
      <c r="M13" s="90">
        <f>IF(L13&gt;0,SUM(L$7:L13)-SUM(K$7:K13),0)</f>
        <v>-5582</v>
      </c>
      <c r="N13" s="45">
        <f t="shared" si="1"/>
        <v>0.72466666666666668</v>
      </c>
      <c r="O13" s="35">
        <f t="shared" si="2"/>
        <v>36000</v>
      </c>
      <c r="P13" s="35">
        <f t="shared" si="6"/>
        <v>23178</v>
      </c>
      <c r="Q13" s="91">
        <f>IF(P13&gt;0,SUM(P$7:P13)-SUM(O$7:O13),0)</f>
        <v>-44152</v>
      </c>
      <c r="R13" s="45">
        <f t="shared" si="15"/>
        <v>0.64383333333333337</v>
      </c>
      <c r="T13" s="47">
        <f t="shared" si="16"/>
        <v>40823</v>
      </c>
      <c r="U13" s="54" t="str">
        <f t="shared" si="7"/>
        <v>sáb</v>
      </c>
      <c r="V13" s="75">
        <v>11000</v>
      </c>
      <c r="W13" s="75">
        <v>9735</v>
      </c>
      <c r="X13" s="92">
        <f>IF(W13&gt;0,SUM(W$7:W13)-SUM(V$7:V13),0)</f>
        <v>-3019</v>
      </c>
      <c r="Y13" s="60">
        <f t="shared" si="17"/>
        <v>0.88500000000000001</v>
      </c>
      <c r="Z13" s="75">
        <v>11000</v>
      </c>
      <c r="AA13" s="75">
        <v>11500</v>
      </c>
      <c r="AB13" s="92">
        <f>IF(AA13&gt;0,SUM(AA$7:AA13)-SUM(Z$7:Z13),0)</f>
        <v>-1116</v>
      </c>
      <c r="AC13" s="60">
        <f t="shared" si="18"/>
        <v>1.0454545454545454</v>
      </c>
      <c r="AD13" s="75">
        <v>11000</v>
      </c>
      <c r="AE13" s="75">
        <v>11250</v>
      </c>
      <c r="AF13" s="92">
        <f>IF(AE13&gt;0,SUM(AE$7:AE13)-SUM(AD$7:AD13),0)</f>
        <v>-580</v>
      </c>
      <c r="AG13" s="60">
        <f t="shared" si="19"/>
        <v>1.0227272727272727</v>
      </c>
      <c r="AH13" s="41">
        <f t="shared" si="3"/>
        <v>33000</v>
      </c>
      <c r="AI13" s="41">
        <f t="shared" si="8"/>
        <v>32485</v>
      </c>
      <c r="AJ13" s="93">
        <f>IF(AI13&gt;0,SUM(AI$7:AI13)-SUM(AH$7:AH13),0)</f>
        <v>-4715</v>
      </c>
      <c r="AK13" s="60">
        <f t="shared" si="20"/>
        <v>0.98439393939393938</v>
      </c>
      <c r="AM13" s="47">
        <f t="shared" si="21"/>
        <v>40823</v>
      </c>
      <c r="AN13" s="54" t="str">
        <f t="shared" si="9"/>
        <v>sáb</v>
      </c>
      <c r="AO13" s="75">
        <v>8055</v>
      </c>
      <c r="AP13" s="75">
        <v>11932</v>
      </c>
      <c r="AQ13" s="75">
        <f>IF(AP13&gt;0,SUM(AP$7:AP13)-SUM(AO$7:AO13),0)</f>
        <v>3351</v>
      </c>
      <c r="AR13" s="45">
        <f t="shared" si="22"/>
        <v>1.4813159528243327</v>
      </c>
      <c r="AS13" s="75">
        <v>8055</v>
      </c>
      <c r="AT13" s="75">
        <v>7888</v>
      </c>
      <c r="AU13" s="90">
        <f>IF(AT13&gt;0,SUM(AT$7:AT13)-SUM(AS$7:AS13),0)</f>
        <v>-5531</v>
      </c>
      <c r="AV13" s="45">
        <f t="shared" si="23"/>
        <v>0.97926753569211666</v>
      </c>
      <c r="AW13" s="75">
        <v>8055</v>
      </c>
      <c r="AX13" s="75">
        <v>5866</v>
      </c>
      <c r="AY13" s="90">
        <f>IF(AX13&gt;0,SUM(AX$7:AX13)-SUM(AW$7:AW13),0)</f>
        <v>-13986</v>
      </c>
      <c r="AZ13" s="45">
        <f t="shared" si="31"/>
        <v>0.7282433271260087</v>
      </c>
      <c r="BA13" s="35">
        <f t="shared" si="4"/>
        <v>24165</v>
      </c>
      <c r="BB13" s="35">
        <f t="shared" si="10"/>
        <v>25686</v>
      </c>
      <c r="BC13" s="91">
        <f>IF(BB13&gt;0,SUM(BB$7:BB13)-SUM(BA$7:BA13),0)</f>
        <v>-16166</v>
      </c>
      <c r="BD13" s="45">
        <f t="shared" si="24"/>
        <v>1.0629422718808195</v>
      </c>
      <c r="BF13" s="47">
        <f t="shared" si="25"/>
        <v>40823</v>
      </c>
      <c r="BG13" s="54" t="str">
        <f t="shared" si="11"/>
        <v>sáb</v>
      </c>
      <c r="BH13" s="75">
        <v>16200</v>
      </c>
      <c r="BI13" s="75">
        <v>21756</v>
      </c>
      <c r="BJ13" s="75">
        <f>IF(BI13&gt;0,SUM(BI$7:BI13)-SUM(BH$7:BH13),0)</f>
        <v>-7762</v>
      </c>
      <c r="BK13" s="45">
        <f t="shared" si="26"/>
        <v>1.3429629629629629</v>
      </c>
      <c r="BL13" s="75">
        <v>7000</v>
      </c>
      <c r="BM13" s="75">
        <v>4964</v>
      </c>
      <c r="BN13" s="90">
        <f>IF(BM13&gt;0,SUM(BM$7:BM13)-SUM(BL$7:BL13),0)</f>
        <v>-647</v>
      </c>
      <c r="BO13" s="45">
        <f t="shared" si="27"/>
        <v>0.70914285714285719</v>
      </c>
      <c r="BP13" s="75">
        <v>10000</v>
      </c>
      <c r="BQ13" s="75">
        <v>14182</v>
      </c>
      <c r="BR13" s="90">
        <f>IF(BQ13&gt;0,SUM(BQ$7:BQ13)-SUM(BP$7:BP13),0)</f>
        <v>-10875</v>
      </c>
      <c r="BS13" s="45">
        <f t="shared" si="32"/>
        <v>1.4181999999999999</v>
      </c>
      <c r="BT13" s="35">
        <f t="shared" si="5"/>
        <v>33200</v>
      </c>
      <c r="BU13" s="35">
        <f t="shared" si="5"/>
        <v>40902</v>
      </c>
      <c r="BV13" s="91">
        <f>IF(BU13&gt;0,SUM(BU$7:BU13)-SUM(BT$7:BT13),0)</f>
        <v>-19284</v>
      </c>
      <c r="BW13" s="45">
        <f t="shared" si="28"/>
        <v>1.231987951807229</v>
      </c>
      <c r="BY13" s="47">
        <f t="shared" si="29"/>
        <v>40823</v>
      </c>
      <c r="BZ13" s="54" t="str">
        <f t="shared" si="12"/>
        <v>sáb</v>
      </c>
      <c r="CA13" s="75">
        <v>2550</v>
      </c>
      <c r="CB13" s="75">
        <v>1</v>
      </c>
      <c r="CC13" s="90">
        <f>IF(CB13&gt;0,SUM(CB$7:CB13)-SUM(CA$7:CA13),0)</f>
        <v>-4643</v>
      </c>
      <c r="CD13" s="45">
        <f t="shared" si="30"/>
        <v>3.9215686274509802E-4</v>
      </c>
    </row>
    <row r="14" spans="1:82" x14ac:dyDescent="0.25">
      <c r="A14" s="47">
        <f t="shared" si="13"/>
        <v>40824</v>
      </c>
      <c r="B14" s="54" t="s">
        <v>26</v>
      </c>
      <c r="C14" s="75"/>
      <c r="D14" s="75"/>
      <c r="E14" s="90">
        <f>IF(D14&gt;0,SUM(D$7:D14)-SUM(C$7:C14),0)</f>
        <v>0</v>
      </c>
      <c r="F14" s="45">
        <f>IF(D14&gt;0,IF(C14&gt;0,D14/C14,0),0)</f>
        <v>0</v>
      </c>
      <c r="G14" s="75"/>
      <c r="H14" s="75"/>
      <c r="I14" s="75">
        <f>IF(H14&gt;0,SUM(H$7:H14)-SUM(G$7:G14),0)</f>
        <v>0</v>
      </c>
      <c r="J14" s="45">
        <f t="shared" si="0"/>
        <v>0</v>
      </c>
      <c r="K14" s="75"/>
      <c r="L14" s="75"/>
      <c r="M14" s="90">
        <f>IF(L14&gt;0,SUM(L$7:L14)-SUM(K$7:K14),0)</f>
        <v>0</v>
      </c>
      <c r="N14" s="45">
        <f t="shared" si="1"/>
        <v>0</v>
      </c>
      <c r="O14" s="35">
        <f t="shared" si="2"/>
        <v>0</v>
      </c>
      <c r="P14" s="35">
        <f t="shared" si="6"/>
        <v>0</v>
      </c>
      <c r="Q14" s="91">
        <f>IF(P14&gt;0,SUM(P$7:P14)-SUM(O$7:O14),0)</f>
        <v>0</v>
      </c>
      <c r="R14" s="45">
        <f t="shared" si="15"/>
        <v>0</v>
      </c>
      <c r="T14" s="47">
        <f t="shared" si="16"/>
        <v>40824</v>
      </c>
      <c r="U14" s="54" t="str">
        <f t="shared" si="7"/>
        <v>dom</v>
      </c>
      <c r="V14" s="75"/>
      <c r="W14" s="75"/>
      <c r="X14" s="92">
        <f>IF(W14&gt;0,SUM(W$7:W14)-SUM(V$7:V14),0)</f>
        <v>0</v>
      </c>
      <c r="Y14" s="60">
        <f t="shared" si="17"/>
        <v>0</v>
      </c>
      <c r="Z14" s="75"/>
      <c r="AA14" s="75"/>
      <c r="AB14" s="92">
        <f>IF(AA14&gt;0,SUM(AA$7:AA14)-SUM(Z$7:Z14),0)</f>
        <v>0</v>
      </c>
      <c r="AC14" s="60">
        <f t="shared" si="18"/>
        <v>0</v>
      </c>
      <c r="AD14" s="75"/>
      <c r="AE14" s="75"/>
      <c r="AF14" s="92">
        <f>IF(AE14&gt;0,SUM(AE$7:AE14)-SUM(AD$7:AD14),0)</f>
        <v>0</v>
      </c>
      <c r="AG14" s="60">
        <f t="shared" si="19"/>
        <v>0</v>
      </c>
      <c r="AH14" s="41">
        <f t="shared" si="3"/>
        <v>0</v>
      </c>
      <c r="AI14" s="41">
        <f t="shared" si="8"/>
        <v>0</v>
      </c>
      <c r="AJ14" s="93">
        <f>IF(AI14&gt;0,SUM(AI$7:AI14)-SUM(AH$7:AH14),0)</f>
        <v>0</v>
      </c>
      <c r="AK14" s="60">
        <f t="shared" si="20"/>
        <v>0</v>
      </c>
      <c r="AM14" s="47">
        <f t="shared" si="21"/>
        <v>40824</v>
      </c>
      <c r="AN14" s="54" t="str">
        <f t="shared" si="9"/>
        <v>dom</v>
      </c>
      <c r="AO14" s="75"/>
      <c r="AP14" s="75"/>
      <c r="AQ14" s="75">
        <f>IF(AP14&gt;0,SUM(AP$7:AP15)-SUM(AO$7:AO14),0)</f>
        <v>0</v>
      </c>
      <c r="AR14" s="45">
        <f t="shared" si="22"/>
        <v>0</v>
      </c>
      <c r="AS14" s="75"/>
      <c r="AT14" s="75"/>
      <c r="AU14" s="90">
        <f>IF(AT14&gt;0,SUM(AT$7:AT14)-SUM(AS$7:AS14),0)</f>
        <v>0</v>
      </c>
      <c r="AV14" s="45">
        <f t="shared" si="23"/>
        <v>0</v>
      </c>
      <c r="AW14" s="75"/>
      <c r="AX14" s="75"/>
      <c r="AY14" s="90">
        <f>IF(AX14&gt;0,SUM(AX$7:AX14)-SUM(AW$7:AW14),0)</f>
        <v>0</v>
      </c>
      <c r="AZ14" s="45">
        <f t="shared" si="31"/>
        <v>0</v>
      </c>
      <c r="BA14" s="35">
        <f t="shared" si="4"/>
        <v>0</v>
      </c>
      <c r="BB14" s="35">
        <f t="shared" si="10"/>
        <v>0</v>
      </c>
      <c r="BC14" s="91">
        <f>IF(BB14&gt;0,SUM(BB$7:BB14)-SUM(BA$7:BA14),0)</f>
        <v>0</v>
      </c>
      <c r="BD14" s="45">
        <f t="shared" si="24"/>
        <v>0</v>
      </c>
      <c r="BF14" s="47">
        <f t="shared" si="25"/>
        <v>40824</v>
      </c>
      <c r="BG14" s="54" t="str">
        <f t="shared" si="11"/>
        <v>dom</v>
      </c>
      <c r="BH14" s="75"/>
      <c r="BI14" s="75"/>
      <c r="BJ14" s="75">
        <f>IF(BI14&gt;0,SUM(BI$7:BI14)-SUM(BH$7:BH14),0)</f>
        <v>0</v>
      </c>
      <c r="BK14" s="45">
        <f t="shared" si="26"/>
        <v>0</v>
      </c>
      <c r="BL14" s="75"/>
      <c r="BM14" s="75"/>
      <c r="BN14" s="90">
        <f>IF(BM14&gt;0,SUM(BM$7:BM14)-SUM(BL$7:BL14),0)</f>
        <v>0</v>
      </c>
      <c r="BO14" s="45">
        <f t="shared" si="27"/>
        <v>0</v>
      </c>
      <c r="BP14" s="75"/>
      <c r="BQ14" s="75"/>
      <c r="BR14" s="90">
        <f>IF(BQ14&gt;0,SUM(BQ$7:BQ14)-SUM(BP$7:BP14),0)</f>
        <v>0</v>
      </c>
      <c r="BS14" s="45">
        <f t="shared" si="32"/>
        <v>0</v>
      </c>
      <c r="BT14" s="35">
        <f t="shared" si="5"/>
        <v>0</v>
      </c>
      <c r="BU14" s="35">
        <f t="shared" si="5"/>
        <v>0</v>
      </c>
      <c r="BV14" s="91">
        <f>IF(BU14&gt;0,SUM(BU$7:BU14)-SUM(BT$7:BT14),0)</f>
        <v>0</v>
      </c>
      <c r="BW14" s="45">
        <f t="shared" si="28"/>
        <v>0</v>
      </c>
      <c r="BY14" s="47">
        <f t="shared" si="29"/>
        <v>40824</v>
      </c>
      <c r="BZ14" s="54" t="str">
        <f t="shared" si="12"/>
        <v>dom</v>
      </c>
      <c r="CA14" s="75"/>
      <c r="CB14" s="75"/>
      <c r="CC14" s="90">
        <f>IF(CB14&gt;0,SUM(CB$7:CB14)-SUM(CA$7:CA14),0)</f>
        <v>0</v>
      </c>
      <c r="CD14" s="45">
        <f t="shared" si="30"/>
        <v>0</v>
      </c>
    </row>
    <row r="15" spans="1:82" x14ac:dyDescent="0.25">
      <c r="A15" s="47">
        <f t="shared" si="13"/>
        <v>40825</v>
      </c>
      <c r="B15" s="54" t="s">
        <v>27</v>
      </c>
      <c r="C15" s="75">
        <v>12000</v>
      </c>
      <c r="D15" s="75">
        <v>7540</v>
      </c>
      <c r="E15" s="90">
        <f>IF(D15&gt;0,SUM(D$7:D15)-SUM(C$7:C15),0)</f>
        <v>-24053</v>
      </c>
      <c r="F15" s="45">
        <f t="shared" si="14"/>
        <v>0.6283333333333333</v>
      </c>
      <c r="G15" s="75">
        <v>12000</v>
      </c>
      <c r="H15" s="75">
        <v>9240</v>
      </c>
      <c r="I15" s="75">
        <f>IF(H15&gt;0,SUM(H$7:H15)-SUM(G$7:G15),0)</f>
        <v>-21737</v>
      </c>
      <c r="J15" s="45">
        <f t="shared" ref="J15:J36" si="33">IF(H15&gt;0,IF(K15&gt;0,H15/K15,0),0)</f>
        <v>0.77</v>
      </c>
      <c r="K15" s="75">
        <v>12000</v>
      </c>
      <c r="L15" s="75">
        <v>14482</v>
      </c>
      <c r="M15" s="90">
        <f>IF(L15&gt;0,SUM(L$7:L15)-SUM(K$7:K15),0)</f>
        <v>-3100</v>
      </c>
      <c r="N15" s="45">
        <f t="shared" si="1"/>
        <v>1.2068333333333334</v>
      </c>
      <c r="O15" s="35">
        <f t="shared" ref="O15:O36" si="34">IF(SUM(C15,G15,K15)&gt;0,SUM(C15,G15,K15),0)</f>
        <v>36000</v>
      </c>
      <c r="P15" s="35">
        <f t="shared" si="6"/>
        <v>31262</v>
      </c>
      <c r="Q15" s="91">
        <f>IF(P15&gt;0,SUM(P$7:P15)-SUM(O$7:O15),0)</f>
        <v>-48890</v>
      </c>
      <c r="R15" s="45">
        <f t="shared" si="15"/>
        <v>0.86838888888888888</v>
      </c>
      <c r="T15" s="47">
        <f t="shared" si="16"/>
        <v>40825</v>
      </c>
      <c r="U15" s="54" t="str">
        <f t="shared" si="7"/>
        <v>seg</v>
      </c>
      <c r="V15" s="75">
        <v>11000</v>
      </c>
      <c r="W15" s="75">
        <v>6352</v>
      </c>
      <c r="X15" s="92">
        <f>IF(W15&gt;0,SUM(W$7:W15)-SUM(V$7:V15),0)</f>
        <v>-7667</v>
      </c>
      <c r="Y15" s="60">
        <f t="shared" si="17"/>
        <v>0.57745454545454544</v>
      </c>
      <c r="Z15" s="75">
        <v>11000</v>
      </c>
      <c r="AA15" s="75">
        <v>9632</v>
      </c>
      <c r="AB15" s="92">
        <f>IF(AA15&gt;0,SUM(AA$7:AA15)-SUM(Z$7:Z15),0)</f>
        <v>-2484</v>
      </c>
      <c r="AC15" s="60">
        <f t="shared" si="18"/>
        <v>0.87563636363636366</v>
      </c>
      <c r="AD15" s="75">
        <v>11000</v>
      </c>
      <c r="AE15" s="75">
        <v>8777</v>
      </c>
      <c r="AF15" s="92">
        <f>IF(AE15&gt;0,SUM(AE$7:AE15)-SUM(AD$7:AD15),0)</f>
        <v>-2803</v>
      </c>
      <c r="AG15" s="60">
        <f t="shared" si="19"/>
        <v>0.7979090909090909</v>
      </c>
      <c r="AH15" s="41">
        <f t="shared" si="3"/>
        <v>33000</v>
      </c>
      <c r="AI15" s="41">
        <f t="shared" si="8"/>
        <v>24761</v>
      </c>
      <c r="AJ15" s="93">
        <f>IF(AI15&gt;0,SUM(AI$7:AI15)-SUM(AH$7:AH15),0)</f>
        <v>-12954</v>
      </c>
      <c r="AK15" s="60">
        <f t="shared" si="20"/>
        <v>0.7503333333333333</v>
      </c>
      <c r="AM15" s="47">
        <f t="shared" si="21"/>
        <v>40825</v>
      </c>
      <c r="AN15" s="54" t="str">
        <f t="shared" si="9"/>
        <v>seg</v>
      </c>
      <c r="AO15" s="75">
        <v>8055</v>
      </c>
      <c r="AP15" s="75">
        <v>6252</v>
      </c>
      <c r="AQ15" s="75">
        <f>IF(AP15&gt;0,SUM(AP$7:AP15)-SUM(AO$7:AO15),0)</f>
        <v>1548</v>
      </c>
      <c r="AR15" s="45">
        <f t="shared" si="22"/>
        <v>0.77616387337057724</v>
      </c>
      <c r="AS15" s="75">
        <v>8055</v>
      </c>
      <c r="AT15" s="75">
        <v>9234</v>
      </c>
      <c r="AU15" s="90">
        <f>IF(AT15&gt;0,SUM(AT$7:AT15)-SUM(AS$7:AS15),0)</f>
        <v>-4352</v>
      </c>
      <c r="AV15" s="45">
        <f t="shared" si="23"/>
        <v>1.1463687150837989</v>
      </c>
      <c r="AW15" s="75">
        <v>8055</v>
      </c>
      <c r="AX15" s="75">
        <v>6076</v>
      </c>
      <c r="AY15" s="90">
        <f>IF(AX15&gt;0,SUM(AX$7:AX15)-SUM(AW$7:AW15),0)</f>
        <v>-15965</v>
      </c>
      <c r="AZ15" s="45">
        <f t="shared" si="31"/>
        <v>0.75431409062693977</v>
      </c>
      <c r="BA15" s="35">
        <f t="shared" si="4"/>
        <v>24165</v>
      </c>
      <c r="BB15" s="35">
        <f t="shared" si="10"/>
        <v>21562</v>
      </c>
      <c r="BC15" s="91">
        <f>IF(BB15&gt;0,SUM(BB$7:BB15)-SUM(BA$7:BA15),0)</f>
        <v>-18769</v>
      </c>
      <c r="BD15" s="45">
        <f t="shared" si="24"/>
        <v>0.89228222636043864</v>
      </c>
      <c r="BF15" s="47">
        <f t="shared" si="25"/>
        <v>40825</v>
      </c>
      <c r="BG15" s="54" t="str">
        <f t="shared" si="11"/>
        <v>seg</v>
      </c>
      <c r="BH15" s="75">
        <v>16200</v>
      </c>
      <c r="BI15" s="75">
        <v>16595</v>
      </c>
      <c r="BJ15" s="75">
        <f>IF(BI15&gt;0,SUM(BI$7:BI15)-SUM(BH$7:BH15),0)</f>
        <v>-7367</v>
      </c>
      <c r="BK15" s="45">
        <f t="shared" si="26"/>
        <v>1.0243827160493828</v>
      </c>
      <c r="BL15" s="75">
        <v>7000</v>
      </c>
      <c r="BM15" s="75">
        <v>4952</v>
      </c>
      <c r="BN15" s="90">
        <f>IF(BM15&gt;0,SUM(BM$7:BM15)-SUM(BL$7:BL15),0)</f>
        <v>-2695</v>
      </c>
      <c r="BO15" s="45">
        <f t="shared" si="27"/>
        <v>0.70742857142857141</v>
      </c>
      <c r="BP15" s="75">
        <v>10000</v>
      </c>
      <c r="BQ15" s="75">
        <v>11620</v>
      </c>
      <c r="BR15" s="90">
        <f>IF(BQ15&gt;0,SUM(BQ$7:BQ15)-SUM(BP$7:BP15),0)</f>
        <v>-9255</v>
      </c>
      <c r="BS15" s="45">
        <f t="shared" si="32"/>
        <v>1.1619999999999999</v>
      </c>
      <c r="BT15" s="35">
        <f t="shared" si="5"/>
        <v>33200</v>
      </c>
      <c r="BU15" s="35">
        <f t="shared" si="5"/>
        <v>33167</v>
      </c>
      <c r="BV15" s="91">
        <f>IF(BU15&gt;0,SUM(BU$7:BU15)-SUM(BT$7:BT15),0)</f>
        <v>-19317</v>
      </c>
      <c r="BW15" s="45">
        <f t="shared" si="28"/>
        <v>0.9990060240963855</v>
      </c>
      <c r="BY15" s="47">
        <f t="shared" si="29"/>
        <v>40825</v>
      </c>
      <c r="BZ15" s="54" t="str">
        <f t="shared" si="12"/>
        <v>seg</v>
      </c>
      <c r="CA15" s="75">
        <v>2550</v>
      </c>
      <c r="CB15" s="75">
        <v>1</v>
      </c>
      <c r="CC15" s="90">
        <f>IF(CB15&gt;0,SUM(CB$7:CB15)-SUM(CA$7:CA15),0)</f>
        <v>-7192</v>
      </c>
      <c r="CD15" s="45">
        <f t="shared" si="30"/>
        <v>3.9215686274509802E-4</v>
      </c>
    </row>
    <row r="16" spans="1:82" x14ac:dyDescent="0.25">
      <c r="A16" s="47">
        <f t="shared" si="13"/>
        <v>40826</v>
      </c>
      <c r="B16" s="54" t="s">
        <v>28</v>
      </c>
      <c r="C16" s="75">
        <v>12000</v>
      </c>
      <c r="D16" s="75">
        <v>9262</v>
      </c>
      <c r="E16" s="90">
        <f>IF(D16&gt;0,SUM(D$7:D16)-SUM(C$7:C16),0)</f>
        <v>-26791</v>
      </c>
      <c r="F16" s="45">
        <f>IF(D16&gt;0,IF(C16&gt;0,D16/C16,0),0)</f>
        <v>0.77183333333333337</v>
      </c>
      <c r="G16" s="75">
        <v>12000</v>
      </c>
      <c r="H16" s="75">
        <v>1940</v>
      </c>
      <c r="I16" s="75">
        <f>IF(H16&gt;0,SUM(H$7:H16)-SUM(G$7:G16),0)</f>
        <v>-31797</v>
      </c>
      <c r="J16" s="45">
        <f t="shared" si="33"/>
        <v>0.16166666666666665</v>
      </c>
      <c r="K16" s="75">
        <v>12000</v>
      </c>
      <c r="L16" s="75">
        <v>10993</v>
      </c>
      <c r="M16" s="90">
        <f>IF(L16&gt;0,SUM(L$7:L16)-SUM(K$7:K16),0)</f>
        <v>-4107</v>
      </c>
      <c r="N16" s="45">
        <f t="shared" si="1"/>
        <v>0.91608333333333336</v>
      </c>
      <c r="O16" s="35">
        <f t="shared" si="34"/>
        <v>36000</v>
      </c>
      <c r="P16" s="35">
        <f t="shared" si="6"/>
        <v>22195</v>
      </c>
      <c r="Q16" s="91">
        <f>IF(P16&gt;0,SUM(P$7:P16)-SUM(O$7:O16),0)</f>
        <v>-62695</v>
      </c>
      <c r="R16" s="45">
        <f t="shared" si="15"/>
        <v>0.61652777777777779</v>
      </c>
      <c r="T16" s="47">
        <f t="shared" si="16"/>
        <v>40826</v>
      </c>
      <c r="U16" s="54" t="str">
        <f t="shared" si="7"/>
        <v>ter</v>
      </c>
      <c r="V16" s="75">
        <v>11000</v>
      </c>
      <c r="W16" s="75">
        <v>9292</v>
      </c>
      <c r="X16" s="92">
        <f>IF(W16&gt;0,SUM(W$7:W16)-SUM(V$7:V16),0)</f>
        <v>-9375</v>
      </c>
      <c r="Y16" s="60">
        <f>IF(W16&gt;0,IF(V16&gt;0,W16/V16,0),0)</f>
        <v>0.84472727272727277</v>
      </c>
      <c r="Z16" s="75">
        <v>11000</v>
      </c>
      <c r="AA16" s="75">
        <v>6134</v>
      </c>
      <c r="AB16" s="92">
        <f>IF(AA16&gt;0,SUM(AA$7:AA16)-SUM(Z$7:Z16),0)</f>
        <v>-7350</v>
      </c>
      <c r="AC16" s="60">
        <f>IF(AA16&gt;0,IF(Z16&gt;0,AA16/Z16,0),0)</f>
        <v>0.5576363636363636</v>
      </c>
      <c r="AD16" s="75">
        <v>11000</v>
      </c>
      <c r="AE16" s="75">
        <v>8685</v>
      </c>
      <c r="AF16" s="92">
        <f>IF(AE16&gt;0,SUM(AE$7:AE16)-SUM(AD$7:AD16),0)</f>
        <v>-5118</v>
      </c>
      <c r="AG16" s="60">
        <f>IF(AE16&gt;0,IF(AD16&gt;0,AE16/AD16,0),0)</f>
        <v>0.78954545454545455</v>
      </c>
      <c r="AH16" s="41">
        <f t="shared" si="3"/>
        <v>33000</v>
      </c>
      <c r="AI16" s="41">
        <f t="shared" si="8"/>
        <v>24111</v>
      </c>
      <c r="AJ16" s="93">
        <f>IF(AI16&gt;0,SUM(AI$7:AI16)-SUM(AH$7:AH16),0)</f>
        <v>-21843</v>
      </c>
      <c r="AK16" s="60">
        <f t="shared" si="20"/>
        <v>0.73063636363636364</v>
      </c>
      <c r="AM16" s="47">
        <f t="shared" si="21"/>
        <v>40826</v>
      </c>
      <c r="AN16" s="54" t="str">
        <f t="shared" si="9"/>
        <v>ter</v>
      </c>
      <c r="AO16" s="75">
        <v>8055</v>
      </c>
      <c r="AP16" s="75">
        <v>10989</v>
      </c>
      <c r="AQ16" s="75">
        <f>IF(AP16&gt;0,SUM(AP$7:AP16)-SUM(AO$7:AO16),0)</f>
        <v>4482</v>
      </c>
      <c r="AR16" s="45">
        <f t="shared" si="22"/>
        <v>1.3642458100558659</v>
      </c>
      <c r="AS16" s="75">
        <v>8055</v>
      </c>
      <c r="AT16" s="75">
        <v>7464</v>
      </c>
      <c r="AU16" s="90">
        <f>IF(AT16&gt;0,SUM(AT$7:AT16)-SUM(AS$7:AS16),0)</f>
        <v>-4943</v>
      </c>
      <c r="AV16" s="45">
        <f t="shared" si="23"/>
        <v>0.92662942271880822</v>
      </c>
      <c r="AW16" s="75">
        <v>8055</v>
      </c>
      <c r="AX16" s="75">
        <v>5485</v>
      </c>
      <c r="AY16" s="90">
        <f>IF(AX16&gt;0,SUM(AX$7:AX16)-SUM(AW$7:AW16),0)</f>
        <v>-18535</v>
      </c>
      <c r="AZ16" s="45">
        <f t="shared" si="31"/>
        <v>0.68094351334574799</v>
      </c>
      <c r="BA16" s="35">
        <f t="shared" si="4"/>
        <v>24165</v>
      </c>
      <c r="BB16" s="35">
        <f t="shared" si="10"/>
        <v>23938</v>
      </c>
      <c r="BC16" s="91">
        <f>IF(BB16&gt;0,SUM(BB$7:BB16)-SUM(BA$7:BA16),0)</f>
        <v>-18996</v>
      </c>
      <c r="BD16" s="45">
        <f t="shared" si="24"/>
        <v>0.99060624870680736</v>
      </c>
      <c r="BF16" s="47">
        <f t="shared" si="25"/>
        <v>40826</v>
      </c>
      <c r="BG16" s="54" t="str">
        <f t="shared" si="11"/>
        <v>ter</v>
      </c>
      <c r="BH16" s="75">
        <v>16200</v>
      </c>
      <c r="BI16" s="75">
        <v>18685</v>
      </c>
      <c r="BJ16" s="75">
        <f>IF(BI16&gt;0,SUM(BI$7:BI16)-SUM(BH$7:BH16),0)</f>
        <v>-4882</v>
      </c>
      <c r="BK16" s="45">
        <f t="shared" si="26"/>
        <v>1.153395061728395</v>
      </c>
      <c r="BL16" s="75">
        <v>7000</v>
      </c>
      <c r="BM16" s="75">
        <v>5256</v>
      </c>
      <c r="BN16" s="90">
        <f>IF(BM16&gt;0,SUM(BM$7:BM16)-SUM(BL$7:BL16),0)</f>
        <v>-4439</v>
      </c>
      <c r="BO16" s="45">
        <f t="shared" si="27"/>
        <v>0.75085714285714289</v>
      </c>
      <c r="BP16" s="75">
        <v>10000</v>
      </c>
      <c r="BQ16" s="75">
        <v>9780</v>
      </c>
      <c r="BR16" s="90">
        <f>IF(BQ16&gt;0,SUM(BQ$7:BQ16)-SUM(BP$7:BP16),0)</f>
        <v>-9475</v>
      </c>
      <c r="BS16" s="45">
        <f t="shared" si="32"/>
        <v>0.97799999999999998</v>
      </c>
      <c r="BT16" s="35">
        <f t="shared" si="5"/>
        <v>33200</v>
      </c>
      <c r="BU16" s="35">
        <f t="shared" si="5"/>
        <v>33721</v>
      </c>
      <c r="BV16" s="91">
        <f>IF(BU16&gt;0,SUM(BU$7:BU16)-SUM(BT$7:BT16),0)</f>
        <v>-18796</v>
      </c>
      <c r="BW16" s="45">
        <f t="shared" si="28"/>
        <v>1.0156927710843373</v>
      </c>
      <c r="BY16" s="47">
        <f t="shared" si="29"/>
        <v>40826</v>
      </c>
      <c r="BZ16" s="54" t="str">
        <f t="shared" si="12"/>
        <v>ter</v>
      </c>
      <c r="CA16" s="75">
        <v>2550</v>
      </c>
      <c r="CB16" s="75">
        <v>1</v>
      </c>
      <c r="CC16" s="90">
        <f>IF(CB16&gt;0,SUM(CB$7:CB16)-SUM(CA$7:CA16),0)</f>
        <v>-9741</v>
      </c>
      <c r="CD16" s="45">
        <f t="shared" si="30"/>
        <v>3.9215686274509802E-4</v>
      </c>
    </row>
    <row r="17" spans="1:82" x14ac:dyDescent="0.25">
      <c r="A17" s="47">
        <f t="shared" si="13"/>
        <v>40827</v>
      </c>
      <c r="B17" s="54" t="s">
        <v>22</v>
      </c>
      <c r="C17" s="75">
        <v>12000</v>
      </c>
      <c r="D17" s="75">
        <v>8405</v>
      </c>
      <c r="E17" s="90">
        <f>IF(D17&gt;0,SUM(D$7:D17)-SUM(C$7:C17),0)</f>
        <v>-30386</v>
      </c>
      <c r="F17" s="45">
        <f>IF(D17&gt;0,IF(C17&gt;0,D17/C17,0),0)</f>
        <v>0.70041666666666669</v>
      </c>
      <c r="G17" s="75">
        <v>12000</v>
      </c>
      <c r="H17" s="75">
        <v>5842</v>
      </c>
      <c r="I17" s="75">
        <f>IF(H17&gt;0,SUM(H$7:H17)-SUM(G$7:G17),0)</f>
        <v>-37955</v>
      </c>
      <c r="J17" s="45">
        <f t="shared" si="33"/>
        <v>0.48683333333333334</v>
      </c>
      <c r="K17" s="75">
        <v>12000</v>
      </c>
      <c r="L17" s="75">
        <v>5220</v>
      </c>
      <c r="M17" s="90">
        <f>IF(L17&gt;0,SUM(L$7:L17)-SUM(K$7:K17),0)</f>
        <v>-10887</v>
      </c>
      <c r="N17" s="45">
        <f t="shared" si="1"/>
        <v>0.435</v>
      </c>
      <c r="O17" s="35">
        <f t="shared" si="34"/>
        <v>36000</v>
      </c>
      <c r="P17" s="35">
        <f t="shared" si="6"/>
        <v>19467</v>
      </c>
      <c r="Q17" s="91">
        <f>IF(P17&gt;0,SUM(P$7:P17)-SUM(O$7:O17),0)</f>
        <v>-79228</v>
      </c>
      <c r="R17" s="45">
        <f t="shared" si="15"/>
        <v>0.54074999999999995</v>
      </c>
      <c r="T17" s="47">
        <f t="shared" si="16"/>
        <v>40827</v>
      </c>
      <c r="U17" s="54" t="str">
        <f t="shared" si="7"/>
        <v>qua</v>
      </c>
      <c r="V17" s="75">
        <v>11000</v>
      </c>
      <c r="W17" s="75">
        <v>7270</v>
      </c>
      <c r="X17" s="92">
        <f>IF(W17&gt;0,SUM(W$7:W17)-SUM(V$7:V17),0)</f>
        <v>-13105</v>
      </c>
      <c r="Y17" s="60">
        <f>IF(W17&gt;0,IF(V17&gt;0,W17/V17,0),0)</f>
        <v>0.66090909090909089</v>
      </c>
      <c r="Z17" s="75">
        <v>11000</v>
      </c>
      <c r="AA17" s="75">
        <v>12899</v>
      </c>
      <c r="AB17" s="92">
        <f>IF(AA17&gt;0,SUM(AA$7:AA17)-SUM(Z$7:Z17),0)</f>
        <v>-5451</v>
      </c>
      <c r="AC17" s="60">
        <f>IF(AA17&gt;0,IF(Z17&gt;0,AA17/Z17,0),0)</f>
        <v>1.1726363636363637</v>
      </c>
      <c r="AD17" s="75">
        <v>11000</v>
      </c>
      <c r="AE17" s="75">
        <v>8754</v>
      </c>
      <c r="AF17" s="92">
        <f>IF(AE17&gt;0,SUM(AE$7:AE17)-SUM(AD$7:AD17),0)</f>
        <v>-7364</v>
      </c>
      <c r="AG17" s="60">
        <f>IF(AE17&gt;0,IF(AD17&gt;0,AE17/AD17,0),0)</f>
        <v>0.79581818181818187</v>
      </c>
      <c r="AH17" s="41">
        <f t="shared" si="3"/>
        <v>33000</v>
      </c>
      <c r="AI17" s="41">
        <f t="shared" si="8"/>
        <v>28923</v>
      </c>
      <c r="AJ17" s="93">
        <f>IF(AI17&gt;0,SUM(AI$7:AI17)-SUM(AH$7:AH17),0)</f>
        <v>-25920</v>
      </c>
      <c r="AK17" s="60">
        <f t="shared" si="20"/>
        <v>0.87645454545454549</v>
      </c>
      <c r="AM17" s="47">
        <f t="shared" si="21"/>
        <v>40827</v>
      </c>
      <c r="AN17" s="54" t="str">
        <f t="shared" si="9"/>
        <v>qua</v>
      </c>
      <c r="AO17" s="75">
        <v>8055</v>
      </c>
      <c r="AP17" s="75">
        <v>8506</v>
      </c>
      <c r="AQ17" s="75">
        <f>IF(AP17&gt;0,SUM(AP$7:AP17)-SUM(AO$7:AO17),0)</f>
        <v>4933</v>
      </c>
      <c r="AR17" s="45">
        <f t="shared" si="22"/>
        <v>1.0559900682805712</v>
      </c>
      <c r="AS17" s="75">
        <v>8055</v>
      </c>
      <c r="AT17" s="75">
        <v>7333</v>
      </c>
      <c r="AU17" s="90">
        <f>IF(AT17&gt;0,SUM(AT$7:AT17)-SUM(AS$7:AS17),0)</f>
        <v>-5665</v>
      </c>
      <c r="AV17" s="45">
        <f t="shared" si="23"/>
        <v>0.91036623215394163</v>
      </c>
      <c r="AW17" s="75">
        <v>8055</v>
      </c>
      <c r="AX17" s="75">
        <v>6226</v>
      </c>
      <c r="AY17" s="90">
        <f>IF(AX17&gt;0,SUM(AX$7:AX17)-SUM(AW$7:AW17),0)</f>
        <v>-20364</v>
      </c>
      <c r="AZ17" s="45">
        <f t="shared" si="31"/>
        <v>0.77293606455617625</v>
      </c>
      <c r="BA17" s="35">
        <f t="shared" si="4"/>
        <v>24165</v>
      </c>
      <c r="BB17" s="35">
        <f t="shared" si="10"/>
        <v>22065</v>
      </c>
      <c r="BC17" s="91">
        <f>IF(BB17&gt;0,SUM(BB$7:BB17)-SUM(BA$7:BA17),0)</f>
        <v>-21096</v>
      </c>
      <c r="BD17" s="45">
        <f t="shared" si="24"/>
        <v>0.91309745499689632</v>
      </c>
      <c r="BF17" s="47">
        <f t="shared" si="25"/>
        <v>40827</v>
      </c>
      <c r="BG17" s="54" t="str">
        <f t="shared" si="11"/>
        <v>qua</v>
      </c>
      <c r="BH17" s="75">
        <v>16200</v>
      </c>
      <c r="BI17" s="75">
        <v>16207</v>
      </c>
      <c r="BJ17" s="75">
        <f>IF(BI17&gt;0,SUM(BI$7:BI17)-SUM(BH$7:BH17),0)</f>
        <v>-4875</v>
      </c>
      <c r="BK17" s="45">
        <f t="shared" si="26"/>
        <v>1.000432098765432</v>
      </c>
      <c r="BL17" s="75">
        <v>7000</v>
      </c>
      <c r="BM17" s="75">
        <v>5862</v>
      </c>
      <c r="BN17" s="90">
        <f>IF(BM17&gt;0,SUM(BM$7:BM17)-SUM(BL$7:BL17),0)</f>
        <v>-5577</v>
      </c>
      <c r="BO17" s="45">
        <f t="shared" si="27"/>
        <v>0.83742857142857141</v>
      </c>
      <c r="BP17" s="75">
        <v>10000</v>
      </c>
      <c r="BQ17" s="75">
        <v>4514</v>
      </c>
      <c r="BR17" s="90">
        <f>IF(BQ17&gt;0,SUM(BQ$7:BQ17)-SUM(BP$7:BP17),0)</f>
        <v>-14961</v>
      </c>
      <c r="BS17" s="45">
        <f t="shared" si="32"/>
        <v>0.45140000000000002</v>
      </c>
      <c r="BT17" s="35">
        <f t="shared" si="5"/>
        <v>33200</v>
      </c>
      <c r="BU17" s="35">
        <f t="shared" si="5"/>
        <v>26583</v>
      </c>
      <c r="BV17" s="91">
        <f>IF(BU17&gt;0,SUM(BU$7:BU17)-SUM(BT$7:BT17),0)</f>
        <v>-25413</v>
      </c>
      <c r="BW17" s="45">
        <f t="shared" si="28"/>
        <v>0.80069277108433734</v>
      </c>
      <c r="BY17" s="47">
        <f t="shared" si="29"/>
        <v>40827</v>
      </c>
      <c r="BZ17" s="54" t="str">
        <f t="shared" si="12"/>
        <v>qua</v>
      </c>
      <c r="CA17" s="75">
        <v>2550</v>
      </c>
      <c r="CB17" s="75">
        <v>300</v>
      </c>
      <c r="CC17" s="90">
        <f>IF(CB17&gt;0,SUM(CB$7:CB17)-SUM(CA$7:CA17),0)</f>
        <v>-11991</v>
      </c>
      <c r="CD17" s="45">
        <f t="shared" si="30"/>
        <v>0.11764705882352941</v>
      </c>
    </row>
    <row r="18" spans="1:82" x14ac:dyDescent="0.25">
      <c r="A18" s="47">
        <f t="shared" si="13"/>
        <v>40828</v>
      </c>
      <c r="B18" s="54" t="s">
        <v>23</v>
      </c>
      <c r="C18" s="75">
        <v>12000</v>
      </c>
      <c r="D18" s="75">
        <v>4850</v>
      </c>
      <c r="E18" s="90">
        <f>IF(D18&gt;0,SUM(D$7:D18)-SUM(C$7:C18),0)</f>
        <v>-37536</v>
      </c>
      <c r="F18" s="45">
        <f t="shared" si="14"/>
        <v>0.40416666666666667</v>
      </c>
      <c r="G18" s="75">
        <v>12000</v>
      </c>
      <c r="H18" s="75">
        <v>10857</v>
      </c>
      <c r="I18" s="75">
        <f>IF(H18&gt;0,SUM(H$7:H18)-SUM(G$7:G18),0)</f>
        <v>-39098</v>
      </c>
      <c r="J18" s="45">
        <f t="shared" si="33"/>
        <v>0.90475000000000005</v>
      </c>
      <c r="K18" s="75">
        <v>12000</v>
      </c>
      <c r="L18" s="75">
        <v>12820</v>
      </c>
      <c r="M18" s="90">
        <f>IF(L18&gt;0,SUM(L$7:L18)-SUM(K$7:K18),0)</f>
        <v>-10067</v>
      </c>
      <c r="N18" s="45">
        <f t="shared" ref="N18:N38" si="35">IF(L18&gt;0,IF(K18&gt;0,L18/K18,0),0)</f>
        <v>1.0683333333333334</v>
      </c>
      <c r="O18" s="35">
        <f t="shared" si="34"/>
        <v>36000</v>
      </c>
      <c r="P18" s="35">
        <f t="shared" si="6"/>
        <v>28527</v>
      </c>
      <c r="Q18" s="91">
        <f>IF(P18&gt;0,SUM(P$7:P18)-SUM(O$7:O18),0)</f>
        <v>-86701</v>
      </c>
      <c r="R18" s="45">
        <f t="shared" si="15"/>
        <v>0.79241666666666666</v>
      </c>
      <c r="T18" s="47">
        <f t="shared" si="16"/>
        <v>40828</v>
      </c>
      <c r="U18" s="54" t="str">
        <f t="shared" si="7"/>
        <v>qui</v>
      </c>
      <c r="V18" s="75">
        <v>11000</v>
      </c>
      <c r="W18" s="75">
        <v>10483</v>
      </c>
      <c r="X18" s="92">
        <f>IF(W18&gt;0,SUM(W$7:W18)-SUM(V$7:V18),0)</f>
        <v>-13622</v>
      </c>
      <c r="Y18" s="60">
        <f t="shared" si="17"/>
        <v>0.95299999999999996</v>
      </c>
      <c r="Z18" s="75">
        <v>11000</v>
      </c>
      <c r="AA18" s="75">
        <v>11299</v>
      </c>
      <c r="AB18" s="92">
        <f>IF(AA18&gt;0,SUM(AA$7:AA18)-SUM(Z$7:Z18),0)</f>
        <v>-5152</v>
      </c>
      <c r="AC18" s="60">
        <f t="shared" si="18"/>
        <v>1.0271818181818182</v>
      </c>
      <c r="AD18" s="75">
        <v>11000</v>
      </c>
      <c r="AE18" s="75">
        <v>10027</v>
      </c>
      <c r="AF18" s="92">
        <f>IF(AE18&gt;0,SUM(AE$7:AE18)-SUM(AD$7:AD18),0)</f>
        <v>-8337</v>
      </c>
      <c r="AG18" s="60">
        <f t="shared" si="19"/>
        <v>0.91154545454545455</v>
      </c>
      <c r="AH18" s="41">
        <f t="shared" si="3"/>
        <v>33000</v>
      </c>
      <c r="AI18" s="41">
        <f t="shared" si="8"/>
        <v>31809</v>
      </c>
      <c r="AJ18" s="93">
        <f>IF(AI18&gt;0,SUM(AI$7:AI18)-SUM(AH$7:AH18),0)</f>
        <v>-27111</v>
      </c>
      <c r="AK18" s="60">
        <f t="shared" si="20"/>
        <v>0.96390909090909094</v>
      </c>
      <c r="AM18" s="47">
        <f t="shared" si="21"/>
        <v>40828</v>
      </c>
      <c r="AN18" s="54" t="str">
        <f t="shared" si="9"/>
        <v>qui</v>
      </c>
      <c r="AO18" s="75">
        <v>8055</v>
      </c>
      <c r="AP18" s="75">
        <v>9520</v>
      </c>
      <c r="AQ18" s="75">
        <f>IF(AP18&gt;0,SUM(AP$7:AP18)-SUM(AO$7:AO18),0)</f>
        <v>6398</v>
      </c>
      <c r="AR18" s="45">
        <f t="shared" si="22"/>
        <v>1.1818746120422099</v>
      </c>
      <c r="AS18" s="75">
        <v>8055</v>
      </c>
      <c r="AT18" s="75">
        <v>9104</v>
      </c>
      <c r="AU18" s="90">
        <f>IF(AT18&gt;0,SUM(AT$7:AT18)-SUM(AS$7:AS18),0)</f>
        <v>-4616</v>
      </c>
      <c r="AV18" s="45">
        <f t="shared" si="23"/>
        <v>1.1302296710117938</v>
      </c>
      <c r="AW18" s="75">
        <v>8055</v>
      </c>
      <c r="AX18" s="75">
        <v>5321</v>
      </c>
      <c r="AY18" s="90">
        <f>IF(AX18&gt;0,SUM(AX$7:AX18)-SUM(AW$7:AW18),0)</f>
        <v>-23098</v>
      </c>
      <c r="AZ18" s="45">
        <f t="shared" si="31"/>
        <v>0.66058348851644944</v>
      </c>
      <c r="BA18" s="35">
        <f t="shared" si="4"/>
        <v>24165</v>
      </c>
      <c r="BB18" s="35">
        <f t="shared" si="10"/>
        <v>23945</v>
      </c>
      <c r="BC18" s="91">
        <f>IF(BB18&gt;0,SUM(BB$7:BB18)-SUM(BA$7:BA18),0)</f>
        <v>-21316</v>
      </c>
      <c r="BD18" s="45">
        <f t="shared" si="24"/>
        <v>0.99089592385681768</v>
      </c>
      <c r="BF18" s="47">
        <f t="shared" si="25"/>
        <v>40828</v>
      </c>
      <c r="BG18" s="54" t="str">
        <f t="shared" si="11"/>
        <v>qui</v>
      </c>
      <c r="BH18" s="75">
        <v>16200</v>
      </c>
      <c r="BI18" s="75">
        <v>18073</v>
      </c>
      <c r="BJ18" s="75">
        <f>IF(BI18&gt;0,SUM(BI$7:BI18)-SUM(BH$7:BH18),0)</f>
        <v>-3002</v>
      </c>
      <c r="BK18" s="45">
        <f t="shared" si="26"/>
        <v>1.1156172839506173</v>
      </c>
      <c r="BL18" s="75">
        <v>7000</v>
      </c>
      <c r="BM18" s="75">
        <v>5872</v>
      </c>
      <c r="BN18" s="90">
        <f>IF(BM18&gt;0,SUM(BM$7:BM18)-SUM(BL$7:BL18),0)</f>
        <v>-6705</v>
      </c>
      <c r="BO18" s="45">
        <f t="shared" si="27"/>
        <v>0.83885714285714286</v>
      </c>
      <c r="BP18" s="75">
        <v>10000</v>
      </c>
      <c r="BQ18" s="75">
        <v>4499</v>
      </c>
      <c r="BR18" s="90">
        <f>IF(BQ18&gt;0,SUM(BQ$7:BQ18)-SUM(BP$7:BP18),0)</f>
        <v>-20462</v>
      </c>
      <c r="BS18" s="45">
        <f t="shared" si="32"/>
        <v>0.44990000000000002</v>
      </c>
      <c r="BT18" s="35">
        <f t="shared" si="5"/>
        <v>33200</v>
      </c>
      <c r="BU18" s="35">
        <f t="shared" si="5"/>
        <v>28444</v>
      </c>
      <c r="BV18" s="91">
        <f>IF(BU18&gt;0,SUM(BU$7:BU18)-SUM(BT$7:BT18),0)</f>
        <v>-30169</v>
      </c>
      <c r="BW18" s="45">
        <f t="shared" si="28"/>
        <v>0.85674698795180726</v>
      </c>
      <c r="BY18" s="47">
        <f t="shared" si="29"/>
        <v>40828</v>
      </c>
      <c r="BZ18" s="54" t="str">
        <f t="shared" si="12"/>
        <v>qui</v>
      </c>
      <c r="CA18" s="75">
        <v>2550</v>
      </c>
      <c r="CB18" s="75">
        <v>1</v>
      </c>
      <c r="CC18" s="90">
        <f>IF(CB18&gt;0,SUM(CB$7:CB18)-SUM(CA$7:CA18),0)</f>
        <v>-14540</v>
      </c>
      <c r="CD18" s="45">
        <f t="shared" si="30"/>
        <v>3.9215686274509802E-4</v>
      </c>
    </row>
    <row r="19" spans="1:82" x14ac:dyDescent="0.25">
      <c r="A19" s="47">
        <f t="shared" si="13"/>
        <v>40829</v>
      </c>
      <c r="B19" s="54" t="s">
        <v>24</v>
      </c>
      <c r="C19" s="75"/>
      <c r="D19" s="75">
        <v>20580</v>
      </c>
      <c r="E19" s="90">
        <f>IF(D19&gt;0,SUM(D$7:D19)-SUM(C$7:C19),0)</f>
        <v>-16956</v>
      </c>
      <c r="F19" s="45">
        <f t="shared" si="14"/>
        <v>0</v>
      </c>
      <c r="G19" s="75"/>
      <c r="H19" s="75"/>
      <c r="I19" s="75">
        <f>IF(H19&gt;0,SUM(H$7:H19)-SUM(G$7:G19),0)</f>
        <v>0</v>
      </c>
      <c r="J19" s="45">
        <f t="shared" si="33"/>
        <v>0</v>
      </c>
      <c r="K19" s="75"/>
      <c r="L19" s="75"/>
      <c r="M19" s="90">
        <f>IF(L19&gt;0,SUM(L$7:L19)-SUM(K$7:K19),0)</f>
        <v>0</v>
      </c>
      <c r="N19" s="45">
        <f t="shared" si="35"/>
        <v>0</v>
      </c>
      <c r="O19" s="35">
        <f t="shared" si="34"/>
        <v>0</v>
      </c>
      <c r="P19" s="35">
        <f t="shared" si="6"/>
        <v>20580</v>
      </c>
      <c r="Q19" s="91">
        <f>IF(P19&gt;0,SUM(P$7:P19)-SUM(O$7:O19),0)</f>
        <v>-66121</v>
      </c>
      <c r="R19" s="45">
        <f t="shared" si="15"/>
        <v>0</v>
      </c>
      <c r="T19" s="47">
        <f t="shared" si="16"/>
        <v>40829</v>
      </c>
      <c r="U19" s="54" t="str">
        <f t="shared" si="7"/>
        <v>sex</v>
      </c>
      <c r="V19" s="75"/>
      <c r="W19" s="75">
        <v>31625</v>
      </c>
      <c r="X19" s="92">
        <f>IF(W19&gt;0,SUM(W$7:W19)-SUM(V$7:V19),0)</f>
        <v>18003</v>
      </c>
      <c r="Y19" s="60">
        <f t="shared" si="17"/>
        <v>0</v>
      </c>
      <c r="Z19" s="75"/>
      <c r="AA19" s="75"/>
      <c r="AB19" s="92">
        <f>IF(AA19&gt;0,SUM(AA$7:AA19)-SUM(Z$7:Z19),0)</f>
        <v>0</v>
      </c>
      <c r="AC19" s="60">
        <f t="shared" si="18"/>
        <v>0</v>
      </c>
      <c r="AD19" s="75"/>
      <c r="AE19" s="75"/>
      <c r="AF19" s="92">
        <f>IF(AE19&gt;0,SUM(AE$7:AE19)-SUM(AD$7:AD19),0)</f>
        <v>0</v>
      </c>
      <c r="AG19" s="60">
        <f t="shared" si="19"/>
        <v>0</v>
      </c>
      <c r="AH19" s="41">
        <f t="shared" si="3"/>
        <v>0</v>
      </c>
      <c r="AI19" s="41">
        <f t="shared" si="8"/>
        <v>31625</v>
      </c>
      <c r="AJ19" s="93">
        <f>IF(AI19&gt;0,SUM(AI$7:AI19)-SUM(AH$7:AH19),0)</f>
        <v>4514</v>
      </c>
      <c r="AK19" s="60">
        <f t="shared" si="20"/>
        <v>0</v>
      </c>
      <c r="AM19" s="47">
        <f t="shared" si="21"/>
        <v>40829</v>
      </c>
      <c r="AN19" s="54" t="str">
        <f t="shared" si="9"/>
        <v>sex</v>
      </c>
      <c r="AO19" s="75"/>
      <c r="AP19" s="75">
        <v>16180</v>
      </c>
      <c r="AQ19" s="75">
        <f>IF(AP19&gt;0,SUM(AP$7:AP19)-SUM(AO$7:AO19),0)</f>
        <v>22578</v>
      </c>
      <c r="AR19" s="45">
        <f t="shared" si="22"/>
        <v>0</v>
      </c>
      <c r="AS19" s="75"/>
      <c r="AT19" s="75"/>
      <c r="AU19" s="90">
        <f>IF(AT19&gt;0,SUM(AT$7:AT19)-SUM(AS$7:AS19),0)</f>
        <v>0</v>
      </c>
      <c r="AV19" s="45">
        <f t="shared" si="23"/>
        <v>0</v>
      </c>
      <c r="AW19" s="75"/>
      <c r="AX19" s="75"/>
      <c r="AY19" s="90">
        <f>IF(AX19&gt;0,SUM(AX$7:AX19)-SUM(AW$7:AW19),0)</f>
        <v>0</v>
      </c>
      <c r="AZ19" s="45">
        <f t="shared" si="31"/>
        <v>0</v>
      </c>
      <c r="BA19" s="35">
        <f t="shared" si="4"/>
        <v>0</v>
      </c>
      <c r="BB19" s="35">
        <f t="shared" si="10"/>
        <v>16180</v>
      </c>
      <c r="BC19" s="91">
        <f>IF(BB19&gt;0,SUM(BB$7:BB19)-SUM(BA$7:BA19),0)</f>
        <v>-5136</v>
      </c>
      <c r="BD19" s="45">
        <f t="shared" si="24"/>
        <v>0</v>
      </c>
      <c r="BF19" s="47">
        <f t="shared" si="25"/>
        <v>40829</v>
      </c>
      <c r="BG19" s="54" t="str">
        <f t="shared" si="11"/>
        <v>sex</v>
      </c>
      <c r="BH19" s="75"/>
      <c r="BI19" s="75">
        <v>18492</v>
      </c>
      <c r="BJ19" s="75">
        <f>IF(BI19&gt;0,SUM(BI$7:BI19)-SUM(BH$7:BH19),0)</f>
        <v>15490</v>
      </c>
      <c r="BK19" s="45">
        <f t="shared" si="26"/>
        <v>0</v>
      </c>
      <c r="BL19" s="75"/>
      <c r="BM19" s="75">
        <v>6168</v>
      </c>
      <c r="BN19" s="90">
        <f>IF(BM19&gt;0,SUM(BM$7:BM19)-SUM(BL$7:BL19),0)</f>
        <v>-537</v>
      </c>
      <c r="BO19" s="45">
        <f t="shared" si="27"/>
        <v>0</v>
      </c>
      <c r="BP19" s="75"/>
      <c r="BQ19" s="75">
        <v>5142</v>
      </c>
      <c r="BR19" s="90">
        <f>IF(BQ19&gt;0,SUM(BQ$7:BQ19)-SUM(BP$7:BP19),0)</f>
        <v>-15320</v>
      </c>
      <c r="BS19" s="45">
        <f t="shared" si="32"/>
        <v>0</v>
      </c>
      <c r="BT19" s="35">
        <f t="shared" si="5"/>
        <v>0</v>
      </c>
      <c r="BU19" s="35">
        <f t="shared" si="5"/>
        <v>29802</v>
      </c>
      <c r="BV19" s="91">
        <f>IF(BU19&gt;0,SUM(BU$7:BU19)-SUM(BT$7:BT19),0)</f>
        <v>-367</v>
      </c>
      <c r="BW19" s="45">
        <f t="shared" si="28"/>
        <v>0</v>
      </c>
      <c r="BY19" s="47">
        <f t="shared" si="29"/>
        <v>40829</v>
      </c>
      <c r="BZ19" s="54" t="str">
        <f t="shared" si="12"/>
        <v>sex</v>
      </c>
      <c r="CA19" s="75"/>
      <c r="CB19" s="75"/>
      <c r="CC19" s="90">
        <f>IF(CB19&gt;0,SUM(CB$7:CB19)-SUM(CA$7:CA19),0)</f>
        <v>0</v>
      </c>
      <c r="CD19" s="45">
        <f t="shared" si="30"/>
        <v>0</v>
      </c>
    </row>
    <row r="20" spans="1:82" x14ac:dyDescent="0.25">
      <c r="A20" s="47">
        <f t="shared" si="13"/>
        <v>40830</v>
      </c>
      <c r="B20" s="54" t="s">
        <v>25</v>
      </c>
      <c r="C20" s="75"/>
      <c r="D20" s="75"/>
      <c r="E20" s="90">
        <f>IF(D20&gt;0,SUM(D$7:D20)-SUM(C$7:C20),0)</f>
        <v>0</v>
      </c>
      <c r="F20" s="45">
        <f t="shared" si="14"/>
        <v>0</v>
      </c>
      <c r="G20" s="75"/>
      <c r="H20" s="75"/>
      <c r="I20" s="75">
        <f>IF(H20&gt;0,SUM(H$7:H20)-SUM(G$7:G20),0)</f>
        <v>0</v>
      </c>
      <c r="J20" s="45">
        <f t="shared" si="33"/>
        <v>0</v>
      </c>
      <c r="K20" s="75"/>
      <c r="L20" s="75"/>
      <c r="M20" s="90">
        <f>IF(L20&gt;0,SUM(L$7:L20)-SUM(K$7:K20),0)</f>
        <v>0</v>
      </c>
      <c r="N20" s="45">
        <f t="shared" si="35"/>
        <v>0</v>
      </c>
      <c r="O20" s="35">
        <f t="shared" si="34"/>
        <v>0</v>
      </c>
      <c r="P20" s="35">
        <f t="shared" si="6"/>
        <v>0</v>
      </c>
      <c r="Q20" s="91">
        <f>IF(P20&gt;0,SUM(P$7:P20)-SUM(O$7:O20),0)</f>
        <v>0</v>
      </c>
      <c r="R20" s="45">
        <f t="shared" si="15"/>
        <v>0</v>
      </c>
      <c r="T20" s="47">
        <f t="shared" si="16"/>
        <v>40830</v>
      </c>
      <c r="U20" s="54" t="str">
        <f t="shared" si="7"/>
        <v>sáb</v>
      </c>
      <c r="V20" s="75"/>
      <c r="W20" s="75"/>
      <c r="X20" s="92">
        <f>IF(W20&gt;0,SUM(W$7:W20)-SUM(V$7:V20),0)</f>
        <v>0</v>
      </c>
      <c r="Y20" s="60">
        <f t="shared" si="17"/>
        <v>0</v>
      </c>
      <c r="Z20" s="75"/>
      <c r="AA20" s="75"/>
      <c r="AB20" s="92">
        <f>IF(AA20&gt;0,SUM(AA$7:AA20)-SUM(Z$7:Z20),0)</f>
        <v>0</v>
      </c>
      <c r="AC20" s="60">
        <f t="shared" si="18"/>
        <v>0</v>
      </c>
      <c r="AD20" s="75"/>
      <c r="AE20" s="75"/>
      <c r="AF20" s="92">
        <f>IF(AE20&gt;0,SUM(AE$7:AE20)-SUM(AD$7:AD20),0)</f>
        <v>0</v>
      </c>
      <c r="AG20" s="60">
        <f t="shared" si="19"/>
        <v>0</v>
      </c>
      <c r="AH20" s="41">
        <f t="shared" si="3"/>
        <v>0</v>
      </c>
      <c r="AI20" s="41">
        <f t="shared" si="8"/>
        <v>0</v>
      </c>
      <c r="AJ20" s="93">
        <f>IF(AI20&gt;0,SUM(AI$7:AI20)-SUM(AH$7:AH20),0)</f>
        <v>0</v>
      </c>
      <c r="AK20" s="60">
        <f t="shared" si="20"/>
        <v>0</v>
      </c>
      <c r="AM20" s="47">
        <f t="shared" si="21"/>
        <v>40830</v>
      </c>
      <c r="AN20" s="54" t="str">
        <f t="shared" si="9"/>
        <v>sáb</v>
      </c>
      <c r="AO20" s="75"/>
      <c r="AP20" s="75"/>
      <c r="AQ20" s="75">
        <f>IF(AP20&gt;0,SUM(AP$7:AP20)-SUM(AO$7:AO20),0)</f>
        <v>0</v>
      </c>
      <c r="AR20" s="45">
        <f t="shared" si="22"/>
        <v>0</v>
      </c>
      <c r="AS20" s="75"/>
      <c r="AT20" s="75"/>
      <c r="AU20" s="90">
        <f>IF(AT20&gt;0,SUM(AT$7:AT20)-SUM(AS$7:AS20),0)</f>
        <v>0</v>
      </c>
      <c r="AV20" s="45">
        <f t="shared" si="23"/>
        <v>0</v>
      </c>
      <c r="AW20" s="75"/>
      <c r="AX20" s="75"/>
      <c r="AY20" s="90">
        <f>IF(AX20&gt;0,SUM(AX$7:AX20)-SUM(AW$7:AW20),0)</f>
        <v>0</v>
      </c>
      <c r="AZ20" s="45">
        <f t="shared" si="31"/>
        <v>0</v>
      </c>
      <c r="BA20" s="35">
        <f t="shared" si="4"/>
        <v>0</v>
      </c>
      <c r="BB20" s="35">
        <f t="shared" si="10"/>
        <v>0</v>
      </c>
      <c r="BC20" s="91">
        <f>IF(BB20&gt;0,SUM(BB$7:BB20)-SUM(BA$7:BA20),0)</f>
        <v>0</v>
      </c>
      <c r="BD20" s="45">
        <f t="shared" si="24"/>
        <v>0</v>
      </c>
      <c r="BF20" s="47">
        <f t="shared" si="25"/>
        <v>40830</v>
      </c>
      <c r="BG20" s="54" t="str">
        <f t="shared" si="11"/>
        <v>sáb</v>
      </c>
      <c r="BH20" s="75"/>
      <c r="BI20" s="75"/>
      <c r="BJ20" s="75">
        <f>IF(BI20&gt;0,SUM(BI$7:BI20)-SUM(BH$7:BH20),0)</f>
        <v>0</v>
      </c>
      <c r="BK20" s="45">
        <f t="shared" si="26"/>
        <v>0</v>
      </c>
      <c r="BL20" s="75"/>
      <c r="BM20" s="75"/>
      <c r="BN20" s="90">
        <f>IF(BM20&gt;0,SUM(BM$7:BM20)-SUM(BL$7:BL20),0)</f>
        <v>0</v>
      </c>
      <c r="BO20" s="45">
        <f t="shared" si="27"/>
        <v>0</v>
      </c>
      <c r="BP20" s="75"/>
      <c r="BQ20" s="75"/>
      <c r="BR20" s="90">
        <f>IF(BQ20&gt;0,SUM(BQ$7:BQ20)-SUM(BP$7:BP20),0)</f>
        <v>0</v>
      </c>
      <c r="BS20" s="45">
        <f t="shared" si="32"/>
        <v>0</v>
      </c>
      <c r="BT20" s="35">
        <f t="shared" si="5"/>
        <v>0</v>
      </c>
      <c r="BU20" s="35">
        <f t="shared" si="5"/>
        <v>0</v>
      </c>
      <c r="BV20" s="91">
        <f>IF(BU20&gt;0,SUM(BU$7:BU20)-SUM(BT$7:BT20),0)</f>
        <v>0</v>
      </c>
      <c r="BW20" s="45">
        <f t="shared" si="28"/>
        <v>0</v>
      </c>
      <c r="BY20" s="47">
        <f t="shared" si="29"/>
        <v>40830</v>
      </c>
      <c r="BZ20" s="54" t="str">
        <f t="shared" si="12"/>
        <v>sáb</v>
      </c>
      <c r="CA20" s="75"/>
      <c r="CB20" s="75"/>
      <c r="CC20" s="90">
        <f>IF(CB20&gt;0,SUM(CB$7:CB20)-SUM(CA$7:CA20),0)</f>
        <v>0</v>
      </c>
      <c r="CD20" s="45">
        <f t="shared" si="30"/>
        <v>0</v>
      </c>
    </row>
    <row r="21" spans="1:82" x14ac:dyDescent="0.25">
      <c r="A21" s="47">
        <f t="shared" si="13"/>
        <v>40831</v>
      </c>
      <c r="B21" s="54" t="s">
        <v>26</v>
      </c>
      <c r="C21" s="75"/>
      <c r="D21" s="75"/>
      <c r="E21" s="90">
        <f>IF(D21&gt;0,SUM(D$7:D21)-SUM(C$7:C21),0)</f>
        <v>0</v>
      </c>
      <c r="F21" s="45">
        <f t="shared" si="14"/>
        <v>0</v>
      </c>
      <c r="G21" s="75"/>
      <c r="H21" s="75"/>
      <c r="I21" s="75">
        <f>IF(H21&gt;0,SUM(H$7:H21)-SUM(G$7:G21),0)</f>
        <v>0</v>
      </c>
      <c r="J21" s="45">
        <f t="shared" si="33"/>
        <v>0</v>
      </c>
      <c r="K21" s="75">
        <v>12000</v>
      </c>
      <c r="L21" s="75">
        <v>5820</v>
      </c>
      <c r="M21" s="90">
        <f>IF(L21&gt;0,SUM(L$7:L21)-SUM(K$7:K21),0)</f>
        <v>-16247</v>
      </c>
      <c r="N21" s="45">
        <f t="shared" si="35"/>
        <v>0.48499999999999999</v>
      </c>
      <c r="O21" s="35">
        <f t="shared" si="34"/>
        <v>12000</v>
      </c>
      <c r="P21" s="35">
        <f t="shared" si="6"/>
        <v>5820</v>
      </c>
      <c r="Q21" s="91">
        <f>IF(P21&gt;0,SUM(P$7:P21)-SUM(O$7:O21),0)</f>
        <v>-72301</v>
      </c>
      <c r="R21" s="45">
        <f t="shared" si="15"/>
        <v>0.48499999999999999</v>
      </c>
      <c r="T21" s="47">
        <f t="shared" si="16"/>
        <v>40831</v>
      </c>
      <c r="U21" s="54" t="str">
        <f t="shared" si="7"/>
        <v>dom</v>
      </c>
      <c r="V21" s="75"/>
      <c r="W21" s="75"/>
      <c r="X21" s="92">
        <f>IF(W21&gt;0,SUM(W$7:W21)-SUM(V$7:V21),0)</f>
        <v>0</v>
      </c>
      <c r="Y21" s="60">
        <f t="shared" si="17"/>
        <v>0</v>
      </c>
      <c r="Z21" s="75"/>
      <c r="AA21" s="75"/>
      <c r="AB21" s="92">
        <f>IF(AA21&gt;0,SUM(AA$7:AA21)-SUM(Z$7:Z21),0)</f>
        <v>0</v>
      </c>
      <c r="AC21" s="60">
        <f t="shared" si="18"/>
        <v>0</v>
      </c>
      <c r="AD21" s="75">
        <v>11000</v>
      </c>
      <c r="AE21" s="75">
        <v>11031</v>
      </c>
      <c r="AF21" s="92">
        <f>IF(AE21&gt;0,SUM(AE$7:AE21)-SUM(AD$7:AD21),0)</f>
        <v>-8306</v>
      </c>
      <c r="AG21" s="60">
        <f t="shared" si="19"/>
        <v>1.0028181818181818</v>
      </c>
      <c r="AH21" s="41">
        <f t="shared" si="3"/>
        <v>11000</v>
      </c>
      <c r="AI21" s="41">
        <f t="shared" si="8"/>
        <v>11031</v>
      </c>
      <c r="AJ21" s="93">
        <f>IF(AI21&gt;0,SUM(AI$7:AI21)-SUM(AH$7:AH21),0)</f>
        <v>4545</v>
      </c>
      <c r="AK21" s="60">
        <f t="shared" si="20"/>
        <v>1.0028181818181818</v>
      </c>
      <c r="AM21" s="47">
        <f t="shared" si="21"/>
        <v>40831</v>
      </c>
      <c r="AN21" s="54" t="str">
        <f t="shared" si="9"/>
        <v>dom</v>
      </c>
      <c r="AO21" s="75"/>
      <c r="AP21" s="75"/>
      <c r="AQ21" s="75">
        <f>IF(AP21&gt;0,SUM(AP$7:AP21)-SUM(AO$7:AO21),0)</f>
        <v>0</v>
      </c>
      <c r="AR21" s="45">
        <f t="shared" si="22"/>
        <v>0</v>
      </c>
      <c r="AS21" s="75"/>
      <c r="AT21" s="75"/>
      <c r="AU21" s="90">
        <f>IF(AT21&gt;0,SUM(AT$7:AT21)-SUM(AS$7:AS21),0)</f>
        <v>0</v>
      </c>
      <c r="AV21" s="45">
        <f t="shared" si="23"/>
        <v>0</v>
      </c>
      <c r="AW21" s="75">
        <v>8055</v>
      </c>
      <c r="AX21" s="75">
        <v>5150</v>
      </c>
      <c r="AY21" s="90">
        <f>IF(AX21&gt;0,SUM(AX$7:AX21)-SUM(AW$7:AW21),0)</f>
        <v>-26003</v>
      </c>
      <c r="AZ21" s="45">
        <f t="shared" si="31"/>
        <v>0.63935443823711979</v>
      </c>
      <c r="BA21" s="35">
        <f t="shared" si="4"/>
        <v>8055</v>
      </c>
      <c r="BB21" s="35">
        <f t="shared" si="10"/>
        <v>5150</v>
      </c>
      <c r="BC21" s="91">
        <f>IF(BB21&gt;0,SUM(BB$7:BB21)-SUM(BA$7:BA21),0)</f>
        <v>-8041</v>
      </c>
      <c r="BD21" s="45">
        <f t="shared" si="24"/>
        <v>0.63935443823711979</v>
      </c>
      <c r="BF21" s="47">
        <f t="shared" si="25"/>
        <v>40831</v>
      </c>
      <c r="BG21" s="54" t="str">
        <f t="shared" si="11"/>
        <v>dom</v>
      </c>
      <c r="BH21" s="75"/>
      <c r="BI21" s="75"/>
      <c r="BJ21" s="75">
        <f>IF(BI21&gt;0,SUM(BI$7:BI21)-SUM(BH$7:BH21),0)</f>
        <v>0</v>
      </c>
      <c r="BK21" s="45">
        <f t="shared" si="26"/>
        <v>0</v>
      </c>
      <c r="BL21" s="75"/>
      <c r="BM21" s="75"/>
      <c r="BN21" s="90">
        <f>IF(BM21&gt;0,SUM(BM$7:BM21)-SUM(BL$7:BL21),0)</f>
        <v>0</v>
      </c>
      <c r="BO21" s="45">
        <f t="shared" si="27"/>
        <v>0</v>
      </c>
      <c r="BP21" s="75"/>
      <c r="BQ21" s="75"/>
      <c r="BR21" s="90">
        <f>IF(BQ21&gt;0,SUM(BQ$7:BQ21)-SUM(BP$7:BP21),0)</f>
        <v>0</v>
      </c>
      <c r="BS21" s="45">
        <f t="shared" si="32"/>
        <v>0</v>
      </c>
      <c r="BT21" s="35">
        <f t="shared" si="5"/>
        <v>0</v>
      </c>
      <c r="BU21" s="35">
        <f t="shared" si="5"/>
        <v>0</v>
      </c>
      <c r="BV21" s="91">
        <f>IF(BU21&gt;0,SUM(BU$7:BU21)-SUM(BT$7:BT21),0)</f>
        <v>0</v>
      </c>
      <c r="BW21" s="45">
        <f t="shared" si="28"/>
        <v>0</v>
      </c>
      <c r="BY21" s="47">
        <f t="shared" si="29"/>
        <v>40831</v>
      </c>
      <c r="BZ21" s="54" t="str">
        <f t="shared" si="12"/>
        <v>dom</v>
      </c>
      <c r="CA21" s="75"/>
      <c r="CB21" s="75"/>
      <c r="CC21" s="90">
        <f>IF(CB21&gt;0,SUM(CB$7:CB21)-SUM(CA$7:CA21),0)</f>
        <v>0</v>
      </c>
      <c r="CD21" s="45">
        <f t="shared" si="30"/>
        <v>0</v>
      </c>
    </row>
    <row r="22" spans="1:82" x14ac:dyDescent="0.25">
      <c r="A22" s="47">
        <f t="shared" si="13"/>
        <v>40832</v>
      </c>
      <c r="B22" s="54" t="s">
        <v>27</v>
      </c>
      <c r="C22" s="75">
        <v>12000</v>
      </c>
      <c r="D22" s="75">
        <v>7692</v>
      </c>
      <c r="E22" s="90">
        <f>IF(D22&gt;0,SUM(D$7:D22)-SUM(C$7:C22),0)</f>
        <v>-21264</v>
      </c>
      <c r="F22" s="45">
        <f t="shared" si="14"/>
        <v>0.64100000000000001</v>
      </c>
      <c r="G22" s="75">
        <v>12000</v>
      </c>
      <c r="H22" s="75">
        <v>11181</v>
      </c>
      <c r="I22" s="75">
        <f>IF(H22&gt;0,SUM(H$7:H22)-SUM(G$7:G22),0)</f>
        <v>-39917</v>
      </c>
      <c r="J22" s="45">
        <f t="shared" si="33"/>
        <v>0.93174999999999997</v>
      </c>
      <c r="K22" s="75">
        <v>12000</v>
      </c>
      <c r="L22" s="75">
        <v>12242</v>
      </c>
      <c r="M22" s="90">
        <f>IF(L22&gt;0,SUM(L$7:L22)-SUM(K$7:K22),0)</f>
        <v>-16005</v>
      </c>
      <c r="N22" s="45">
        <f t="shared" si="35"/>
        <v>1.0201666666666667</v>
      </c>
      <c r="O22" s="35">
        <f t="shared" si="34"/>
        <v>36000</v>
      </c>
      <c r="P22" s="35">
        <f t="shared" si="6"/>
        <v>31115</v>
      </c>
      <c r="Q22" s="91">
        <f>IF(P22&gt;0,SUM(P$7:P22)-SUM(O$7:O22),0)</f>
        <v>-77186</v>
      </c>
      <c r="R22" s="45">
        <f t="shared" si="15"/>
        <v>0.86430555555555555</v>
      </c>
      <c r="T22" s="47">
        <f t="shared" si="16"/>
        <v>40832</v>
      </c>
      <c r="U22" s="54" t="str">
        <f t="shared" si="7"/>
        <v>seg</v>
      </c>
      <c r="V22" s="75">
        <v>11000</v>
      </c>
      <c r="W22" s="75">
        <v>10117</v>
      </c>
      <c r="X22" s="92">
        <f>IF(W22&gt;0,SUM(W$7:W22)-SUM(V$7:V22),0)</f>
        <v>17120</v>
      </c>
      <c r="Y22" s="60">
        <f t="shared" si="17"/>
        <v>0.91972727272727273</v>
      </c>
      <c r="Z22" s="75">
        <v>11000</v>
      </c>
      <c r="AA22" s="75">
        <v>14554</v>
      </c>
      <c r="AB22" s="92">
        <f>IF(AA22&gt;0,SUM(AA$7:AA22)-SUM(Z$7:Z22),0)</f>
        <v>-1598</v>
      </c>
      <c r="AC22" s="60">
        <f t="shared" si="18"/>
        <v>1.3230909090909091</v>
      </c>
      <c r="AD22" s="75">
        <v>11000</v>
      </c>
      <c r="AE22" s="75">
        <v>11534</v>
      </c>
      <c r="AF22" s="92">
        <f>IF(AE22&gt;0,SUM(AE$7:AE22)-SUM(AD$7:AD22),0)</f>
        <v>-7772</v>
      </c>
      <c r="AG22" s="60">
        <f t="shared" si="19"/>
        <v>1.0485454545454544</v>
      </c>
      <c r="AH22" s="41">
        <f t="shared" si="3"/>
        <v>33000</v>
      </c>
      <c r="AI22" s="41">
        <f t="shared" si="8"/>
        <v>36205</v>
      </c>
      <c r="AJ22" s="93">
        <f>IF(AI22&gt;0,SUM(AI$7:AI22)-SUM(AH$7:AH22),0)</f>
        <v>7750</v>
      </c>
      <c r="AK22" s="60">
        <f t="shared" si="20"/>
        <v>1.0971212121212122</v>
      </c>
      <c r="AM22" s="47">
        <f t="shared" si="21"/>
        <v>40832</v>
      </c>
      <c r="AN22" s="54" t="str">
        <f t="shared" si="9"/>
        <v>seg</v>
      </c>
      <c r="AO22" s="75">
        <v>8055</v>
      </c>
      <c r="AP22" s="75">
        <v>7303</v>
      </c>
      <c r="AQ22" s="75">
        <f>IF(AP22&gt;0,SUM(AP$7:AP22)-SUM(AO$7:AO22),0)</f>
        <v>21826</v>
      </c>
      <c r="AR22" s="45">
        <f t="shared" si="22"/>
        <v>0.90664183736809434</v>
      </c>
      <c r="AS22" s="75">
        <v>8055</v>
      </c>
      <c r="AT22" s="75">
        <v>9997</v>
      </c>
      <c r="AU22" s="90">
        <f>IF(AT22&gt;0,SUM(AT$7:AT22)-SUM(AS$7:AS22),0)</f>
        <v>-2674</v>
      </c>
      <c r="AV22" s="45">
        <f t="shared" si="23"/>
        <v>1.241092489137182</v>
      </c>
      <c r="AW22" s="75">
        <v>8055</v>
      </c>
      <c r="AX22" s="75">
        <v>6796</v>
      </c>
      <c r="AY22" s="90">
        <f>IF(AX22&gt;0,SUM(AX$7:AX22)-SUM(AW$7:AW22),0)</f>
        <v>-27262</v>
      </c>
      <c r="AZ22" s="45">
        <f t="shared" si="31"/>
        <v>0.84369956548727498</v>
      </c>
      <c r="BA22" s="35">
        <f t="shared" si="4"/>
        <v>24165</v>
      </c>
      <c r="BB22" s="35">
        <f t="shared" si="10"/>
        <v>24096</v>
      </c>
      <c r="BC22" s="91">
        <f>IF(BB22&gt;0,SUM(BB$7:BB22)-SUM(BA$7:BA22),0)</f>
        <v>-8110</v>
      </c>
      <c r="BD22" s="45">
        <f t="shared" si="24"/>
        <v>0.99714463066418368</v>
      </c>
      <c r="BF22" s="47">
        <f t="shared" si="25"/>
        <v>40832</v>
      </c>
      <c r="BG22" s="54" t="str">
        <f t="shared" si="11"/>
        <v>seg</v>
      </c>
      <c r="BH22" s="75">
        <v>16200</v>
      </c>
      <c r="BI22" s="75">
        <v>17929</v>
      </c>
      <c r="BJ22" s="75">
        <f>IF(BI22&gt;0,SUM(BI$7:BI22)-SUM(BH$7:BH22),0)</f>
        <v>17219</v>
      </c>
      <c r="BK22" s="45">
        <f t="shared" si="26"/>
        <v>1.1067283950617284</v>
      </c>
      <c r="BL22" s="75">
        <v>7000</v>
      </c>
      <c r="BM22" s="75">
        <v>6170</v>
      </c>
      <c r="BN22" s="90">
        <f>IF(BM22&gt;0,SUM(BM$7:BM22)-SUM(BL$7:BL22),0)</f>
        <v>-1367</v>
      </c>
      <c r="BO22" s="45">
        <f t="shared" si="27"/>
        <v>0.88142857142857145</v>
      </c>
      <c r="BP22" s="75">
        <v>10000</v>
      </c>
      <c r="BQ22" s="75">
        <v>4510</v>
      </c>
      <c r="BR22" s="90">
        <f>IF(BQ22&gt;0,SUM(BQ$7:BQ22)-SUM(BP$7:BP22),0)</f>
        <v>-20810</v>
      </c>
      <c r="BS22" s="45">
        <f t="shared" si="32"/>
        <v>0.45100000000000001</v>
      </c>
      <c r="BT22" s="35">
        <f t="shared" si="5"/>
        <v>33200</v>
      </c>
      <c r="BU22" s="35">
        <f t="shared" si="5"/>
        <v>28609</v>
      </c>
      <c r="BV22" s="91">
        <f>IF(BU22&gt;0,SUM(BU$7:BU22)-SUM(BT$7:BT22),0)</f>
        <v>-4958</v>
      </c>
      <c r="BW22" s="45">
        <f t="shared" si="28"/>
        <v>0.86171686746987952</v>
      </c>
      <c r="BY22" s="47">
        <f t="shared" si="29"/>
        <v>40832</v>
      </c>
      <c r="BZ22" s="54" t="str">
        <f t="shared" si="12"/>
        <v>seg</v>
      </c>
      <c r="CA22" s="75">
        <v>2550</v>
      </c>
      <c r="CB22" s="75">
        <v>1</v>
      </c>
      <c r="CC22" s="90">
        <f>IF(CB22&gt;0,SUM(CB$7:CB22)-SUM(CA$7:CA22),0)</f>
        <v>-17089</v>
      </c>
      <c r="CD22" s="45">
        <f t="shared" si="30"/>
        <v>3.9215686274509802E-4</v>
      </c>
    </row>
    <row r="23" spans="1:82" x14ac:dyDescent="0.25">
      <c r="A23" s="47">
        <f t="shared" si="13"/>
        <v>40833</v>
      </c>
      <c r="B23" s="54" t="s">
        <v>28</v>
      </c>
      <c r="C23" s="75">
        <v>12000</v>
      </c>
      <c r="D23" s="75">
        <v>6630</v>
      </c>
      <c r="E23" s="90">
        <f>IF(D23&gt;0,SUM(D$7:D23)-SUM(C$7:C23),0)</f>
        <v>-26634</v>
      </c>
      <c r="F23" s="45">
        <f t="shared" si="14"/>
        <v>0.55249999999999999</v>
      </c>
      <c r="G23" s="75">
        <v>12000</v>
      </c>
      <c r="H23" s="75">
        <v>2342</v>
      </c>
      <c r="I23" s="75">
        <f>IF(H23&gt;0,SUM(H$7:H23)-SUM(G$7:G23),0)</f>
        <v>-49575</v>
      </c>
      <c r="J23" s="45">
        <f t="shared" si="33"/>
        <v>0.19516666666666665</v>
      </c>
      <c r="K23" s="75">
        <v>12000</v>
      </c>
      <c r="L23" s="75">
        <v>10268</v>
      </c>
      <c r="M23" s="90">
        <f>IF(L23&gt;0,SUM(L$7:L23)-SUM(K$7:K23),0)</f>
        <v>-17737</v>
      </c>
      <c r="N23" s="45">
        <f t="shared" si="35"/>
        <v>0.85566666666666669</v>
      </c>
      <c r="O23" s="35">
        <f t="shared" si="34"/>
        <v>36000</v>
      </c>
      <c r="P23" s="35">
        <f t="shared" si="6"/>
        <v>19240</v>
      </c>
      <c r="Q23" s="91">
        <f>IF(P23&gt;0,SUM(P$7:P23)-SUM(O$7:O23),0)</f>
        <v>-93946</v>
      </c>
      <c r="R23" s="45">
        <f t="shared" si="15"/>
        <v>0.5344444444444445</v>
      </c>
      <c r="T23" s="47">
        <f t="shared" si="16"/>
        <v>40833</v>
      </c>
      <c r="U23" s="54" t="str">
        <f t="shared" si="7"/>
        <v>ter</v>
      </c>
      <c r="V23" s="75">
        <v>11000</v>
      </c>
      <c r="W23" s="75">
        <v>12830</v>
      </c>
      <c r="X23" s="92">
        <f>IF(W23&gt;0,SUM(W$7:W23)-SUM(V$7:V23),0)</f>
        <v>18950</v>
      </c>
      <c r="Y23" s="60">
        <f t="shared" si="17"/>
        <v>1.1663636363636363</v>
      </c>
      <c r="Z23" s="75">
        <v>11000</v>
      </c>
      <c r="AA23" s="75">
        <v>13966</v>
      </c>
      <c r="AB23" s="92">
        <f>IF(AA23&gt;0,SUM(AA$7:AA23)-SUM(Z$7:Z23),0)</f>
        <v>1368</v>
      </c>
      <c r="AC23" s="60">
        <f t="shared" si="18"/>
        <v>1.2696363636363637</v>
      </c>
      <c r="AD23" s="75">
        <v>11000</v>
      </c>
      <c r="AE23" s="75">
        <v>13380</v>
      </c>
      <c r="AF23" s="92">
        <f>IF(AE23&gt;0,SUM(AE$7:AE23)-SUM(AD$7:AD23),0)</f>
        <v>-5392</v>
      </c>
      <c r="AG23" s="60">
        <f t="shared" si="19"/>
        <v>1.2163636363636363</v>
      </c>
      <c r="AH23" s="41">
        <f t="shared" si="3"/>
        <v>33000</v>
      </c>
      <c r="AI23" s="41">
        <f t="shared" si="8"/>
        <v>40176</v>
      </c>
      <c r="AJ23" s="93">
        <f>IF(AI23&gt;0,SUM(AI$7:AI23)-SUM(AH$7:AH23),0)</f>
        <v>14926</v>
      </c>
      <c r="AK23" s="60">
        <f t="shared" si="20"/>
        <v>1.2174545454545453</v>
      </c>
      <c r="AM23" s="47">
        <f t="shared" si="21"/>
        <v>40833</v>
      </c>
      <c r="AN23" s="54" t="str">
        <f t="shared" si="9"/>
        <v>ter</v>
      </c>
      <c r="AO23" s="75">
        <v>8055</v>
      </c>
      <c r="AP23" s="75">
        <v>9624</v>
      </c>
      <c r="AQ23" s="75">
        <f>IF(AP23&gt;0,SUM(AP$7:AP23)-SUM(AO$7:AO22),0)</f>
        <v>31450</v>
      </c>
      <c r="AR23" s="45">
        <f>IF(AP23&gt;0,IF(AO18&gt;0,AP23/AO18,0),0)</f>
        <v>1.1947858472998139</v>
      </c>
      <c r="AS23" s="75">
        <v>8055</v>
      </c>
      <c r="AT23" s="75">
        <v>6252</v>
      </c>
      <c r="AU23" s="90">
        <f>IF(AT23&gt;0,SUM(AT$7:AT23)-SUM(AS$7:AS23),0)</f>
        <v>-4477</v>
      </c>
      <c r="AV23" s="45">
        <f t="shared" si="23"/>
        <v>0.77616387337057724</v>
      </c>
      <c r="AW23" s="75">
        <v>8055</v>
      </c>
      <c r="AX23" s="75">
        <v>5715</v>
      </c>
      <c r="AY23" s="90">
        <f>IF(AX23&gt;0,SUM(AX$7:AX23)-SUM(AW$7:AW23),0)</f>
        <v>-29602</v>
      </c>
      <c r="AZ23" s="45">
        <f t="shared" si="31"/>
        <v>0.70949720670391059</v>
      </c>
      <c r="BA23" s="35">
        <f t="shared" si="4"/>
        <v>24165</v>
      </c>
      <c r="BB23" s="35">
        <f t="shared" si="10"/>
        <v>21591</v>
      </c>
      <c r="BC23" s="91">
        <f>IF(BB23&gt;0,SUM(BB$7:BB23)-SUM(BA$7:BA23),0)</f>
        <v>-10684</v>
      </c>
      <c r="BD23" s="45">
        <f t="shared" si="24"/>
        <v>0.89348230912476723</v>
      </c>
      <c r="BF23" s="47">
        <f t="shared" si="25"/>
        <v>40833</v>
      </c>
      <c r="BG23" s="54" t="str">
        <f t="shared" si="11"/>
        <v>ter</v>
      </c>
      <c r="BH23" s="75">
        <v>16200</v>
      </c>
      <c r="BI23" s="75">
        <v>12953</v>
      </c>
      <c r="BJ23" s="75">
        <f>IF(BI23&gt;0,SUM(BI$7:BI23)-SUM(BH$7:BH23),0)</f>
        <v>13972</v>
      </c>
      <c r="BK23" s="45">
        <f t="shared" si="26"/>
        <v>0.79956790123456789</v>
      </c>
      <c r="BL23" s="75">
        <v>7000</v>
      </c>
      <c r="BM23" s="75">
        <v>8636</v>
      </c>
      <c r="BN23" s="90">
        <f>IF(BM23&gt;0,SUM(BM$7:BM23)-SUM(BL$7:BL23),0)</f>
        <v>269</v>
      </c>
      <c r="BO23" s="45">
        <f t="shared" si="27"/>
        <v>1.2337142857142858</v>
      </c>
      <c r="BP23" s="75">
        <v>10000</v>
      </c>
      <c r="BQ23" s="75">
        <v>1928</v>
      </c>
      <c r="BR23" s="90">
        <f>IF(BQ23&gt;0,SUM(BQ$7:BQ23)-SUM(BP$7:BP23),0)</f>
        <v>-28882</v>
      </c>
      <c r="BS23" s="45">
        <f t="shared" si="32"/>
        <v>0.1928</v>
      </c>
      <c r="BT23" s="35">
        <f t="shared" si="5"/>
        <v>33200</v>
      </c>
      <c r="BU23" s="35">
        <f t="shared" si="5"/>
        <v>23517</v>
      </c>
      <c r="BV23" s="91">
        <f>IF(BU23&gt;0,SUM(BU$7:BU23)-SUM(BT$7:BT23),0)</f>
        <v>-14641</v>
      </c>
      <c r="BW23" s="45">
        <f t="shared" si="28"/>
        <v>0.70834337349397591</v>
      </c>
      <c r="BY23" s="47">
        <f t="shared" si="29"/>
        <v>40833</v>
      </c>
      <c r="BZ23" s="54" t="str">
        <f t="shared" si="12"/>
        <v>ter</v>
      </c>
      <c r="CA23" s="75">
        <v>2550</v>
      </c>
      <c r="CB23" s="75">
        <v>4251</v>
      </c>
      <c r="CC23" s="90">
        <f>IF(CB23&gt;0,SUM(CB$7:CB23)-SUM(CA$7:CA23),0)</f>
        <v>-15388</v>
      </c>
      <c r="CD23" s="45">
        <f t="shared" si="30"/>
        <v>1.6670588235294117</v>
      </c>
    </row>
    <row r="24" spans="1:82" x14ac:dyDescent="0.25">
      <c r="A24" s="47">
        <f t="shared" si="13"/>
        <v>40834</v>
      </c>
      <c r="B24" s="54" t="s">
        <v>22</v>
      </c>
      <c r="C24" s="75">
        <v>12000</v>
      </c>
      <c r="D24" s="75">
        <v>5924</v>
      </c>
      <c r="E24" s="90">
        <f>IF(D24&gt;0,SUM(D$7:D24)-SUM(C$7:C24),0)</f>
        <v>-32710</v>
      </c>
      <c r="F24" s="45">
        <f t="shared" si="14"/>
        <v>0.49366666666666664</v>
      </c>
      <c r="G24" s="75">
        <v>12000</v>
      </c>
      <c r="H24" s="75">
        <v>9448</v>
      </c>
      <c r="I24" s="75">
        <f>IF(H24&gt;0,SUM(H$7:H24)-SUM(G$7:G24),0)</f>
        <v>-52127</v>
      </c>
      <c r="J24" s="45">
        <f t="shared" si="33"/>
        <v>0.78733333333333333</v>
      </c>
      <c r="K24" s="75">
        <v>12000</v>
      </c>
      <c r="L24" s="75">
        <v>10014</v>
      </c>
      <c r="M24" s="90">
        <f>IF(L24&gt;0,SUM(L$7:L24)-SUM(K$7:K24),0)</f>
        <v>-19723</v>
      </c>
      <c r="N24" s="45">
        <f t="shared" si="35"/>
        <v>0.83450000000000002</v>
      </c>
      <c r="O24" s="35">
        <f t="shared" si="34"/>
        <v>36000</v>
      </c>
      <c r="P24" s="35">
        <f t="shared" si="6"/>
        <v>25386</v>
      </c>
      <c r="Q24" s="91">
        <f>IF(P24&gt;0,SUM(P$7:P24)-SUM(O$7:O24),0)</f>
        <v>-104560</v>
      </c>
      <c r="R24" s="45">
        <f t="shared" si="15"/>
        <v>0.70516666666666672</v>
      </c>
      <c r="T24" s="47">
        <f t="shared" si="16"/>
        <v>40834</v>
      </c>
      <c r="U24" s="54" t="str">
        <f t="shared" si="7"/>
        <v>qua</v>
      </c>
      <c r="V24" s="75">
        <v>11000</v>
      </c>
      <c r="W24" s="75">
        <v>11568</v>
      </c>
      <c r="X24" s="92">
        <f>IF(W24&gt;0,SUM(W$7:W24)-SUM(V$7:V24),0)</f>
        <v>19518</v>
      </c>
      <c r="Y24" s="60">
        <f t="shared" si="17"/>
        <v>1.0516363636363637</v>
      </c>
      <c r="Z24" s="75">
        <v>11000</v>
      </c>
      <c r="AA24" s="75">
        <v>8761</v>
      </c>
      <c r="AB24" s="92">
        <f>IF(AA24&gt;0,SUM(AA$7:AA24)-SUM(Z$7:Z24),0)</f>
        <v>-871</v>
      </c>
      <c r="AC24" s="60">
        <f t="shared" si="18"/>
        <v>0.79645454545454542</v>
      </c>
      <c r="AD24" s="75">
        <v>11000</v>
      </c>
      <c r="AE24" s="75">
        <v>9614</v>
      </c>
      <c r="AF24" s="92">
        <f>IF(AE24&gt;0,SUM(AE$7:AE24)-SUM(AD$7:AD24),0)</f>
        <v>-6778</v>
      </c>
      <c r="AG24" s="60">
        <f t="shared" si="19"/>
        <v>0.874</v>
      </c>
      <c r="AH24" s="41">
        <f t="shared" si="3"/>
        <v>33000</v>
      </c>
      <c r="AI24" s="41">
        <f t="shared" si="8"/>
        <v>29943</v>
      </c>
      <c r="AJ24" s="93">
        <f>IF(AI24&gt;0,SUM(AI$7:AI24)-SUM(AH$7:AH24),0)</f>
        <v>11869</v>
      </c>
      <c r="AK24" s="60">
        <f t="shared" si="20"/>
        <v>0.90736363636363637</v>
      </c>
      <c r="AM24" s="47">
        <f t="shared" si="21"/>
        <v>40834</v>
      </c>
      <c r="AN24" s="54" t="str">
        <f t="shared" si="9"/>
        <v>qua</v>
      </c>
      <c r="AO24" s="75">
        <v>8055</v>
      </c>
      <c r="AP24" s="75">
        <v>11272</v>
      </c>
      <c r="AQ24" s="75">
        <f>IF(AP24&gt;0,SUM(AP$7:AP24)-SUM(AO$7:AO24),0)</f>
        <v>26612</v>
      </c>
      <c r="AR24" s="45">
        <f t="shared" si="22"/>
        <v>1.3993792675356922</v>
      </c>
      <c r="AS24" s="75">
        <v>8055</v>
      </c>
      <c r="AT24" s="75">
        <v>9895</v>
      </c>
      <c r="AU24" s="90">
        <f>IF(AT24&gt;0,SUM(AT$7:AT24)-SUM(AS$7:AS24),0)</f>
        <v>-2637</v>
      </c>
      <c r="AV24" s="45">
        <f t="shared" si="23"/>
        <v>1.228429546865301</v>
      </c>
      <c r="AW24" s="75">
        <v>8055</v>
      </c>
      <c r="AX24" s="75">
        <v>6674</v>
      </c>
      <c r="AY24" s="90">
        <f>IF(AX24&gt;0,SUM(AX$7:AX24)-SUM(AW$7:AW24),0)</f>
        <v>-30983</v>
      </c>
      <c r="AZ24" s="45">
        <f t="shared" si="31"/>
        <v>0.82855369335816265</v>
      </c>
      <c r="BA24" s="35">
        <f t="shared" si="4"/>
        <v>24165</v>
      </c>
      <c r="BB24" s="35">
        <f t="shared" si="10"/>
        <v>27841</v>
      </c>
      <c r="BC24" s="91">
        <f>IF(BB24&gt;0,SUM(BB$7:BB24)-SUM(BA$7:BA24),0)</f>
        <v>-7008</v>
      </c>
      <c r="BD24" s="45">
        <f t="shared" si="24"/>
        <v>1.1521208359197186</v>
      </c>
      <c r="BF24" s="47">
        <f t="shared" si="25"/>
        <v>40834</v>
      </c>
      <c r="BG24" s="54" t="str">
        <f t="shared" si="11"/>
        <v>qua</v>
      </c>
      <c r="BH24" s="75">
        <v>16200</v>
      </c>
      <c r="BI24" s="75">
        <v>18867</v>
      </c>
      <c r="BJ24" s="75">
        <f>IF(BI24&gt;0,SUM(BI$7:BI24)-SUM(BH$7:BH24),0)</f>
        <v>16639</v>
      </c>
      <c r="BK24" s="45">
        <f t="shared" si="26"/>
        <v>1.1646296296296297</v>
      </c>
      <c r="BL24" s="75">
        <v>7000</v>
      </c>
      <c r="BM24" s="75">
        <v>8970</v>
      </c>
      <c r="BN24" s="90">
        <f>IF(BM24&gt;0,SUM(BM$7:BM24)-SUM(BL$7:BL24),0)</f>
        <v>2239</v>
      </c>
      <c r="BO24" s="45">
        <f t="shared" si="27"/>
        <v>1.2814285714285714</v>
      </c>
      <c r="BP24" s="75">
        <v>10000</v>
      </c>
      <c r="BQ24" s="75">
        <v>1</v>
      </c>
      <c r="BR24" s="90">
        <f>IF(BQ24&gt;0,SUM(BQ$7:BQ24)-SUM(BP$7:BP24),0)</f>
        <v>-38881</v>
      </c>
      <c r="BS24" s="45">
        <f t="shared" si="32"/>
        <v>1E-4</v>
      </c>
      <c r="BT24" s="35">
        <f t="shared" si="5"/>
        <v>33200</v>
      </c>
      <c r="BU24" s="35">
        <f t="shared" si="5"/>
        <v>27838</v>
      </c>
      <c r="BV24" s="91">
        <f>IF(BU24&gt;0,SUM(BU$7:BU24)-SUM(BT$7:BT24),0)</f>
        <v>-20003</v>
      </c>
      <c r="BW24" s="45">
        <f t="shared" si="28"/>
        <v>0.83849397590361441</v>
      </c>
      <c r="BY24" s="47">
        <f t="shared" si="29"/>
        <v>40834</v>
      </c>
      <c r="BZ24" s="54" t="str">
        <f t="shared" si="12"/>
        <v>qua</v>
      </c>
      <c r="CA24" s="75">
        <v>2550</v>
      </c>
      <c r="CB24" s="75">
        <v>3984</v>
      </c>
      <c r="CC24" s="90">
        <f>IF(CB24&gt;0,SUM(CB$7:CB24)-SUM(CA$7:CA24),0)</f>
        <v>-13954</v>
      </c>
      <c r="CD24" s="45">
        <f t="shared" si="30"/>
        <v>1.5623529411764705</v>
      </c>
    </row>
    <row r="25" spans="1:82" x14ac:dyDescent="0.25">
      <c r="A25" s="47">
        <f t="shared" si="13"/>
        <v>40835</v>
      </c>
      <c r="B25" s="54" t="s">
        <v>23</v>
      </c>
      <c r="C25" s="75">
        <v>12000</v>
      </c>
      <c r="D25" s="75">
        <v>5262</v>
      </c>
      <c r="E25" s="90">
        <f>IF(D25&gt;0,SUM(D$7:D25)-SUM(C$7:C25),0)</f>
        <v>-39448</v>
      </c>
      <c r="F25" s="45">
        <f t="shared" si="14"/>
        <v>0.4385</v>
      </c>
      <c r="G25" s="75">
        <v>12000</v>
      </c>
      <c r="H25" s="75">
        <v>8800</v>
      </c>
      <c r="I25" s="75">
        <f>IF(H25&gt;0,SUM(H$7:H25)-SUM(G$7:G25),0)</f>
        <v>-55327</v>
      </c>
      <c r="J25" s="45">
        <f t="shared" si="33"/>
        <v>0.73333333333333328</v>
      </c>
      <c r="K25" s="75">
        <v>12000</v>
      </c>
      <c r="L25" s="75">
        <v>6838</v>
      </c>
      <c r="M25" s="90">
        <f>IF(L25&gt;0,SUM(L$7:L25)-SUM(K$7:K25),0)</f>
        <v>-24885</v>
      </c>
      <c r="N25" s="45">
        <f t="shared" si="35"/>
        <v>0.5698333333333333</v>
      </c>
      <c r="O25" s="35">
        <f t="shared" si="34"/>
        <v>36000</v>
      </c>
      <c r="P25" s="35">
        <f t="shared" si="6"/>
        <v>20900</v>
      </c>
      <c r="Q25" s="91">
        <f>IF(P25&gt;0,SUM(P$7:P25)-SUM(O$7:O25),0)</f>
        <v>-119660</v>
      </c>
      <c r="R25" s="45">
        <f t="shared" si="15"/>
        <v>0.5805555555555556</v>
      </c>
      <c r="T25" s="47">
        <f t="shared" si="16"/>
        <v>40835</v>
      </c>
      <c r="U25" s="54" t="str">
        <f t="shared" si="7"/>
        <v>qui</v>
      </c>
      <c r="V25" s="75">
        <v>11000</v>
      </c>
      <c r="W25" s="75">
        <v>7850</v>
      </c>
      <c r="X25" s="92">
        <f>IF(W25&gt;0,SUM(W$7:W25)-SUM(V$7:V25),0)</f>
        <v>16368</v>
      </c>
      <c r="Y25" s="60">
        <f t="shared" si="17"/>
        <v>0.71363636363636362</v>
      </c>
      <c r="Z25" s="75">
        <v>11000</v>
      </c>
      <c r="AA25" s="75">
        <v>10275</v>
      </c>
      <c r="AB25" s="92">
        <f>IF(AA25&gt;0,SUM(AA$7:AA25)-SUM(Z$7:Z25),0)</f>
        <v>-1596</v>
      </c>
      <c r="AC25" s="60">
        <f t="shared" si="18"/>
        <v>0.93409090909090908</v>
      </c>
      <c r="AD25" s="75">
        <v>11000</v>
      </c>
      <c r="AE25" s="75">
        <v>8740</v>
      </c>
      <c r="AF25" s="92">
        <f>IF(AE25&gt;0,SUM(AE$7:AE25)-SUM(AD$7:AD25),0)</f>
        <v>-9038</v>
      </c>
      <c r="AG25" s="60">
        <f t="shared" si="19"/>
        <v>0.79454545454545455</v>
      </c>
      <c r="AH25" s="41">
        <f t="shared" si="3"/>
        <v>33000</v>
      </c>
      <c r="AI25" s="41">
        <f t="shared" si="8"/>
        <v>26865</v>
      </c>
      <c r="AJ25" s="93">
        <f>IF(AI25&gt;0,SUM(AI$7:AI25)-SUM(AH$7:AH25),0)</f>
        <v>5734</v>
      </c>
      <c r="AK25" s="60">
        <f t="shared" si="20"/>
        <v>0.81409090909090909</v>
      </c>
      <c r="AM25" s="47">
        <f t="shared" si="21"/>
        <v>40835</v>
      </c>
      <c r="AN25" s="54" t="str">
        <f t="shared" si="9"/>
        <v>qui</v>
      </c>
      <c r="AO25" s="75">
        <v>8055</v>
      </c>
      <c r="AP25" s="75">
        <v>10945</v>
      </c>
      <c r="AQ25" s="75">
        <f>IF(AP25&gt;0,SUM(AP$7:AP25)-SUM(AO$7:AO25),0)</f>
        <v>29502</v>
      </c>
      <c r="AR25" s="45">
        <f t="shared" si="22"/>
        <v>1.3587833643699565</v>
      </c>
      <c r="AS25" s="75">
        <v>8055</v>
      </c>
      <c r="AT25" s="75">
        <v>8777</v>
      </c>
      <c r="AU25" s="90">
        <f>IF(AT25&gt;0,SUM(AT$7:AT25)-SUM(AS$7:AS25),0)</f>
        <v>-1915</v>
      </c>
      <c r="AV25" s="45">
        <f t="shared" si="23"/>
        <v>1.0896337678460584</v>
      </c>
      <c r="AW25" s="75">
        <v>8055</v>
      </c>
      <c r="AX25" s="75">
        <v>6670</v>
      </c>
      <c r="AY25" s="90">
        <f>IF(AX25&gt;0,SUM(AX$7:AX25)-SUM(AW$7:AW25),0)</f>
        <v>-32368</v>
      </c>
      <c r="AZ25" s="45">
        <f t="shared" si="31"/>
        <v>0.82805710738671634</v>
      </c>
      <c r="BA25" s="35">
        <f t="shared" si="4"/>
        <v>24165</v>
      </c>
      <c r="BB25" s="35">
        <f t="shared" si="10"/>
        <v>26392</v>
      </c>
      <c r="BC25" s="91">
        <f>IF(BB25&gt;0,SUM(BB$7:BB25)-SUM(BA$7:BA25),0)</f>
        <v>-4781</v>
      </c>
      <c r="BD25" s="45">
        <f t="shared" si="24"/>
        <v>1.0921580798675772</v>
      </c>
      <c r="BF25" s="47">
        <f t="shared" si="25"/>
        <v>40835</v>
      </c>
      <c r="BG25" s="54" t="str">
        <f t="shared" si="11"/>
        <v>qui</v>
      </c>
      <c r="BH25" s="75">
        <v>16200</v>
      </c>
      <c r="BI25" s="75">
        <v>19622</v>
      </c>
      <c r="BJ25" s="75">
        <f>IF(BI25&gt;0,SUM(BI$7:BI25)-SUM(BH$7:BH25),0)</f>
        <v>20061</v>
      </c>
      <c r="BK25" s="45">
        <f t="shared" si="26"/>
        <v>1.2112345679012346</v>
      </c>
      <c r="BL25" s="75">
        <v>7000</v>
      </c>
      <c r="BM25" s="75">
        <v>6775</v>
      </c>
      <c r="BN25" s="90">
        <f>IF(BM25&gt;0,SUM(BM$7:BM25)-SUM(BL$7:BL25),0)</f>
        <v>2014</v>
      </c>
      <c r="BO25" s="45">
        <f t="shared" si="27"/>
        <v>0.96785714285714286</v>
      </c>
      <c r="BP25" s="75">
        <v>10000</v>
      </c>
      <c r="BQ25" s="75">
        <v>3288</v>
      </c>
      <c r="BR25" s="90">
        <f>IF(BQ25&gt;0,SUM(BQ$7:BQ25)-SUM(BP$7:BP25),0)</f>
        <v>-45593</v>
      </c>
      <c r="BS25" s="45">
        <f t="shared" si="32"/>
        <v>0.32879999999999998</v>
      </c>
      <c r="BT25" s="35">
        <f t="shared" si="5"/>
        <v>33200</v>
      </c>
      <c r="BU25" s="35">
        <f t="shared" si="5"/>
        <v>29685</v>
      </c>
      <c r="BV25" s="91">
        <f>IF(BU25&gt;0,SUM(BU$7:BU25)-SUM(BT$7:BT25),0)</f>
        <v>-23518</v>
      </c>
      <c r="BW25" s="45">
        <f t="shared" si="28"/>
        <v>0.89412650602409638</v>
      </c>
      <c r="BY25" s="47">
        <f t="shared" si="29"/>
        <v>40835</v>
      </c>
      <c r="BZ25" s="54" t="str">
        <f t="shared" si="12"/>
        <v>qui</v>
      </c>
      <c r="CA25" s="75">
        <v>2550</v>
      </c>
      <c r="CB25" s="75">
        <v>528</v>
      </c>
      <c r="CC25" s="90">
        <f>IF(CB25&gt;0,SUM(CB$7:CB25)-SUM(CA$7:CA25),0)</f>
        <v>-15976</v>
      </c>
      <c r="CD25" s="45">
        <f t="shared" si="30"/>
        <v>0.20705882352941177</v>
      </c>
    </row>
    <row r="26" spans="1:82" x14ac:dyDescent="0.25">
      <c r="A26" s="47">
        <f t="shared" si="13"/>
        <v>40836</v>
      </c>
      <c r="B26" s="54" t="s">
        <v>24</v>
      </c>
      <c r="C26" s="75">
        <v>12000</v>
      </c>
      <c r="D26" s="75">
        <v>8776</v>
      </c>
      <c r="E26" s="90">
        <f>IF(D26&gt;0,SUM(D$7:D26)-SUM(C$7:C26),0)</f>
        <v>-42672</v>
      </c>
      <c r="F26" s="45">
        <f t="shared" si="14"/>
        <v>0.73133333333333328</v>
      </c>
      <c r="G26" s="75">
        <v>12000</v>
      </c>
      <c r="H26" s="75">
        <v>5770</v>
      </c>
      <c r="I26" s="75">
        <f>IF(H26&gt;0,SUM(H$7:H26)-SUM(G$7:G26),0)</f>
        <v>-61557</v>
      </c>
      <c r="J26" s="45">
        <f t="shared" si="33"/>
        <v>0.48083333333333333</v>
      </c>
      <c r="K26" s="75">
        <v>12000</v>
      </c>
      <c r="L26" s="75">
        <v>5832</v>
      </c>
      <c r="M26" s="90">
        <f>IF(L26&gt;0,SUM(L$7:L26)-SUM(K$7:K26),0)</f>
        <v>-31053</v>
      </c>
      <c r="N26" s="45">
        <f t="shared" si="35"/>
        <v>0.48599999999999999</v>
      </c>
      <c r="O26" s="35">
        <f t="shared" si="34"/>
        <v>36000</v>
      </c>
      <c r="P26" s="35">
        <f t="shared" si="6"/>
        <v>20378</v>
      </c>
      <c r="Q26" s="91">
        <f>IF(P26&gt;0,SUM(P$7:P26)-SUM(O$7:O26),0)</f>
        <v>-135282</v>
      </c>
      <c r="R26" s="45">
        <f t="shared" si="15"/>
        <v>0.56605555555555553</v>
      </c>
      <c r="T26" s="47">
        <f t="shared" si="16"/>
        <v>40836</v>
      </c>
      <c r="U26" s="54" t="str">
        <f t="shared" si="7"/>
        <v>sex</v>
      </c>
      <c r="V26" s="75">
        <v>11000</v>
      </c>
      <c r="W26" s="75">
        <v>11700</v>
      </c>
      <c r="X26" s="92">
        <f>IF(W26&gt;0,SUM(W$7:W26)-SUM(V$7:V26),0)</f>
        <v>17068</v>
      </c>
      <c r="Y26" s="60">
        <f t="shared" si="17"/>
        <v>1.0636363636363637</v>
      </c>
      <c r="Z26" s="75">
        <v>11000</v>
      </c>
      <c r="AA26" s="75">
        <v>9865</v>
      </c>
      <c r="AB26" s="92">
        <f>IF(AA26&gt;0,SUM(AA$7:AA26)-SUM(Z$7:Z26),0)</f>
        <v>-2731</v>
      </c>
      <c r="AC26" s="60">
        <f t="shared" si="18"/>
        <v>0.89681818181818185</v>
      </c>
      <c r="AD26" s="75">
        <v>11000</v>
      </c>
      <c r="AE26" s="75">
        <v>9934</v>
      </c>
      <c r="AF26" s="92">
        <f>IF(AE26&gt;0,SUM(AE$7:AE26)-SUM(AD$7:AD26),0)</f>
        <v>-10104</v>
      </c>
      <c r="AG26" s="60">
        <f t="shared" si="19"/>
        <v>0.90309090909090906</v>
      </c>
      <c r="AH26" s="41">
        <f t="shared" si="3"/>
        <v>33000</v>
      </c>
      <c r="AI26" s="41">
        <f t="shared" si="8"/>
        <v>31499</v>
      </c>
      <c r="AJ26" s="93">
        <f>IF(AI26&gt;0,SUM(AI$7:AI26)-SUM(AH$7:AH26),0)</f>
        <v>4233</v>
      </c>
      <c r="AK26" s="60">
        <f t="shared" si="20"/>
        <v>0.95451515151515154</v>
      </c>
      <c r="AM26" s="47">
        <f t="shared" si="21"/>
        <v>40836</v>
      </c>
      <c r="AN26" s="54" t="str">
        <f t="shared" si="9"/>
        <v>sex</v>
      </c>
      <c r="AO26" s="75">
        <v>8055</v>
      </c>
      <c r="AP26" s="75">
        <v>9548</v>
      </c>
      <c r="AQ26" s="75">
        <f>IF(AP26&gt;0,SUM(AP$7:AP26)-SUM(AO$7:AO26),0)</f>
        <v>30995</v>
      </c>
      <c r="AR26" s="45">
        <f t="shared" si="22"/>
        <v>1.185350713842334</v>
      </c>
      <c r="AS26" s="75">
        <v>8055</v>
      </c>
      <c r="AT26" s="75">
        <v>9649</v>
      </c>
      <c r="AU26" s="90">
        <f>IF(AT26&gt;0,SUM(AT$7:AT26)-SUM(AS$7:AS26),0)</f>
        <v>-321</v>
      </c>
      <c r="AV26" s="45">
        <f t="shared" si="23"/>
        <v>1.1978895096213531</v>
      </c>
      <c r="AW26" s="75">
        <v>8055</v>
      </c>
      <c r="AX26" s="75">
        <v>6482</v>
      </c>
      <c r="AY26" s="90">
        <f>IF(AX26&gt;0,SUM(AX$7:AX26)-SUM(AW$7:AW26),0)</f>
        <v>-33941</v>
      </c>
      <c r="AZ26" s="45">
        <f t="shared" si="31"/>
        <v>0.80471756672873995</v>
      </c>
      <c r="BA26" s="35">
        <f t="shared" si="4"/>
        <v>24165</v>
      </c>
      <c r="BB26" s="35">
        <f t="shared" si="10"/>
        <v>25679</v>
      </c>
      <c r="BC26" s="91">
        <f>IF(BB26&gt;0,SUM(BB$7:BB26)-SUM(BA$7:BA26),0)</f>
        <v>-3267</v>
      </c>
      <c r="BD26" s="45">
        <f t="shared" si="24"/>
        <v>1.0626525967308089</v>
      </c>
      <c r="BF26" s="47">
        <f t="shared" si="25"/>
        <v>40836</v>
      </c>
      <c r="BG26" s="54" t="str">
        <f t="shared" si="11"/>
        <v>sex</v>
      </c>
      <c r="BH26" s="75">
        <v>16200</v>
      </c>
      <c r="BI26" s="75">
        <v>20206</v>
      </c>
      <c r="BJ26" s="75">
        <f>IF(BI26&gt;0,SUM(BI$7:BI26)-SUM(BH$7:BH26),0)</f>
        <v>24067</v>
      </c>
      <c r="BK26" s="45">
        <f t="shared" si="26"/>
        <v>1.2472839506172839</v>
      </c>
      <c r="BL26" s="75">
        <v>7000</v>
      </c>
      <c r="BM26" s="75">
        <v>5472</v>
      </c>
      <c r="BN26" s="90">
        <f>IF(BM26&gt;0,SUM(BM$7:BM26)-SUM(BL$7:BL26),0)</f>
        <v>486</v>
      </c>
      <c r="BO26" s="45">
        <f t="shared" si="27"/>
        <v>0.78171428571428569</v>
      </c>
      <c r="BP26" s="75">
        <v>10000</v>
      </c>
      <c r="BQ26" s="75">
        <v>13331</v>
      </c>
      <c r="BR26" s="90">
        <f>IF(BQ26&gt;0,SUM(BQ$7:BQ26)-SUM(BP$7:BP26),0)</f>
        <v>-42262</v>
      </c>
      <c r="BS26" s="45">
        <f t="shared" si="32"/>
        <v>1.3331</v>
      </c>
      <c r="BT26" s="35">
        <f t="shared" si="5"/>
        <v>33200</v>
      </c>
      <c r="BU26" s="35">
        <f t="shared" si="5"/>
        <v>39009</v>
      </c>
      <c r="BV26" s="91">
        <f>IF(BU26&gt;0,SUM(BU$7:BU26)-SUM(BT$7:BT26),0)</f>
        <v>-17709</v>
      </c>
      <c r="BW26" s="45">
        <f t="shared" si="28"/>
        <v>1.1749698795180723</v>
      </c>
      <c r="BY26" s="47">
        <f t="shared" si="29"/>
        <v>40836</v>
      </c>
      <c r="BZ26" s="54" t="str">
        <f t="shared" si="12"/>
        <v>sex</v>
      </c>
      <c r="CA26" s="75">
        <v>2550</v>
      </c>
      <c r="CB26" s="75">
        <v>3678</v>
      </c>
      <c r="CC26" s="90">
        <f>IF(CB26&gt;0,SUM(CB$7:CB26)-SUM(CA$7:CA26),0)</f>
        <v>-14848</v>
      </c>
      <c r="CD26" s="45">
        <f t="shared" si="30"/>
        <v>1.4423529411764706</v>
      </c>
    </row>
    <row r="27" spans="1:82" x14ac:dyDescent="0.25">
      <c r="A27" s="47">
        <f t="shared" si="13"/>
        <v>40837</v>
      </c>
      <c r="B27" s="54" t="s">
        <v>25</v>
      </c>
      <c r="C27" s="75">
        <v>12000</v>
      </c>
      <c r="D27" s="75">
        <v>6426</v>
      </c>
      <c r="E27" s="90">
        <f>IF(D27&gt;0,SUM(D$7:D27)-SUM(C$7:C27),0)</f>
        <v>-48246</v>
      </c>
      <c r="F27" s="45">
        <f t="shared" si="14"/>
        <v>0.53549999999999998</v>
      </c>
      <c r="G27" s="75">
        <v>12000</v>
      </c>
      <c r="H27" s="75">
        <v>9047</v>
      </c>
      <c r="I27" s="75">
        <f>IF(H27&gt;0,SUM(H$7:H27)-SUM(G$7:G27),0)</f>
        <v>-64510</v>
      </c>
      <c r="J27" s="45">
        <f t="shared" si="33"/>
        <v>0.75391666666666668</v>
      </c>
      <c r="K27" s="75">
        <v>12000</v>
      </c>
      <c r="L27" s="75">
        <v>9453</v>
      </c>
      <c r="M27" s="90">
        <f>IF(L27&gt;0,SUM(L$7:L27)-SUM(K$7:K27),0)</f>
        <v>-33600</v>
      </c>
      <c r="N27" s="45">
        <f t="shared" si="35"/>
        <v>0.78774999999999995</v>
      </c>
      <c r="O27" s="35">
        <f t="shared" si="34"/>
        <v>36000</v>
      </c>
      <c r="P27" s="35">
        <f t="shared" si="6"/>
        <v>24926</v>
      </c>
      <c r="Q27" s="91">
        <f>IF(P27&gt;0,SUM(P$7:P27)-SUM(O$7:O27),0)</f>
        <v>-146356</v>
      </c>
      <c r="R27" s="45">
        <f t="shared" si="15"/>
        <v>0.69238888888888894</v>
      </c>
      <c r="T27" s="47">
        <f t="shared" si="16"/>
        <v>40837</v>
      </c>
      <c r="U27" s="54" t="str">
        <f t="shared" si="7"/>
        <v>sáb</v>
      </c>
      <c r="V27" s="75">
        <v>11000</v>
      </c>
      <c r="W27" s="75">
        <v>10640</v>
      </c>
      <c r="X27" s="92">
        <f>IF(W27&gt;0,SUM(W$7:W27)-SUM(V$7:V27),0)</f>
        <v>16708</v>
      </c>
      <c r="Y27" s="60">
        <f t="shared" si="17"/>
        <v>0.96727272727272728</v>
      </c>
      <c r="Z27" s="75">
        <v>11000</v>
      </c>
      <c r="AA27" s="75">
        <v>11365</v>
      </c>
      <c r="AB27" s="92">
        <f>IF(AA27&gt;0,SUM(AA$7:AA27)-SUM(Z$7:Z27),0)</f>
        <v>-2366</v>
      </c>
      <c r="AC27" s="60">
        <f t="shared" si="18"/>
        <v>1.0331818181818182</v>
      </c>
      <c r="AD27" s="75">
        <v>11000</v>
      </c>
      <c r="AE27" s="75">
        <v>9352</v>
      </c>
      <c r="AF27" s="92">
        <f>IF(AE27&gt;0,SUM(AE$7:AE27)-SUM(AD$7:AD27),0)</f>
        <v>-11752</v>
      </c>
      <c r="AG27" s="60">
        <f t="shared" si="19"/>
        <v>0.85018181818181815</v>
      </c>
      <c r="AH27" s="41">
        <f t="shared" si="3"/>
        <v>33000</v>
      </c>
      <c r="AI27" s="41">
        <f t="shared" si="8"/>
        <v>31357</v>
      </c>
      <c r="AJ27" s="93">
        <f>IF(AI27&gt;0,SUM(AI$7:AI27)-SUM(AH$7:AH27),0)</f>
        <v>2590</v>
      </c>
      <c r="AK27" s="60">
        <f t="shared" si="20"/>
        <v>0.95021212121212117</v>
      </c>
      <c r="AM27" s="47">
        <f t="shared" si="21"/>
        <v>40837</v>
      </c>
      <c r="AN27" s="54" t="str">
        <f t="shared" si="9"/>
        <v>sáb</v>
      </c>
      <c r="AO27" s="75">
        <v>8055</v>
      </c>
      <c r="AP27" s="75">
        <v>15290</v>
      </c>
      <c r="AQ27" s="75">
        <f>IF(AP27&gt;0,SUM(AP$7:AP27)-SUM(AO$7:AO27),0)</f>
        <v>38230</v>
      </c>
      <c r="AR27" s="45">
        <f t="shared" si="22"/>
        <v>1.8981998758535072</v>
      </c>
      <c r="AS27" s="75">
        <v>8055</v>
      </c>
      <c r="AT27" s="75">
        <v>7322</v>
      </c>
      <c r="AU27" s="90">
        <f>IF(AT27&gt;0,SUM(AT$7:AT27)-SUM(AS$7:AS27),0)</f>
        <v>-1054</v>
      </c>
      <c r="AV27" s="45">
        <f t="shared" si="23"/>
        <v>0.90900062073246435</v>
      </c>
      <c r="AW27" s="75">
        <v>8055</v>
      </c>
      <c r="AX27" s="75">
        <v>9656</v>
      </c>
      <c r="AY27" s="90">
        <f>IF(AX27&gt;0,SUM(AX$7:AX27)-SUM(AW$7:AW27),0)</f>
        <v>-32340</v>
      </c>
      <c r="AZ27" s="45">
        <f t="shared" si="31"/>
        <v>1.1987585350713843</v>
      </c>
      <c r="BA27" s="35">
        <f t="shared" si="4"/>
        <v>24165</v>
      </c>
      <c r="BB27" s="35">
        <f t="shared" si="10"/>
        <v>32268</v>
      </c>
      <c r="BC27" s="91">
        <f>IF(BB27&gt;0,SUM(BB$7:BB27)-SUM(BA$7:BA27),0)</f>
        <v>4836</v>
      </c>
      <c r="BD27" s="45">
        <f t="shared" si="24"/>
        <v>1.3353196772191185</v>
      </c>
      <c r="BF27" s="47">
        <f t="shared" si="25"/>
        <v>40837</v>
      </c>
      <c r="BG27" s="54" t="str">
        <f t="shared" si="11"/>
        <v>sáb</v>
      </c>
      <c r="BH27" s="75">
        <v>16200</v>
      </c>
      <c r="BI27" s="75">
        <v>25571</v>
      </c>
      <c r="BJ27" s="75">
        <f>IF(BI27&gt;0,SUM(BI$7:BI27)-SUM(BH$7:BH27),0)</f>
        <v>33438</v>
      </c>
      <c r="BK27" s="45">
        <f t="shared" si="26"/>
        <v>1.5784567901234567</v>
      </c>
      <c r="BL27" s="75">
        <v>7000</v>
      </c>
      <c r="BM27" s="75">
        <v>6701</v>
      </c>
      <c r="BN27" s="90">
        <f>IF(BM27&gt;0,SUM(BM$7:BM27)-SUM(BL$7:BL27),0)</f>
        <v>187</v>
      </c>
      <c r="BO27" s="45">
        <f t="shared" si="27"/>
        <v>0.9572857142857143</v>
      </c>
      <c r="BP27" s="75">
        <v>10000</v>
      </c>
      <c r="BQ27" s="75">
        <v>15398</v>
      </c>
      <c r="BR27" s="90">
        <f>IF(BQ27&gt;0,SUM(BQ$7:BQ27)-SUM(BP$7:BP27),0)</f>
        <v>-36864</v>
      </c>
      <c r="BS27" s="45">
        <f t="shared" si="32"/>
        <v>1.5398000000000001</v>
      </c>
      <c r="BT27" s="35">
        <f t="shared" si="5"/>
        <v>33200</v>
      </c>
      <c r="BU27" s="35">
        <f t="shared" si="5"/>
        <v>47670</v>
      </c>
      <c r="BV27" s="91">
        <f>IF(BU27&gt;0,SUM(BU$7:BU27)-SUM(BT$7:BT27),0)</f>
        <v>-3239</v>
      </c>
      <c r="BW27" s="45">
        <f t="shared" si="28"/>
        <v>1.4358433734939759</v>
      </c>
      <c r="BY27" s="47">
        <f t="shared" si="29"/>
        <v>40837</v>
      </c>
      <c r="BZ27" s="54" t="str">
        <f t="shared" si="12"/>
        <v>sáb</v>
      </c>
      <c r="CA27" s="75">
        <v>2550</v>
      </c>
      <c r="CB27" s="75">
        <v>4140</v>
      </c>
      <c r="CC27" s="90">
        <f>IF(CB27&gt;0,SUM(CB$7:CB27)-SUM(CA$7:CA27),0)</f>
        <v>-13258</v>
      </c>
      <c r="CD27" s="45">
        <f t="shared" si="30"/>
        <v>1.6235294117647059</v>
      </c>
    </row>
    <row r="28" spans="1:82" x14ac:dyDescent="0.25">
      <c r="A28" s="47">
        <f t="shared" si="13"/>
        <v>40838</v>
      </c>
      <c r="B28" s="54" t="s">
        <v>26</v>
      </c>
      <c r="C28" s="75"/>
      <c r="D28" s="75"/>
      <c r="E28" s="90">
        <f>IF(D28&gt;0,SUM(D$7:D28)-SUM(C$7:C28),0)</f>
        <v>0</v>
      </c>
      <c r="F28" s="45">
        <f t="shared" si="14"/>
        <v>0</v>
      </c>
      <c r="G28" s="75"/>
      <c r="H28" s="75"/>
      <c r="I28" s="75">
        <f>IF(H28&gt;0,SUM(H$7:H28)-SUM(G$7:G28),0)</f>
        <v>0</v>
      </c>
      <c r="J28" s="45">
        <f t="shared" si="33"/>
        <v>0</v>
      </c>
      <c r="K28" s="75"/>
      <c r="L28" s="75"/>
      <c r="M28" s="90">
        <f>IF(L28&gt;0,SUM(L$7:L28)-SUM(K$7:K28),0)</f>
        <v>0</v>
      </c>
      <c r="N28" s="45" t="s">
        <v>46</v>
      </c>
      <c r="O28" s="35">
        <f t="shared" si="34"/>
        <v>0</v>
      </c>
      <c r="P28" s="35">
        <f t="shared" si="6"/>
        <v>0</v>
      </c>
      <c r="Q28" s="91">
        <f>IF(P28&gt;0,SUM(P$7:P28)-SUM(O$7:O28),0)</f>
        <v>0</v>
      </c>
      <c r="R28" s="45">
        <f t="shared" si="15"/>
        <v>0</v>
      </c>
      <c r="T28" s="47">
        <f t="shared" si="16"/>
        <v>40838</v>
      </c>
      <c r="U28" s="54" t="str">
        <f t="shared" si="7"/>
        <v>dom</v>
      </c>
      <c r="V28" s="75"/>
      <c r="W28" s="75"/>
      <c r="X28" s="92">
        <f>IF(W28&gt;0,SUM(W$7:W28)-SUM(V$7:V28),0)</f>
        <v>0</v>
      </c>
      <c r="Y28" s="60">
        <f t="shared" si="17"/>
        <v>0</v>
      </c>
      <c r="Z28" s="75"/>
      <c r="AA28" s="75"/>
      <c r="AB28" s="92">
        <f>IF(AA28&gt;0,SUM(AA$7:AA28)-SUM(Z$7:Z28),0)</f>
        <v>0</v>
      </c>
      <c r="AC28" s="60">
        <f t="shared" si="18"/>
        <v>0</v>
      </c>
      <c r="AD28" s="75"/>
      <c r="AE28" s="75"/>
      <c r="AF28" s="92">
        <f>IF(AE28&gt;0,SUM(AE$7:AE28)-SUM(AD$7:AD28),0)</f>
        <v>0</v>
      </c>
      <c r="AG28" s="60">
        <f t="shared" si="19"/>
        <v>0</v>
      </c>
      <c r="AH28" s="41">
        <f t="shared" si="3"/>
        <v>0</v>
      </c>
      <c r="AI28" s="41">
        <f t="shared" si="8"/>
        <v>0</v>
      </c>
      <c r="AJ28" s="93">
        <f>IF(AI28&gt;0,SUM(AI$7:AI28)-SUM(AH$7:AH28),0)</f>
        <v>0</v>
      </c>
      <c r="AK28" s="60">
        <f t="shared" si="20"/>
        <v>0</v>
      </c>
      <c r="AM28" s="47">
        <f t="shared" si="21"/>
        <v>40838</v>
      </c>
      <c r="AN28" s="54" t="str">
        <f t="shared" si="9"/>
        <v>dom</v>
      </c>
      <c r="AO28" s="75"/>
      <c r="AP28" s="75"/>
      <c r="AQ28" s="75">
        <f>IF(AP28&gt;0,SUM(AP$7:AP28)-SUM(AO$7:AO28),0)</f>
        <v>0</v>
      </c>
      <c r="AR28" s="45">
        <f t="shared" si="22"/>
        <v>0</v>
      </c>
      <c r="AS28" s="75"/>
      <c r="AT28" s="75"/>
      <c r="AU28" s="90">
        <f>IF(AT28&gt;0,SUM(AT$7:AT28)-SUM(AS$7:AS28),0)</f>
        <v>0</v>
      </c>
      <c r="AV28" s="45">
        <f t="shared" si="23"/>
        <v>0</v>
      </c>
      <c r="AW28" s="75"/>
      <c r="AX28" s="75"/>
      <c r="AY28" s="90">
        <f>IF(AX28&gt;0,SUM(AX$7:AX28)-SUM(AW$7:AW28),0)</f>
        <v>0</v>
      </c>
      <c r="AZ28" s="45">
        <f t="shared" si="31"/>
        <v>0</v>
      </c>
      <c r="BA28" s="35">
        <f t="shared" si="4"/>
        <v>0</v>
      </c>
      <c r="BB28" s="35">
        <f t="shared" si="10"/>
        <v>0</v>
      </c>
      <c r="BC28" s="91">
        <f>IF(BB28&gt;0,SUM(BB$7:BB28)-SUM(BA$7:BA28),0)</f>
        <v>0</v>
      </c>
      <c r="BD28" s="45">
        <f t="shared" si="24"/>
        <v>0</v>
      </c>
      <c r="BF28" s="47">
        <f t="shared" si="25"/>
        <v>40838</v>
      </c>
      <c r="BG28" s="54" t="str">
        <f t="shared" si="11"/>
        <v>dom</v>
      </c>
      <c r="BH28" s="75"/>
      <c r="BI28" s="75"/>
      <c r="BJ28" s="75">
        <f>IF(BI28&gt;0,SUM(BI$7:BI28)-SUM(BH$7:BH28),0)</f>
        <v>0</v>
      </c>
      <c r="BK28" s="45">
        <f t="shared" si="26"/>
        <v>0</v>
      </c>
      <c r="BL28" s="75"/>
      <c r="BM28" s="75"/>
      <c r="BN28" s="90">
        <f>IF(BM28&gt;0,SUM(BM$7:BM28)-SUM(BL$7:BL28),0)</f>
        <v>0</v>
      </c>
      <c r="BO28" s="45">
        <f t="shared" si="27"/>
        <v>0</v>
      </c>
      <c r="BP28" s="75"/>
      <c r="BQ28" s="75"/>
      <c r="BR28" s="90">
        <f>IF(BQ28&gt;0,SUM(BQ$7:BQ28)-SUM(BP$7:BP28),0)</f>
        <v>0</v>
      </c>
      <c r="BS28" s="45">
        <f t="shared" si="32"/>
        <v>0</v>
      </c>
      <c r="BT28" s="35">
        <f t="shared" si="5"/>
        <v>0</v>
      </c>
      <c r="BU28" s="35">
        <f t="shared" si="5"/>
        <v>0</v>
      </c>
      <c r="BV28" s="91">
        <f>IF(BU28&gt;0,SUM(BU$7:BU28)-SUM(BT$7:BT28),0)</f>
        <v>0</v>
      </c>
      <c r="BW28" s="45">
        <f t="shared" si="28"/>
        <v>0</v>
      </c>
      <c r="BY28" s="47">
        <f t="shared" si="29"/>
        <v>40838</v>
      </c>
      <c r="BZ28" s="54" t="str">
        <f t="shared" si="12"/>
        <v>dom</v>
      </c>
      <c r="CA28" s="75"/>
      <c r="CB28" s="75"/>
      <c r="CC28" s="90">
        <f>IF(CB28&gt;0,SUM(CB$7:CB28)-SUM(CA$7:CA28),0)</f>
        <v>0</v>
      </c>
      <c r="CD28" s="45">
        <f t="shared" si="30"/>
        <v>0</v>
      </c>
    </row>
    <row r="29" spans="1:82" x14ac:dyDescent="0.25">
      <c r="A29" s="47">
        <f t="shared" si="13"/>
        <v>40839</v>
      </c>
      <c r="B29" s="54" t="s">
        <v>27</v>
      </c>
      <c r="C29" s="75">
        <v>12000</v>
      </c>
      <c r="D29" s="75">
        <v>9662</v>
      </c>
      <c r="E29" s="90">
        <f>IF(D29&gt;0,SUM(D$7:D29)-SUM(C$7:C29),0)</f>
        <v>-50584</v>
      </c>
      <c r="F29" s="45">
        <f t="shared" si="14"/>
        <v>0.8051666666666667</v>
      </c>
      <c r="G29" s="75">
        <v>12000</v>
      </c>
      <c r="H29" s="75">
        <v>7500</v>
      </c>
      <c r="I29" s="75">
        <f>IF(H29&gt;0,SUM(H$7:H29)-SUM(G$7:G29),0)</f>
        <v>-69010</v>
      </c>
      <c r="J29" s="45">
        <f t="shared" si="33"/>
        <v>0.625</v>
      </c>
      <c r="K29" s="75">
        <v>12000</v>
      </c>
      <c r="L29" s="75">
        <v>9701</v>
      </c>
      <c r="M29" s="90">
        <f>IF(L29&gt;0,SUM(L$7:L29)-SUM(K$7:K29),0)</f>
        <v>-35899</v>
      </c>
      <c r="N29" s="45">
        <f t="shared" si="35"/>
        <v>0.80841666666666667</v>
      </c>
      <c r="O29" s="35">
        <f t="shared" si="34"/>
        <v>36000</v>
      </c>
      <c r="P29" s="35">
        <f t="shared" si="6"/>
        <v>26863</v>
      </c>
      <c r="Q29" s="91">
        <f>IF(P29&gt;0,SUM(P$7:P29)-SUM(O$7:O29),0)</f>
        <v>-155493</v>
      </c>
      <c r="R29" s="45">
        <f t="shared" si="15"/>
        <v>0.74619444444444449</v>
      </c>
      <c r="T29" s="47">
        <f t="shared" si="16"/>
        <v>40839</v>
      </c>
      <c r="U29" s="54" t="str">
        <f t="shared" si="7"/>
        <v>seg</v>
      </c>
      <c r="V29" s="75">
        <v>11000</v>
      </c>
      <c r="W29" s="75">
        <v>4848</v>
      </c>
      <c r="X29" s="92">
        <f>IF(W29&gt;0,SUM(W$7:W29)-SUM(V$7:V29),0)</f>
        <v>10556</v>
      </c>
      <c r="Y29" s="60">
        <f t="shared" si="17"/>
        <v>0.44072727272727275</v>
      </c>
      <c r="Z29" s="75">
        <v>11000</v>
      </c>
      <c r="AA29" s="75">
        <v>10260</v>
      </c>
      <c r="AB29" s="92">
        <f>IF(AA29&gt;0,SUM(AA$7:AA29)-SUM(Z$7:Z29),0)</f>
        <v>-3106</v>
      </c>
      <c r="AC29" s="60">
        <f t="shared" si="18"/>
        <v>0.93272727272727274</v>
      </c>
      <c r="AD29" s="75">
        <v>11000</v>
      </c>
      <c r="AE29" s="75">
        <v>7719</v>
      </c>
      <c r="AF29" s="92">
        <f>IF(AE29&gt;0,SUM(AE$7:AE29)-SUM(AD$7:AD29),0)</f>
        <v>-15033</v>
      </c>
      <c r="AG29" s="60">
        <f t="shared" si="19"/>
        <v>0.70172727272727276</v>
      </c>
      <c r="AH29" s="41">
        <f t="shared" si="3"/>
        <v>33000</v>
      </c>
      <c r="AI29" s="41">
        <f t="shared" si="8"/>
        <v>22827</v>
      </c>
      <c r="AJ29" s="93">
        <f>IF(AI29&gt;0,SUM(AI$7:AI29)-SUM(AH$7:AH29),0)</f>
        <v>-7583</v>
      </c>
      <c r="AK29" s="60">
        <f t="shared" si="20"/>
        <v>0.69172727272727275</v>
      </c>
      <c r="AM29" s="47">
        <f t="shared" si="21"/>
        <v>40839</v>
      </c>
      <c r="AN29" s="54" t="str">
        <f t="shared" si="9"/>
        <v>seg</v>
      </c>
      <c r="AO29" s="75">
        <v>8055</v>
      </c>
      <c r="AP29" s="75">
        <v>8384</v>
      </c>
      <c r="AQ29" s="75">
        <f>IF(AP29&gt;0,SUM(AP$7:AP29)-SUM(AO$7:AO29),0)</f>
        <v>38559</v>
      </c>
      <c r="AR29" s="45">
        <f t="shared" si="22"/>
        <v>1.0408441961514587</v>
      </c>
      <c r="AS29" s="75">
        <v>8055</v>
      </c>
      <c r="AT29" s="75">
        <v>8216</v>
      </c>
      <c r="AU29" s="90">
        <f>IF(AT29&gt;0,SUM(AT$7:AT29)-SUM(AS$7:AS29),0)</f>
        <v>-893</v>
      </c>
      <c r="AV29" s="45">
        <f t="shared" si="23"/>
        <v>1.0199875853507139</v>
      </c>
      <c r="AW29" s="75">
        <v>8055</v>
      </c>
      <c r="AX29" s="75">
        <v>5998</v>
      </c>
      <c r="AY29" s="90">
        <f>IF(AX29&gt;0,SUM(AX$7:AX29)-SUM(AW$7:AW29),0)</f>
        <v>-34397</v>
      </c>
      <c r="AZ29" s="45">
        <f t="shared" si="31"/>
        <v>0.7446306641837368</v>
      </c>
      <c r="BA29" s="35">
        <f t="shared" si="4"/>
        <v>24165</v>
      </c>
      <c r="BB29" s="35">
        <f t="shared" si="10"/>
        <v>22598</v>
      </c>
      <c r="BC29" s="91">
        <f>IF(BB29&gt;0,SUM(BB$7:BB29)-SUM(BA$7:BA29),0)</f>
        <v>3269</v>
      </c>
      <c r="BD29" s="45">
        <f t="shared" si="24"/>
        <v>0.93515414856196977</v>
      </c>
      <c r="BF29" s="47">
        <f t="shared" si="25"/>
        <v>40839</v>
      </c>
      <c r="BG29" s="54" t="str">
        <f t="shared" si="11"/>
        <v>seg</v>
      </c>
      <c r="BH29" s="75">
        <v>16200</v>
      </c>
      <c r="BI29" s="75">
        <v>17418</v>
      </c>
      <c r="BJ29" s="75">
        <f>IF(BI29&gt;0,SUM(BI$7:BI29)-SUM(BH$7:BH29),0)</f>
        <v>34656</v>
      </c>
      <c r="BK29" s="45">
        <f t="shared" si="26"/>
        <v>1.0751851851851852</v>
      </c>
      <c r="BL29" s="75">
        <v>7000</v>
      </c>
      <c r="BM29" s="75">
        <v>5178</v>
      </c>
      <c r="BN29" s="90">
        <f>IF(BM29&gt;0,SUM(BM$7:BM29)-SUM(BL$7:BL29),0)</f>
        <v>-1635</v>
      </c>
      <c r="BO29" s="45">
        <f t="shared" si="27"/>
        <v>0.73971428571428577</v>
      </c>
      <c r="BP29" s="75">
        <v>10000</v>
      </c>
      <c r="BQ29" s="75">
        <v>6096</v>
      </c>
      <c r="BR29" s="90">
        <f>IF(BQ29&gt;0,SUM(BQ$7:BQ29)-SUM(BP$7:BP29),0)</f>
        <v>-40768</v>
      </c>
      <c r="BS29" s="45">
        <f t="shared" si="32"/>
        <v>0.60960000000000003</v>
      </c>
      <c r="BT29" s="35">
        <f t="shared" si="5"/>
        <v>33200</v>
      </c>
      <c r="BU29" s="35">
        <f t="shared" si="5"/>
        <v>28692</v>
      </c>
      <c r="BV29" s="91">
        <f>IF(BU29&gt;0,SUM(BU$7:BU29)-SUM(BT$7:BT29),0)</f>
        <v>-7747</v>
      </c>
      <c r="BW29" s="45">
        <f t="shared" si="28"/>
        <v>0.86421686746987947</v>
      </c>
      <c r="BY29" s="47">
        <f t="shared" si="29"/>
        <v>40839</v>
      </c>
      <c r="BZ29" s="54" t="str">
        <f t="shared" si="12"/>
        <v>seg</v>
      </c>
      <c r="CA29" s="75">
        <v>2550</v>
      </c>
      <c r="CB29" s="75">
        <v>4410</v>
      </c>
      <c r="CC29" s="90">
        <f>IF(CB29&gt;0,SUM(CB$7:CB29)-SUM(CA$7:CA29),0)</f>
        <v>-11398</v>
      </c>
      <c r="CD29" s="45">
        <f t="shared" si="30"/>
        <v>1.7294117647058824</v>
      </c>
    </row>
    <row r="30" spans="1:82" x14ac:dyDescent="0.25">
      <c r="A30" s="47">
        <f t="shared" si="13"/>
        <v>40840</v>
      </c>
      <c r="B30" s="54" t="s">
        <v>28</v>
      </c>
      <c r="C30" s="75">
        <v>12000</v>
      </c>
      <c r="D30" s="75">
        <v>7374</v>
      </c>
      <c r="E30" s="90">
        <f>IF(D30&gt;0,SUM(D$7:D30)-SUM(C$7:C30),0)</f>
        <v>-55210</v>
      </c>
      <c r="F30" s="45">
        <f t="shared" si="14"/>
        <v>0.61450000000000005</v>
      </c>
      <c r="G30" s="75">
        <v>12000</v>
      </c>
      <c r="H30" s="75">
        <v>10520</v>
      </c>
      <c r="I30" s="75">
        <f>IF(H30&gt;0,SUM(H$7:H30)-SUM(G$7:G30),0)</f>
        <v>-70490</v>
      </c>
      <c r="J30" s="45">
        <f t="shared" si="33"/>
        <v>0.87666666666666671</v>
      </c>
      <c r="K30" s="75">
        <v>12000</v>
      </c>
      <c r="L30" s="75">
        <v>11106</v>
      </c>
      <c r="M30" s="90">
        <f>IF(L30&gt;0,SUM(L$7:L30)-SUM(K$7:K30),0)</f>
        <v>-36793</v>
      </c>
      <c r="N30" s="45">
        <f t="shared" si="35"/>
        <v>0.92549999999999999</v>
      </c>
      <c r="O30" s="35">
        <f t="shared" si="34"/>
        <v>36000</v>
      </c>
      <c r="P30" s="35">
        <f t="shared" si="6"/>
        <v>29000</v>
      </c>
      <c r="Q30" s="91">
        <f>IF(P30&gt;0,SUM(P$7:P30)-SUM(O$7:O30),0)</f>
        <v>-162493</v>
      </c>
      <c r="R30" s="45">
        <f t="shared" si="15"/>
        <v>0.80555555555555558</v>
      </c>
      <c r="T30" s="47">
        <f t="shared" si="16"/>
        <v>40840</v>
      </c>
      <c r="U30" s="54" t="str">
        <f t="shared" si="7"/>
        <v>ter</v>
      </c>
      <c r="V30" s="75">
        <v>11000</v>
      </c>
      <c r="W30" s="75">
        <v>9492</v>
      </c>
      <c r="X30" s="92">
        <f>IF(W30&gt;0,SUM(W$7:W30)-SUM(V$7:V30),0)</f>
        <v>9048</v>
      </c>
      <c r="Y30" s="60">
        <f t="shared" si="17"/>
        <v>0.86290909090909096</v>
      </c>
      <c r="Z30" s="75">
        <v>11000</v>
      </c>
      <c r="AA30" s="75">
        <v>9655</v>
      </c>
      <c r="AB30" s="92">
        <f>IF(AA30&gt;0,SUM(AA$7:AA30)-SUM(Z$7:Z30),0)</f>
        <v>-4451</v>
      </c>
      <c r="AC30" s="60">
        <f t="shared" si="18"/>
        <v>0.87772727272727269</v>
      </c>
      <c r="AD30" s="75">
        <v>11000</v>
      </c>
      <c r="AE30" s="75">
        <v>9695</v>
      </c>
      <c r="AF30" s="92">
        <f>IF(AE30&gt;0,SUM(AE$7:AE30)-SUM(AD$7:AD30),0)</f>
        <v>-16338</v>
      </c>
      <c r="AG30" s="60">
        <f t="shared" si="19"/>
        <v>0.88136363636363635</v>
      </c>
      <c r="AH30" s="41">
        <f t="shared" si="3"/>
        <v>33000</v>
      </c>
      <c r="AI30" s="41">
        <f t="shared" si="8"/>
        <v>28842</v>
      </c>
      <c r="AJ30" s="93">
        <f>IF(AI30&gt;0,SUM(AI$7:AI30)-SUM(AH$7:AH30),0)</f>
        <v>-11741</v>
      </c>
      <c r="AK30" s="60">
        <f t="shared" si="20"/>
        <v>0.874</v>
      </c>
      <c r="AM30" s="47">
        <f t="shared" si="21"/>
        <v>40840</v>
      </c>
      <c r="AN30" s="54" t="str">
        <f t="shared" si="9"/>
        <v>ter</v>
      </c>
      <c r="AO30" s="75">
        <v>8055</v>
      </c>
      <c r="AP30" s="75">
        <v>9390</v>
      </c>
      <c r="AQ30" s="75">
        <f>IF(AP30&gt;0,SUM(AP$7:AP30)-SUM(AO$7:AO30),0)</f>
        <v>39894</v>
      </c>
      <c r="AR30" s="45">
        <f t="shared" si="22"/>
        <v>1.1657355679702048</v>
      </c>
      <c r="AS30" s="75">
        <v>8055</v>
      </c>
      <c r="AT30" s="75">
        <v>6757</v>
      </c>
      <c r="AU30" s="90">
        <f>IF(AT30&gt;0,SUM(AT$7:AT30)-SUM(AS$7:AS30),0)</f>
        <v>-2191</v>
      </c>
      <c r="AV30" s="45">
        <f t="shared" si="23"/>
        <v>0.83885785226567344</v>
      </c>
      <c r="AW30" s="75">
        <v>8055</v>
      </c>
      <c r="AX30" s="75">
        <v>4307</v>
      </c>
      <c r="AY30" s="90">
        <f>IF(AX30&gt;0,SUM(AX$7:AX30)-SUM(AW$7:AW30),0)</f>
        <v>-38145</v>
      </c>
      <c r="AZ30" s="45">
        <f t="shared" si="31"/>
        <v>0.53469894475481072</v>
      </c>
      <c r="BA30" s="35">
        <f t="shared" si="4"/>
        <v>24165</v>
      </c>
      <c r="BB30" s="35">
        <f t="shared" si="10"/>
        <v>20454</v>
      </c>
      <c r="BC30" s="91">
        <f>IF(BB30&gt;0,SUM(BB$7:BB30)-SUM(BA$7:BA30),0)</f>
        <v>-442</v>
      </c>
      <c r="BD30" s="45">
        <f t="shared" si="24"/>
        <v>0.84643078833022967</v>
      </c>
      <c r="BF30" s="47">
        <f t="shared" si="25"/>
        <v>40840</v>
      </c>
      <c r="BG30" s="54" t="str">
        <f t="shared" si="11"/>
        <v>ter</v>
      </c>
      <c r="BH30" s="75">
        <v>16200</v>
      </c>
      <c r="BI30" s="75">
        <v>12094</v>
      </c>
      <c r="BJ30" s="75">
        <f>IF(BI30&gt;0,SUM(BI$7:BI30)-SUM(BH$7:BH30),0)</f>
        <v>30550</v>
      </c>
      <c r="BK30" s="45">
        <f t="shared" si="26"/>
        <v>0.74654320987654321</v>
      </c>
      <c r="BL30" s="75">
        <v>7000</v>
      </c>
      <c r="BM30" s="75">
        <v>8358</v>
      </c>
      <c r="BN30" s="90">
        <f>IF(BM30&gt;0,SUM(BM$7:BM30)-SUM(BL$7:BL30),0)</f>
        <v>-277</v>
      </c>
      <c r="BO30" s="45">
        <f t="shared" si="27"/>
        <v>1.194</v>
      </c>
      <c r="BP30" s="75">
        <v>10000</v>
      </c>
      <c r="BQ30" s="75">
        <v>5136</v>
      </c>
      <c r="BR30" s="90">
        <f>IF(BQ30&gt;0,SUM(BQ$7:BQ30)-SUM(BP$7:BP30),0)</f>
        <v>-45632</v>
      </c>
      <c r="BS30" s="45">
        <f t="shared" si="32"/>
        <v>0.51359999999999995</v>
      </c>
      <c r="BT30" s="35">
        <f t="shared" si="5"/>
        <v>33200</v>
      </c>
      <c r="BU30" s="35">
        <f t="shared" si="5"/>
        <v>25588</v>
      </c>
      <c r="BV30" s="91">
        <f>IF(BU30&gt;0,SUM(BU$7:BU30)-SUM(BT$7:BT30),0)</f>
        <v>-15359</v>
      </c>
      <c r="BW30" s="45">
        <f t="shared" si="28"/>
        <v>0.77072289156626506</v>
      </c>
      <c r="BY30" s="47">
        <f t="shared" si="29"/>
        <v>40840</v>
      </c>
      <c r="BZ30" s="54" t="str">
        <f t="shared" si="12"/>
        <v>ter</v>
      </c>
      <c r="CA30" s="75">
        <v>2550</v>
      </c>
      <c r="CB30" s="75">
        <v>4881</v>
      </c>
      <c r="CC30" s="90">
        <f>IF(CB30&gt;0,SUM(CB$7:CB30)-SUM(CA$7:CA30),0)</f>
        <v>-9067</v>
      </c>
      <c r="CD30" s="45">
        <f t="shared" si="30"/>
        <v>1.9141176470588235</v>
      </c>
    </row>
    <row r="31" spans="1:82" x14ac:dyDescent="0.25">
      <c r="A31" s="47">
        <f t="shared" si="13"/>
        <v>40841</v>
      </c>
      <c r="B31" s="54" t="s">
        <v>22</v>
      </c>
      <c r="C31" s="75">
        <v>12000</v>
      </c>
      <c r="D31" s="75">
        <v>7270</v>
      </c>
      <c r="E31" s="90">
        <f>IF(D31&gt;0,SUM(D$7:D31)-SUM(C$7:C31),0)</f>
        <v>-59940</v>
      </c>
      <c r="F31" s="45">
        <f t="shared" si="14"/>
        <v>0.60583333333333333</v>
      </c>
      <c r="G31" s="75">
        <v>12000</v>
      </c>
      <c r="H31" s="75">
        <v>9452</v>
      </c>
      <c r="I31" s="75">
        <f>IF(H31&gt;0,SUM(H$7:H31)-SUM(G$7:G31),0)</f>
        <v>-73038</v>
      </c>
      <c r="J31" s="45">
        <f t="shared" si="33"/>
        <v>0.78766666666666663</v>
      </c>
      <c r="K31" s="75">
        <v>12000</v>
      </c>
      <c r="L31" s="75">
        <v>6788</v>
      </c>
      <c r="M31" s="90">
        <f>IF(L31&gt;0,SUM(L$7:L31)-SUM(K$7:K31),0)</f>
        <v>-42005</v>
      </c>
      <c r="N31" s="45">
        <f t="shared" si="35"/>
        <v>0.56566666666666665</v>
      </c>
      <c r="O31" s="35">
        <f t="shared" si="34"/>
        <v>36000</v>
      </c>
      <c r="P31" s="35">
        <f t="shared" si="6"/>
        <v>23510</v>
      </c>
      <c r="Q31" s="91">
        <f>IF(P31&gt;0,SUM(P$7:P31)-SUM(O$7:O31),0)</f>
        <v>-174983</v>
      </c>
      <c r="R31" s="45">
        <f t="shared" si="15"/>
        <v>0.6530555555555555</v>
      </c>
      <c r="T31" s="47">
        <f t="shared" si="16"/>
        <v>40841</v>
      </c>
      <c r="U31" s="54" t="str">
        <f t="shared" si="7"/>
        <v>qua</v>
      </c>
      <c r="V31" s="75">
        <v>11000</v>
      </c>
      <c r="W31" s="75">
        <v>8242</v>
      </c>
      <c r="X31" s="92">
        <f>IF(W31&gt;0,SUM(W$7:W31)-SUM(V$7:V31),0)</f>
        <v>6290</v>
      </c>
      <c r="Y31" s="60">
        <f t="shared" si="17"/>
        <v>0.74927272727272731</v>
      </c>
      <c r="Z31" s="75">
        <v>11000</v>
      </c>
      <c r="AA31" s="75">
        <v>9640</v>
      </c>
      <c r="AB31" s="92">
        <f>IF(AA31&gt;0,SUM(AA$7:AA31)-SUM(Z$7:Z31),0)</f>
        <v>-5811</v>
      </c>
      <c r="AC31" s="60">
        <f t="shared" si="18"/>
        <v>0.87636363636363634</v>
      </c>
      <c r="AD31" s="75">
        <v>11000</v>
      </c>
      <c r="AE31" s="75">
        <v>7141</v>
      </c>
      <c r="AF31" s="92">
        <f>IF(AE31&gt;0,SUM(AE$7:AE31)-SUM(AD$7:AD31),0)</f>
        <v>-20197</v>
      </c>
      <c r="AG31" s="60">
        <f t="shared" si="19"/>
        <v>0.64918181818181819</v>
      </c>
      <c r="AH31" s="41">
        <f t="shared" si="3"/>
        <v>33000</v>
      </c>
      <c r="AI31" s="41">
        <f t="shared" si="8"/>
        <v>25023</v>
      </c>
      <c r="AJ31" s="93">
        <f>IF(AI31&gt;0,SUM(AI$7:AI31)-SUM(AH$7:AH31),0)</f>
        <v>-19718</v>
      </c>
      <c r="AK31" s="60">
        <f t="shared" si="20"/>
        <v>0.75827272727272732</v>
      </c>
      <c r="AM31" s="47">
        <f t="shared" si="21"/>
        <v>40841</v>
      </c>
      <c r="AN31" s="54" t="str">
        <f t="shared" si="9"/>
        <v>qua</v>
      </c>
      <c r="AO31" s="75">
        <v>8055</v>
      </c>
      <c r="AP31" s="75">
        <v>10437</v>
      </c>
      <c r="AQ31" s="75">
        <f>IF(AP31&gt;0,SUM(AP$7:AP31)-SUM(AO$7:AO31),0)</f>
        <v>42276</v>
      </c>
      <c r="AR31" s="45">
        <f t="shared" si="22"/>
        <v>1.2957169459962756</v>
      </c>
      <c r="AS31" s="75">
        <v>8055</v>
      </c>
      <c r="AT31" s="75">
        <v>9358</v>
      </c>
      <c r="AU31" s="90">
        <f>IF(AT31&gt;0,SUM(AT$7:AT31)-SUM(AS$7:AS31),0)</f>
        <v>-888</v>
      </c>
      <c r="AV31" s="45">
        <f t="shared" si="23"/>
        <v>1.1617628801986344</v>
      </c>
      <c r="AW31" s="75">
        <v>8055</v>
      </c>
      <c r="AX31" s="75">
        <v>6101</v>
      </c>
      <c r="AY31" s="90">
        <f>IF(AX31&gt;0,SUM(AX$7:AX31)-SUM(AW$7:AW31),0)</f>
        <v>-40099</v>
      </c>
      <c r="AZ31" s="45">
        <f t="shared" si="31"/>
        <v>0.75741775294847924</v>
      </c>
      <c r="BA31" s="35">
        <f t="shared" si="4"/>
        <v>24165</v>
      </c>
      <c r="BB31" s="35">
        <f t="shared" si="10"/>
        <v>25896</v>
      </c>
      <c r="BC31" s="91">
        <f>IF(BB31&gt;0,SUM(BB$7:BB31)-SUM(BA$7:BA31),0)</f>
        <v>1289</v>
      </c>
      <c r="BD31" s="45">
        <f t="shared" si="24"/>
        <v>1.0716325263811297</v>
      </c>
      <c r="BF31" s="47">
        <f t="shared" si="25"/>
        <v>40841</v>
      </c>
      <c r="BG31" s="54" t="str">
        <f t="shared" si="11"/>
        <v>qua</v>
      </c>
      <c r="BH31" s="75">
        <v>16200</v>
      </c>
      <c r="BI31" s="75">
        <v>16970</v>
      </c>
      <c r="BJ31" s="75">
        <f>IF(BI31&gt;0,SUM(BI$7:BI31)-SUM(BH$7:BH31),0)</f>
        <v>31320</v>
      </c>
      <c r="BK31" s="45">
        <f t="shared" si="26"/>
        <v>1.0475308641975309</v>
      </c>
      <c r="BL31" s="75">
        <v>7000</v>
      </c>
      <c r="BM31" s="75">
        <v>8925</v>
      </c>
      <c r="BN31" s="90">
        <f>IF(BM31&gt;0,SUM(BM$7:BM31)-SUM(BL$7:BL31),0)</f>
        <v>1648</v>
      </c>
      <c r="BO31" s="45">
        <f t="shared" si="27"/>
        <v>1.2749999999999999</v>
      </c>
      <c r="BP31" s="75">
        <v>10000</v>
      </c>
      <c r="BQ31" s="75">
        <v>5125</v>
      </c>
      <c r="BR31" s="90">
        <f>IF(BQ31&gt;0,SUM(BQ$7:BQ31)-SUM(BP$7:BP31),0)</f>
        <v>-50507</v>
      </c>
      <c r="BS31" s="45">
        <f t="shared" si="32"/>
        <v>0.51249999999999996</v>
      </c>
      <c r="BT31" s="35">
        <f t="shared" si="5"/>
        <v>33200</v>
      </c>
      <c r="BU31" s="35">
        <f t="shared" si="5"/>
        <v>31020</v>
      </c>
      <c r="BV31" s="91">
        <f>IF(BU31&gt;0,SUM(BU$7:BU31)-SUM(BT$7:BT31),0)</f>
        <v>-17539</v>
      </c>
      <c r="BW31" s="45">
        <f t="shared" si="28"/>
        <v>0.93433734939759039</v>
      </c>
      <c r="BY31" s="47">
        <f t="shared" si="29"/>
        <v>40841</v>
      </c>
      <c r="BZ31" s="54" t="str">
        <f t="shared" si="12"/>
        <v>qua</v>
      </c>
      <c r="CA31" s="75">
        <v>2550</v>
      </c>
      <c r="CB31" s="75">
        <v>5472</v>
      </c>
      <c r="CC31" s="90">
        <f>IF(CB31&gt;0,SUM(CB$7:CB31)-SUM(CA$7:CA31),0)</f>
        <v>-6145</v>
      </c>
      <c r="CD31" s="45">
        <f t="shared" si="30"/>
        <v>2.1458823529411766</v>
      </c>
    </row>
    <row r="32" spans="1:82" x14ac:dyDescent="0.25">
      <c r="A32" s="47">
        <f t="shared" si="13"/>
        <v>40842</v>
      </c>
      <c r="B32" s="54" t="s">
        <v>23</v>
      </c>
      <c r="C32" s="75">
        <v>12000</v>
      </c>
      <c r="D32" s="75">
        <v>8998</v>
      </c>
      <c r="E32" s="90">
        <f>IF(D32&gt;0,SUM(D$7:D32)-SUM(C$7:C32),0)</f>
        <v>-62942</v>
      </c>
      <c r="F32" s="45">
        <f t="shared" si="14"/>
        <v>0.74983333333333335</v>
      </c>
      <c r="G32" s="75">
        <v>12000</v>
      </c>
      <c r="H32" s="75">
        <v>10439</v>
      </c>
      <c r="I32" s="75">
        <f>IF(H32&gt;0,SUM(H$7:H32)-SUM(G$7:G32),0)</f>
        <v>-74599</v>
      </c>
      <c r="J32" s="45">
        <f t="shared" si="33"/>
        <v>0.86991666666666667</v>
      </c>
      <c r="K32" s="75">
        <v>12000</v>
      </c>
      <c r="L32" s="75">
        <v>9776</v>
      </c>
      <c r="M32" s="90">
        <f>IF(L32&gt;0,SUM(L$7:L32)-SUM(K$7:K32),0)</f>
        <v>-44229</v>
      </c>
      <c r="N32" s="45">
        <f t="shared" si="35"/>
        <v>0.81466666666666665</v>
      </c>
      <c r="O32" s="35">
        <f t="shared" si="34"/>
        <v>36000</v>
      </c>
      <c r="P32" s="35">
        <f t="shared" si="6"/>
        <v>29213</v>
      </c>
      <c r="Q32" s="91">
        <f>IF(P32&gt;0,SUM(P$7:P32)-SUM(O$7:O32),0)</f>
        <v>-181770</v>
      </c>
      <c r="R32" s="45">
        <f t="shared" si="15"/>
        <v>0.81147222222222226</v>
      </c>
      <c r="T32" s="47">
        <f t="shared" si="16"/>
        <v>40842</v>
      </c>
      <c r="U32" s="54" t="str">
        <f t="shared" si="7"/>
        <v>qui</v>
      </c>
      <c r="V32" s="75">
        <v>11000</v>
      </c>
      <c r="W32" s="75">
        <v>8742</v>
      </c>
      <c r="X32" s="92">
        <f>IF(W32&gt;0,SUM(W$7:W32)-SUM(V$7:V32),0)</f>
        <v>4032</v>
      </c>
      <c r="Y32" s="60">
        <f t="shared" si="17"/>
        <v>0.79472727272727273</v>
      </c>
      <c r="Z32" s="75">
        <v>11000</v>
      </c>
      <c r="AA32" s="75">
        <v>11200</v>
      </c>
      <c r="AB32" s="92">
        <f>IF(AA32&gt;0,SUM(AA$7:AA32)-SUM(Z$7:Z32),0)</f>
        <v>-5611</v>
      </c>
      <c r="AC32" s="60">
        <f t="shared" si="18"/>
        <v>1.0181818181818181</v>
      </c>
      <c r="AD32" s="75">
        <v>11000</v>
      </c>
      <c r="AE32" s="75">
        <v>7154</v>
      </c>
      <c r="AF32" s="92">
        <f>IF(AE32&gt;0,SUM(AE$7:AE32)-SUM(AD$7:AD32),0)</f>
        <v>-24043</v>
      </c>
      <c r="AG32" s="60">
        <f t="shared" si="19"/>
        <v>0.65036363636363637</v>
      </c>
      <c r="AH32" s="41">
        <f t="shared" si="3"/>
        <v>33000</v>
      </c>
      <c r="AI32" s="41">
        <f t="shared" si="8"/>
        <v>27096</v>
      </c>
      <c r="AJ32" s="93">
        <f>IF(AI32&gt;0,SUM(AI$7:AI32)-SUM(AH$7:AH32),0)</f>
        <v>-25622</v>
      </c>
      <c r="AK32" s="60">
        <f t="shared" si="20"/>
        <v>0.82109090909090909</v>
      </c>
      <c r="AM32" s="47">
        <f t="shared" si="21"/>
        <v>40842</v>
      </c>
      <c r="AN32" s="54" t="str">
        <f t="shared" si="9"/>
        <v>qui</v>
      </c>
      <c r="AO32" s="75">
        <v>8055</v>
      </c>
      <c r="AP32" s="75">
        <v>6541</v>
      </c>
      <c r="AQ32" s="75">
        <f>IF(AP32&gt;0,SUM(AP$7:AP32)-SUM(AO$7:AO32),0)</f>
        <v>40762</v>
      </c>
      <c r="AR32" s="45">
        <f t="shared" si="22"/>
        <v>0.81204220980757291</v>
      </c>
      <c r="AS32" s="75">
        <v>8055</v>
      </c>
      <c r="AT32" s="75">
        <v>7755</v>
      </c>
      <c r="AU32" s="90">
        <f>IF(AT32&gt;0,SUM(AT$7:AT32)-SUM(AS$7:AS32),0)</f>
        <v>-1188</v>
      </c>
      <c r="AV32" s="45">
        <f t="shared" si="23"/>
        <v>0.96275605214152704</v>
      </c>
      <c r="AW32" s="75">
        <v>8055</v>
      </c>
      <c r="AX32" s="75">
        <v>6103</v>
      </c>
      <c r="AY32" s="90">
        <f>IF(AX32&gt;0,SUM(AX$7:AX32)-SUM(AW$7:AW32),0)</f>
        <v>-42051</v>
      </c>
      <c r="AZ32" s="45">
        <f t="shared" si="31"/>
        <v>0.75766604593420239</v>
      </c>
      <c r="BA32" s="35">
        <f t="shared" si="4"/>
        <v>24165</v>
      </c>
      <c r="BB32" s="35">
        <f t="shared" si="10"/>
        <v>20399</v>
      </c>
      <c r="BC32" s="91">
        <f>IF(BB32&gt;0,SUM(BB$7:BB32)-SUM(BA$7:BA32),0)</f>
        <v>-2477</v>
      </c>
      <c r="BD32" s="45">
        <f t="shared" si="24"/>
        <v>0.84415476929443412</v>
      </c>
      <c r="BF32" s="47">
        <f t="shared" si="25"/>
        <v>40842</v>
      </c>
      <c r="BG32" s="54" t="str">
        <f t="shared" si="11"/>
        <v>qui</v>
      </c>
      <c r="BH32" s="75">
        <v>16200</v>
      </c>
      <c r="BI32" s="75">
        <v>18694</v>
      </c>
      <c r="BJ32" s="75">
        <f>IF(BI32&gt;0,SUM(BI$7:BI32)-SUM(BH$7:BH32),0)</f>
        <v>33814</v>
      </c>
      <c r="BK32" s="45">
        <f t="shared" si="26"/>
        <v>1.1539506172839507</v>
      </c>
      <c r="BL32" s="75">
        <v>7000</v>
      </c>
      <c r="BM32" s="75">
        <v>2470</v>
      </c>
      <c r="BN32" s="90">
        <f>IF(BM32&gt;0,SUM(BM$7:BM32)-SUM(BL$7:BL32),0)</f>
        <v>-2882</v>
      </c>
      <c r="BO32" s="45">
        <f t="shared" si="27"/>
        <v>0.35285714285714287</v>
      </c>
      <c r="BP32" s="75">
        <v>10000</v>
      </c>
      <c r="BQ32" s="75">
        <v>14015</v>
      </c>
      <c r="BR32" s="90">
        <f>IF(BQ32&gt;0,SUM(BQ$7:BQ32)-SUM(BP$7:BP32),0)</f>
        <v>-46492</v>
      </c>
      <c r="BS32" s="45">
        <f t="shared" si="32"/>
        <v>1.4015</v>
      </c>
      <c r="BT32" s="35">
        <f t="shared" si="5"/>
        <v>33200</v>
      </c>
      <c r="BU32" s="35">
        <f t="shared" si="5"/>
        <v>35179</v>
      </c>
      <c r="BV32" s="91">
        <f>IF(BU32&gt;0,SUM(BU$7:BU32)-SUM(BT$7:BT32),0)</f>
        <v>-15560</v>
      </c>
      <c r="BW32" s="45">
        <f t="shared" si="28"/>
        <v>1.0596084337349398</v>
      </c>
      <c r="BY32" s="47">
        <f t="shared" si="29"/>
        <v>40842</v>
      </c>
      <c r="BZ32" s="54" t="str">
        <f t="shared" si="12"/>
        <v>qui</v>
      </c>
      <c r="CA32" s="75">
        <v>2550</v>
      </c>
      <c r="CB32" s="75">
        <v>5998</v>
      </c>
      <c r="CC32" s="90">
        <f>IF(CB32&gt;0,SUM(CB$7:CB32)-SUM(CA$7:CA32),0)</f>
        <v>-2697</v>
      </c>
      <c r="CD32" s="45">
        <f t="shared" si="30"/>
        <v>2.3521568627450979</v>
      </c>
    </row>
    <row r="33" spans="1:82" x14ac:dyDescent="0.25">
      <c r="A33" s="47">
        <f t="shared" si="13"/>
        <v>40843</v>
      </c>
      <c r="B33" s="54" t="s">
        <v>24</v>
      </c>
      <c r="C33" s="75">
        <v>12000</v>
      </c>
      <c r="D33" s="75">
        <v>6925</v>
      </c>
      <c r="E33" s="90">
        <f>IF(D33&gt;0,SUM(D$7:D33)-SUM(C$7:C33),0)</f>
        <v>-68017</v>
      </c>
      <c r="F33" s="45">
        <f t="shared" si="14"/>
        <v>0.57708333333333328</v>
      </c>
      <c r="G33" s="75">
        <v>12000</v>
      </c>
      <c r="H33" s="75">
        <v>9773</v>
      </c>
      <c r="I33" s="75">
        <f>IF(H33&gt;0,SUM(H$7:H33)-SUM(G$7:G33),0)</f>
        <v>-76826</v>
      </c>
      <c r="J33" s="45">
        <f t="shared" si="33"/>
        <v>0.81441666666666668</v>
      </c>
      <c r="K33" s="75">
        <v>12000</v>
      </c>
      <c r="L33" s="75">
        <v>9216</v>
      </c>
      <c r="M33" s="90">
        <f>IF(L33&gt;0,SUM(L$7:L33)-SUM(K$7:K33),0)</f>
        <v>-47013</v>
      </c>
      <c r="N33" s="45">
        <f t="shared" si="35"/>
        <v>0.76800000000000002</v>
      </c>
      <c r="O33" s="35">
        <f t="shared" si="34"/>
        <v>36000</v>
      </c>
      <c r="P33" s="35">
        <f t="shared" si="6"/>
        <v>25914</v>
      </c>
      <c r="Q33" s="91">
        <f>IF(P33&gt;0,SUM(P$7:P33)-SUM(O$7:O33),0)</f>
        <v>-191856</v>
      </c>
      <c r="R33" s="45">
        <f t="shared" si="15"/>
        <v>0.71983333333333333</v>
      </c>
      <c r="T33" s="47">
        <f t="shared" si="16"/>
        <v>40843</v>
      </c>
      <c r="U33" s="54" t="str">
        <f t="shared" si="7"/>
        <v>sex</v>
      </c>
      <c r="V33" s="75">
        <v>11000</v>
      </c>
      <c r="W33" s="75">
        <v>7700</v>
      </c>
      <c r="X33" s="92">
        <f>IF(W33&gt;0,SUM(W$7:W33)-SUM(V$7:V33),0)</f>
        <v>732</v>
      </c>
      <c r="Y33" s="60">
        <f t="shared" si="17"/>
        <v>0.7</v>
      </c>
      <c r="Z33" s="75">
        <v>11000</v>
      </c>
      <c r="AA33" s="75">
        <v>7097</v>
      </c>
      <c r="AB33" s="92">
        <f>IF(AA33&gt;0,SUM(AA$7:AA33)-SUM(Z$7:Z33),0)</f>
        <v>-9514</v>
      </c>
      <c r="AC33" s="60">
        <f t="shared" si="18"/>
        <v>0.64518181818181819</v>
      </c>
      <c r="AD33" s="75">
        <v>11000</v>
      </c>
      <c r="AE33" s="75">
        <v>8399</v>
      </c>
      <c r="AF33" s="92">
        <f>IF(AE33&gt;0,SUM(AE$7:AE33)-SUM(AD$7:AD33),0)</f>
        <v>-26644</v>
      </c>
      <c r="AG33" s="60">
        <f t="shared" si="19"/>
        <v>0.76354545454545453</v>
      </c>
      <c r="AH33" s="41">
        <f t="shared" si="3"/>
        <v>33000</v>
      </c>
      <c r="AI33" s="41">
        <f t="shared" si="8"/>
        <v>23196</v>
      </c>
      <c r="AJ33" s="93">
        <f>IF(AI33&gt;0,SUM(AI$7:AI33)-SUM(AH$7:AH33),0)</f>
        <v>-35426</v>
      </c>
      <c r="AK33" s="60">
        <f t="shared" si="20"/>
        <v>0.70290909090909093</v>
      </c>
      <c r="AM33" s="47">
        <f t="shared" si="21"/>
        <v>40843</v>
      </c>
      <c r="AN33" s="54" t="str">
        <f t="shared" si="9"/>
        <v>sex</v>
      </c>
      <c r="AO33" s="75">
        <v>8055</v>
      </c>
      <c r="AP33" s="75">
        <v>5147</v>
      </c>
      <c r="AQ33" s="75">
        <f>IF(AP33&gt;0,SUM(AP$7:AP33)-SUM(AO$7:AO33),0)</f>
        <v>37854</v>
      </c>
      <c r="AR33" s="45">
        <f t="shared" si="22"/>
        <v>0.63898199875853512</v>
      </c>
      <c r="AS33" s="75">
        <v>8055</v>
      </c>
      <c r="AT33" s="75">
        <v>6486</v>
      </c>
      <c r="AU33" s="90">
        <f>IF(AT33&gt;0,SUM(AT$7:AT33)-SUM(AS$7:AS33),0)</f>
        <v>-2757</v>
      </c>
      <c r="AV33" s="45">
        <f t="shared" si="23"/>
        <v>0.80521415270018626</v>
      </c>
      <c r="AW33" s="75">
        <v>8055</v>
      </c>
      <c r="AX33" s="75">
        <v>4041</v>
      </c>
      <c r="AY33" s="90">
        <f>IF(AX33&gt;0,SUM(AX$7:AX33)-SUM(AW$7:AW33),0)</f>
        <v>-46065</v>
      </c>
      <c r="AZ33" s="45">
        <f t="shared" si="31"/>
        <v>0.50167597765363126</v>
      </c>
      <c r="BA33" s="35">
        <f t="shared" si="4"/>
        <v>24165</v>
      </c>
      <c r="BB33" s="35">
        <f t="shared" si="10"/>
        <v>15674</v>
      </c>
      <c r="BC33" s="91">
        <f>IF(BB33&gt;0,SUM(BB$7:BB33)-SUM(BA$7:BA33),0)</f>
        <v>-10968</v>
      </c>
      <c r="BD33" s="45">
        <f t="shared" si="24"/>
        <v>0.6486240430374508</v>
      </c>
      <c r="BF33" s="47">
        <f t="shared" si="25"/>
        <v>40843</v>
      </c>
      <c r="BG33" s="54" t="str">
        <f t="shared" si="11"/>
        <v>sex</v>
      </c>
      <c r="BH33" s="75">
        <v>16200</v>
      </c>
      <c r="BI33" s="75">
        <v>15066</v>
      </c>
      <c r="BJ33" s="75">
        <f>IF(BI33&gt;0,SUM(BI$7:BI33)-SUM(BH$7:BH33),0)</f>
        <v>32680</v>
      </c>
      <c r="BK33" s="45">
        <f t="shared" si="26"/>
        <v>0.93</v>
      </c>
      <c r="BL33" s="75">
        <v>7000</v>
      </c>
      <c r="BM33" s="75">
        <v>609</v>
      </c>
      <c r="BN33" s="90">
        <f>IF(BM33&gt;0,SUM(BM$7:BM33)-SUM(BL$7:BL33),0)</f>
        <v>-9273</v>
      </c>
      <c r="BO33" s="45">
        <f t="shared" si="27"/>
        <v>8.6999999999999994E-2</v>
      </c>
      <c r="BP33" s="75">
        <v>10000</v>
      </c>
      <c r="BQ33" s="75">
        <v>6552</v>
      </c>
      <c r="BR33" s="90">
        <f>IF(BQ33&gt;0,SUM(BQ$7:BQ33)-SUM(BP$7:BP33),0)</f>
        <v>-49940</v>
      </c>
      <c r="BS33" s="45">
        <f t="shared" si="32"/>
        <v>0.6552</v>
      </c>
      <c r="BT33" s="35">
        <f t="shared" si="5"/>
        <v>33200</v>
      </c>
      <c r="BU33" s="35">
        <f t="shared" si="5"/>
        <v>22227</v>
      </c>
      <c r="BV33" s="91">
        <f>IF(BU33&gt;0,SUM(BU$7:BU33)-SUM(BT$7:BT33),0)</f>
        <v>-26533</v>
      </c>
      <c r="BW33" s="45">
        <f t="shared" si="28"/>
        <v>0.66948795180722886</v>
      </c>
      <c r="BY33" s="47">
        <f t="shared" si="29"/>
        <v>40843</v>
      </c>
      <c r="BZ33" s="54" t="str">
        <f t="shared" si="12"/>
        <v>sex</v>
      </c>
      <c r="CA33" s="75">
        <v>2550</v>
      </c>
      <c r="CB33" s="75">
        <v>2725</v>
      </c>
      <c r="CC33" s="90">
        <f>IF(CB33&gt;0,SUM(CB$7:CB33)-SUM(CA$7:CA33),0)</f>
        <v>-2522</v>
      </c>
      <c r="CD33" s="45">
        <f t="shared" si="30"/>
        <v>1.0686274509803921</v>
      </c>
    </row>
    <row r="34" spans="1:82" x14ac:dyDescent="0.25">
      <c r="A34" s="47">
        <f t="shared" si="13"/>
        <v>40844</v>
      </c>
      <c r="B34" s="54" t="s">
        <v>25</v>
      </c>
      <c r="C34" s="75">
        <v>12000</v>
      </c>
      <c r="D34" s="75">
        <v>10647</v>
      </c>
      <c r="E34" s="90">
        <f>IF(D34&gt;0,SUM(D$7:D34)-SUM(C$7:C34),0)</f>
        <v>-69370</v>
      </c>
      <c r="F34" s="45">
        <f t="shared" si="14"/>
        <v>0.88724999999999998</v>
      </c>
      <c r="G34" s="75">
        <v>12000</v>
      </c>
      <c r="H34" s="75">
        <v>10601</v>
      </c>
      <c r="I34" s="75">
        <f>IF(H34&gt;0,SUM(H$7:H34)-SUM(G$7:G34),0)</f>
        <v>-78225</v>
      </c>
      <c r="J34" s="45">
        <f t="shared" si="33"/>
        <v>0.88341666666666663</v>
      </c>
      <c r="K34" s="75">
        <v>12000</v>
      </c>
      <c r="L34" s="75">
        <v>14323</v>
      </c>
      <c r="M34" s="90">
        <f>IF(L34&gt;0,SUM(L$7:L34)-SUM(K$7:K34),0)</f>
        <v>-44690</v>
      </c>
      <c r="N34" s="45">
        <f t="shared" si="35"/>
        <v>1.1935833333333334</v>
      </c>
      <c r="O34" s="35">
        <f t="shared" si="34"/>
        <v>36000</v>
      </c>
      <c r="P34" s="35">
        <f t="shared" si="6"/>
        <v>35571</v>
      </c>
      <c r="Q34" s="91">
        <f>IF(P34&gt;0,SUM(P$7:P34)-SUM(O$7:O34),0)</f>
        <v>-192285</v>
      </c>
      <c r="R34" s="45">
        <f t="shared" si="15"/>
        <v>0.98808333333333331</v>
      </c>
      <c r="T34" s="47">
        <f t="shared" si="16"/>
        <v>40844</v>
      </c>
      <c r="U34" s="54" t="str">
        <f t="shared" si="7"/>
        <v>sáb</v>
      </c>
      <c r="V34" s="75">
        <v>11000</v>
      </c>
      <c r="W34" s="75">
        <v>7994</v>
      </c>
      <c r="X34" s="92">
        <f>IF(W34&gt;0,SUM(W$7:W34)-SUM(V$7:V34),0)</f>
        <v>-2274</v>
      </c>
      <c r="Y34" s="60">
        <f t="shared" si="17"/>
        <v>0.72672727272727278</v>
      </c>
      <c r="Z34" s="75">
        <v>11000</v>
      </c>
      <c r="AA34" s="75">
        <v>7043</v>
      </c>
      <c r="AB34" s="92">
        <f>IF(AA34&gt;0,SUM(AA$7:AA34)-SUM(Z$7:Z34),0)</f>
        <v>-13471</v>
      </c>
      <c r="AC34" s="60">
        <f t="shared" si="18"/>
        <v>0.64027272727272733</v>
      </c>
      <c r="AD34" s="75">
        <v>11000</v>
      </c>
      <c r="AE34" s="75">
        <v>10425</v>
      </c>
      <c r="AF34" s="92">
        <f>IF(AE34&gt;0,SUM(AE$7:AE34)-SUM(AD$7:AD34),0)</f>
        <v>-27219</v>
      </c>
      <c r="AG34" s="60">
        <f t="shared" si="19"/>
        <v>0.94772727272727275</v>
      </c>
      <c r="AH34" s="41">
        <f t="shared" si="3"/>
        <v>33000</v>
      </c>
      <c r="AI34" s="41">
        <f t="shared" si="8"/>
        <v>25462</v>
      </c>
      <c r="AJ34" s="93">
        <f>IF(AI34&gt;0,SUM(AI$7:AI34)-SUM(AH$7:AH34),0)</f>
        <v>-42964</v>
      </c>
      <c r="AK34" s="60">
        <f t="shared" si="20"/>
        <v>0.77157575757575758</v>
      </c>
      <c r="AM34" s="47">
        <f t="shared" si="21"/>
        <v>40844</v>
      </c>
      <c r="AN34" s="54" t="str">
        <f t="shared" si="9"/>
        <v>sáb</v>
      </c>
      <c r="AO34" s="75">
        <v>8055</v>
      </c>
      <c r="AP34" s="75">
        <v>4155</v>
      </c>
      <c r="AQ34" s="75">
        <f>IF(AP34&gt;0,SUM(AP$7:AP34)-SUM(AO$7:AO34),0)</f>
        <v>33954</v>
      </c>
      <c r="AR34" s="45">
        <f t="shared" si="22"/>
        <v>0.51582867783985098</v>
      </c>
      <c r="AS34" s="75">
        <v>8055</v>
      </c>
      <c r="AT34" s="75">
        <v>4423</v>
      </c>
      <c r="AU34" s="90">
        <f>IF(AT34&gt;0,SUM(AT$7:AT34)-SUM(AS$7:AS34),0)</f>
        <v>-6389</v>
      </c>
      <c r="AV34" s="45">
        <f t="shared" si="23"/>
        <v>0.5490999379267536</v>
      </c>
      <c r="AW34" s="75">
        <v>8055</v>
      </c>
      <c r="AX34" s="75">
        <v>4920</v>
      </c>
      <c r="AY34" s="90">
        <f>IF(AX34&gt;0,SUM(AX$7:AX34)-SUM(AW$7:AW34),0)</f>
        <v>-49200</v>
      </c>
      <c r="AZ34" s="45">
        <f t="shared" si="31"/>
        <v>0.61080074487895719</v>
      </c>
      <c r="BA34" s="35">
        <f t="shared" si="4"/>
        <v>24165</v>
      </c>
      <c r="BB34" s="35">
        <f t="shared" si="10"/>
        <v>13498</v>
      </c>
      <c r="BC34" s="91">
        <f>IF(BB34&gt;0,SUM(BB$7:BB34)-SUM(BA$7:BA34),0)</f>
        <v>-21635</v>
      </c>
      <c r="BD34" s="45">
        <f t="shared" si="24"/>
        <v>0.55857645354852059</v>
      </c>
      <c r="BF34" s="47">
        <f t="shared" si="25"/>
        <v>40844</v>
      </c>
      <c r="BG34" s="54" t="str">
        <f t="shared" si="11"/>
        <v>sáb</v>
      </c>
      <c r="BH34" s="75">
        <v>16200</v>
      </c>
      <c r="BI34" s="75">
        <v>19650</v>
      </c>
      <c r="BJ34" s="75">
        <f>IF(BI34&gt;0,SUM(BI$7:BI34)-SUM(BH$7:BH34),0)</f>
        <v>36130</v>
      </c>
      <c r="BK34" s="45">
        <f t="shared" si="26"/>
        <v>1.212962962962963</v>
      </c>
      <c r="BL34" s="75">
        <v>7000</v>
      </c>
      <c r="BM34" s="75">
        <v>3043</v>
      </c>
      <c r="BN34" s="90">
        <f>IF(BM34&gt;0,SUM(BM$7:BM34)-SUM(BL$7:BL34),0)</f>
        <v>-13230</v>
      </c>
      <c r="BO34" s="45">
        <f t="shared" si="27"/>
        <v>0.43471428571428572</v>
      </c>
      <c r="BP34" s="75">
        <v>10000</v>
      </c>
      <c r="BQ34" s="75">
        <v>9931</v>
      </c>
      <c r="BR34" s="90">
        <f>IF(BQ34&gt;0,SUM(BQ$7:BQ34)-SUM(BP$7:BP34),0)</f>
        <v>-50009</v>
      </c>
      <c r="BS34" s="45">
        <f t="shared" si="32"/>
        <v>0.99309999999999998</v>
      </c>
      <c r="BT34" s="35">
        <f t="shared" si="5"/>
        <v>33200</v>
      </c>
      <c r="BU34" s="35">
        <f t="shared" si="5"/>
        <v>32624</v>
      </c>
      <c r="BV34" s="91">
        <f>IF(BU34&gt;0,SUM(BU$7:BU34)-SUM(BT$7:BT34),0)</f>
        <v>-27109</v>
      </c>
      <c r="BW34" s="45">
        <f t="shared" si="28"/>
        <v>0.98265060240963853</v>
      </c>
      <c r="BY34" s="47">
        <f t="shared" si="29"/>
        <v>40844</v>
      </c>
      <c r="BZ34" s="54" t="str">
        <f t="shared" si="12"/>
        <v>sáb</v>
      </c>
      <c r="CA34" s="75">
        <v>2550</v>
      </c>
      <c r="CB34" s="75">
        <v>468</v>
      </c>
      <c r="CC34" s="90">
        <f>IF(CB34&gt;0,SUM(CB$7:CB34)-SUM(CA$7:CA34),0)</f>
        <v>-4604</v>
      </c>
      <c r="CD34" s="45">
        <f t="shared" si="30"/>
        <v>0.18352941176470589</v>
      </c>
    </row>
    <row r="35" spans="1:82" x14ac:dyDescent="0.25">
      <c r="A35" s="47">
        <f t="shared" si="13"/>
        <v>40845</v>
      </c>
      <c r="B35" s="54" t="s">
        <v>26</v>
      </c>
      <c r="C35" s="75"/>
      <c r="D35" s="75">
        <v>5687</v>
      </c>
      <c r="E35" s="90">
        <f>IF(D35&gt;0,SUM(D$7:D35)-SUM(C$7:C35),0)</f>
        <v>-63683</v>
      </c>
      <c r="F35" s="45">
        <f t="shared" si="14"/>
        <v>0</v>
      </c>
      <c r="G35" s="75"/>
      <c r="H35" s="75"/>
      <c r="I35" s="75">
        <f>IF(H35&gt;0,SUM(H$7:H35)-SUM(G$7:G35),0)</f>
        <v>0</v>
      </c>
      <c r="J35" s="45">
        <f t="shared" si="33"/>
        <v>0</v>
      </c>
      <c r="K35" s="75"/>
      <c r="L35" s="75"/>
      <c r="M35" s="90">
        <f>IF(L35&gt;0,SUM(L$7:L35)-SUM(K$7:K35),0)</f>
        <v>0</v>
      </c>
      <c r="N35" s="45">
        <f t="shared" si="35"/>
        <v>0</v>
      </c>
      <c r="O35" s="35">
        <f t="shared" si="34"/>
        <v>0</v>
      </c>
      <c r="P35" s="35">
        <f t="shared" si="6"/>
        <v>5687</v>
      </c>
      <c r="Q35" s="91">
        <f>IF(P35&gt;0,SUM(P$7:P35)-SUM(O$7:O35),0)</f>
        <v>-186598</v>
      </c>
      <c r="R35" s="45">
        <f t="shared" si="15"/>
        <v>0</v>
      </c>
      <c r="T35" s="47">
        <f t="shared" si="16"/>
        <v>40845</v>
      </c>
      <c r="U35" s="54" t="str">
        <f t="shared" si="7"/>
        <v>dom</v>
      </c>
      <c r="V35" s="75"/>
      <c r="W35" s="75">
        <v>24965</v>
      </c>
      <c r="X35" s="92">
        <f>IF(W35&gt;0,SUM(W$7:W35)-SUM(V$7:V35),0)</f>
        <v>22691</v>
      </c>
      <c r="Y35" s="60">
        <f t="shared" si="17"/>
        <v>0</v>
      </c>
      <c r="Z35" s="75"/>
      <c r="AA35" s="75"/>
      <c r="AB35" s="92">
        <f>IF(AA35&gt;0,SUM(AA$7:AA35)-SUM(Z$7:Z35),0)</f>
        <v>0</v>
      </c>
      <c r="AC35" s="60">
        <f t="shared" si="18"/>
        <v>0</v>
      </c>
      <c r="AD35" s="75"/>
      <c r="AE35" s="75"/>
      <c r="AF35" s="92">
        <f>IF(AE35&gt;0,SUM(AE$7:AE35)-SUM(AD$7:AD35),0)</f>
        <v>0</v>
      </c>
      <c r="AG35" s="60">
        <f t="shared" si="19"/>
        <v>0</v>
      </c>
      <c r="AH35" s="41">
        <f t="shared" si="3"/>
        <v>0</v>
      </c>
      <c r="AI35" s="41">
        <f t="shared" si="8"/>
        <v>24965</v>
      </c>
      <c r="AJ35" s="93">
        <f>IF(AI35&gt;0,SUM(AI$7:AI35)-SUM(AH$7:AH35),0)</f>
        <v>-17999</v>
      </c>
      <c r="AK35" s="60">
        <f t="shared" si="20"/>
        <v>0</v>
      </c>
      <c r="AM35" s="47">
        <f t="shared" si="21"/>
        <v>40845</v>
      </c>
      <c r="AN35" s="54" t="str">
        <f t="shared" si="9"/>
        <v>dom</v>
      </c>
      <c r="AO35" s="75"/>
      <c r="AP35" s="75">
        <v>9502</v>
      </c>
      <c r="AQ35" s="75">
        <f>IF(AP35&gt;0,SUM(AP$7:AP35)-SUM(AO$7:AO35),0)</f>
        <v>43456</v>
      </c>
      <c r="AR35" s="45">
        <f t="shared" si="22"/>
        <v>0</v>
      </c>
      <c r="AS35" s="75"/>
      <c r="AT35" s="75"/>
      <c r="AU35" s="90">
        <f>IF(AT35&gt;0,SUM(AT$7:AT35)-SUM(AS$7:AS35),0)</f>
        <v>0</v>
      </c>
      <c r="AV35" s="45">
        <f t="shared" si="23"/>
        <v>0</v>
      </c>
      <c r="AW35" s="75"/>
      <c r="AX35" s="75"/>
      <c r="AY35" s="90">
        <f>IF(AX35&gt;0,SUM(AX$7:AX35)-SUM(AW$7:AW35),0)</f>
        <v>0</v>
      </c>
      <c r="AZ35" s="45">
        <f t="shared" si="31"/>
        <v>0</v>
      </c>
      <c r="BA35" s="35">
        <f t="shared" si="4"/>
        <v>0</v>
      </c>
      <c r="BB35" s="35">
        <f t="shared" si="10"/>
        <v>9502</v>
      </c>
      <c r="BC35" s="91">
        <f>IF(BB35&gt;0,SUM(BB$7:BB35)-SUM(BA$7:BA35),0)</f>
        <v>-12133</v>
      </c>
      <c r="BD35" s="45">
        <f t="shared" si="24"/>
        <v>0</v>
      </c>
      <c r="BF35" s="47">
        <f t="shared" si="25"/>
        <v>40845</v>
      </c>
      <c r="BG35" s="54" t="str">
        <f t="shared" si="11"/>
        <v>dom</v>
      </c>
      <c r="BH35" s="75"/>
      <c r="BI35" s="75"/>
      <c r="BJ35" s="75">
        <f>IF(BI35&gt;0,SUM(BI$7:BI35)-SUM(BH$7:BH35),0)</f>
        <v>0</v>
      </c>
      <c r="BK35" s="45">
        <f t="shared" si="26"/>
        <v>0</v>
      </c>
      <c r="BL35" s="75"/>
      <c r="BM35" s="75"/>
      <c r="BN35" s="90">
        <f>IF(BM35&gt;0,SUM(BM$7:BM35)-SUM(BL$7:BL35),0)</f>
        <v>0</v>
      </c>
      <c r="BO35" s="45">
        <f t="shared" si="27"/>
        <v>0</v>
      </c>
      <c r="BP35" s="75"/>
      <c r="BQ35" s="75"/>
      <c r="BR35" s="90">
        <f>IF(BQ35&gt;0,SUM(BQ$7:BQ35)-SUM(BP$7:BP35),0)</f>
        <v>0</v>
      </c>
      <c r="BS35" s="45">
        <f t="shared" si="32"/>
        <v>0</v>
      </c>
      <c r="BT35" s="35">
        <f t="shared" si="5"/>
        <v>0</v>
      </c>
      <c r="BU35" s="35">
        <f t="shared" si="5"/>
        <v>0</v>
      </c>
      <c r="BV35" s="91">
        <f>IF(BU35&gt;0,SUM(BU$7:BU35)-SUM(BT$7:BT35),0)</f>
        <v>0</v>
      </c>
      <c r="BW35" s="45">
        <f t="shared" si="28"/>
        <v>0</v>
      </c>
      <c r="BY35" s="47">
        <f t="shared" si="29"/>
        <v>40845</v>
      </c>
      <c r="BZ35" s="54" t="str">
        <f t="shared" si="12"/>
        <v>dom</v>
      </c>
      <c r="CA35" s="75"/>
      <c r="CB35" s="75"/>
      <c r="CC35" s="90">
        <f>IF(CB35&gt;0,SUM(CB$7:CB35)-SUM(CA$7:CA35),0)</f>
        <v>0</v>
      </c>
      <c r="CD35" s="45">
        <f t="shared" si="30"/>
        <v>0</v>
      </c>
    </row>
    <row r="36" spans="1:82" x14ac:dyDescent="0.25">
      <c r="A36" s="47">
        <f t="shared" si="13"/>
        <v>40846</v>
      </c>
      <c r="B36" s="54" t="s">
        <v>27</v>
      </c>
      <c r="C36" s="75">
        <v>12000</v>
      </c>
      <c r="D36" s="75">
        <v>6820</v>
      </c>
      <c r="E36" s="90">
        <f>IF(D36&gt;0,SUM(D$7:D36)-SUM(C$7:C36),0)</f>
        <v>-68863</v>
      </c>
      <c r="F36" s="45">
        <f t="shared" si="14"/>
        <v>0.56833333333333336</v>
      </c>
      <c r="G36" s="75">
        <v>12000</v>
      </c>
      <c r="H36" s="75">
        <v>10208</v>
      </c>
      <c r="I36" s="75">
        <f>IF(H36&gt;0,SUM(H$7:H36)-SUM(G$7:G36),0)</f>
        <v>-80017</v>
      </c>
      <c r="J36" s="45">
        <f t="shared" si="33"/>
        <v>0.85066666666666668</v>
      </c>
      <c r="K36" s="75">
        <v>12000</v>
      </c>
      <c r="L36" s="75">
        <v>13098</v>
      </c>
      <c r="M36" s="90">
        <f>IF(L36&gt;0,SUM(L$7:L36)-SUM(K$7:K36),0)</f>
        <v>-43592</v>
      </c>
      <c r="N36" s="45">
        <f t="shared" si="35"/>
        <v>1.0914999999999999</v>
      </c>
      <c r="O36" s="35">
        <f t="shared" si="34"/>
        <v>36000</v>
      </c>
      <c r="P36" s="35">
        <f t="shared" si="6"/>
        <v>30126</v>
      </c>
      <c r="Q36" s="91">
        <f>IF(P36&gt;0,SUM(P$7:P36)-SUM(O$7:O36),0)</f>
        <v>-192472</v>
      </c>
      <c r="R36" s="45">
        <f t="shared" si="15"/>
        <v>0.83683333333333332</v>
      </c>
      <c r="T36" s="47">
        <f t="shared" si="16"/>
        <v>40846</v>
      </c>
      <c r="U36" s="54" t="str">
        <f t="shared" si="7"/>
        <v>seg</v>
      </c>
      <c r="V36" s="75">
        <v>11000</v>
      </c>
      <c r="W36" s="75">
        <v>8623</v>
      </c>
      <c r="X36" s="92">
        <f>IF(W36&gt;0,SUM(W$7:W36)-SUM(V$7:V36),0)</f>
        <v>20314</v>
      </c>
      <c r="Y36" s="60">
        <f t="shared" si="17"/>
        <v>0.78390909090909089</v>
      </c>
      <c r="Z36" s="75">
        <v>11000</v>
      </c>
      <c r="AA36" s="75">
        <v>13328</v>
      </c>
      <c r="AB36" s="92">
        <f>IF(AA36&gt;0,SUM(AA$7:AA36)-SUM(Z$7:Z36),0)</f>
        <v>-11143</v>
      </c>
      <c r="AC36" s="60">
        <f t="shared" si="18"/>
        <v>1.2116363636363636</v>
      </c>
      <c r="AD36" s="75">
        <v>11000</v>
      </c>
      <c r="AE36" s="75">
        <v>12310</v>
      </c>
      <c r="AF36" s="92">
        <f>IF(AE36&gt;0,SUM(AE$7:AE36)-SUM(AD$7:AD36),0)</f>
        <v>-25909</v>
      </c>
      <c r="AG36" s="60">
        <f t="shared" si="19"/>
        <v>1.1190909090909091</v>
      </c>
      <c r="AH36" s="41">
        <f t="shared" si="3"/>
        <v>33000</v>
      </c>
      <c r="AI36" s="41">
        <f t="shared" si="8"/>
        <v>34261</v>
      </c>
      <c r="AJ36" s="93">
        <f>IF(AI36&gt;0,SUM(AI$7:AI36)-SUM(AH$7:AH36),0)</f>
        <v>-16738</v>
      </c>
      <c r="AK36" s="60">
        <f t="shared" si="20"/>
        <v>1.0382121212121211</v>
      </c>
      <c r="AM36" s="47">
        <f t="shared" si="21"/>
        <v>40846</v>
      </c>
      <c r="AN36" s="54" t="str">
        <f t="shared" si="9"/>
        <v>seg</v>
      </c>
      <c r="AO36" s="75">
        <v>8055</v>
      </c>
      <c r="AP36" s="75">
        <v>8851</v>
      </c>
      <c r="AQ36" s="75">
        <f>IF(AP36&gt;0,SUM(AP$7:AP36)-SUM(AO$7:AO36),0)</f>
        <v>44252</v>
      </c>
      <c r="AR36" s="45">
        <f t="shared" si="22"/>
        <v>1.0988206083178149</v>
      </c>
      <c r="AS36" s="75">
        <v>8055</v>
      </c>
      <c r="AT36" s="75">
        <v>8611</v>
      </c>
      <c r="AU36" s="90">
        <f>IF(AT36&gt;0,SUM(AT$7:AT36)-SUM(AS$7:AS36),0)</f>
        <v>-5833</v>
      </c>
      <c r="AV36" s="45">
        <f t="shared" si="23"/>
        <v>1.0690254500310366</v>
      </c>
      <c r="AW36" s="75">
        <v>8055</v>
      </c>
      <c r="AX36" s="75">
        <v>7932</v>
      </c>
      <c r="AY36" s="90">
        <f>IF(AX36&gt;0,SUM(AX$7:AX36)-SUM(AW$7:AW36),0)</f>
        <v>-49323</v>
      </c>
      <c r="AZ36" s="45">
        <f t="shared" si="31"/>
        <v>0.98472998137802603</v>
      </c>
      <c r="BA36" s="35">
        <f t="shared" si="4"/>
        <v>24165</v>
      </c>
      <c r="BB36" s="35">
        <f t="shared" si="10"/>
        <v>25394</v>
      </c>
      <c r="BC36" s="91">
        <f>IF(BB36&gt;0,SUM(BB$7:BB36)-SUM(BA$7:BA36),0)</f>
        <v>-10904</v>
      </c>
      <c r="BD36" s="45">
        <f t="shared" si="24"/>
        <v>1.0508586799089592</v>
      </c>
      <c r="BF36" s="47">
        <f t="shared" si="25"/>
        <v>40846</v>
      </c>
      <c r="BG36" s="54" t="str">
        <f t="shared" si="11"/>
        <v>seg</v>
      </c>
      <c r="BH36" s="75">
        <v>16200</v>
      </c>
      <c r="BI36" s="75">
        <v>16788</v>
      </c>
      <c r="BJ36" s="75">
        <f>IF(BI36&gt;0,SUM(BI$7:BI36)-SUM(BH$7:BH36),0)</f>
        <v>36718</v>
      </c>
      <c r="BK36" s="45">
        <f t="shared" si="26"/>
        <v>1.0362962962962963</v>
      </c>
      <c r="BL36" s="75">
        <v>7000</v>
      </c>
      <c r="BM36" s="75">
        <v>8612</v>
      </c>
      <c r="BN36" s="90">
        <f>IF(BM36&gt;0,SUM(BM$7:BM36)-SUM(BL$7:BL36),0)</f>
        <v>-11618</v>
      </c>
      <c r="BO36" s="45">
        <f t="shared" si="27"/>
        <v>1.2302857142857142</v>
      </c>
      <c r="BP36" s="75">
        <v>10000</v>
      </c>
      <c r="BQ36" s="75">
        <v>8516</v>
      </c>
      <c r="BR36" s="90">
        <f>IF(BQ36&gt;0,SUM(BQ$7:BQ36)-SUM(BP$7:BP36),0)</f>
        <v>-51493</v>
      </c>
      <c r="BS36" s="45">
        <f t="shared" si="32"/>
        <v>0.85160000000000002</v>
      </c>
      <c r="BT36" s="35">
        <f t="shared" si="5"/>
        <v>33200</v>
      </c>
      <c r="BU36" s="35">
        <f t="shared" si="5"/>
        <v>33916</v>
      </c>
      <c r="BV36" s="91">
        <f>IF(BU36&gt;0,SUM(BU$7:BU36)-SUM(BT$7:BT36),0)</f>
        <v>-26393</v>
      </c>
      <c r="BW36" s="45">
        <f t="shared" si="28"/>
        <v>1.0215662650602411</v>
      </c>
      <c r="BY36" s="47">
        <f t="shared" si="29"/>
        <v>40846</v>
      </c>
      <c r="BZ36" s="54" t="str">
        <f t="shared" si="12"/>
        <v>seg</v>
      </c>
      <c r="CA36" s="75">
        <v>2550</v>
      </c>
      <c r="CB36" s="75">
        <v>1115</v>
      </c>
      <c r="CC36" s="90">
        <f>IF(CB36&gt;0,SUM(CB$7:CB36)-SUM(CA$7:CA36),0)</f>
        <v>-6039</v>
      </c>
      <c r="CD36" s="45">
        <f t="shared" si="30"/>
        <v>0.43725490196078431</v>
      </c>
    </row>
    <row r="37" spans="1:82" x14ac:dyDescent="0.25">
      <c r="A37" s="47">
        <v>31</v>
      </c>
      <c r="B37" s="54" t="s">
        <v>28</v>
      </c>
      <c r="C37" s="75">
        <v>12000</v>
      </c>
      <c r="D37" s="75">
        <v>9471</v>
      </c>
      <c r="E37" s="90">
        <f>IF(D37&gt;0,SUM(D$7:D37)-SUM(C$7:C37),0)</f>
        <v>-71392</v>
      </c>
      <c r="F37" s="45">
        <f t="shared" si="14"/>
        <v>0.78925000000000001</v>
      </c>
      <c r="G37" s="75">
        <v>12000</v>
      </c>
      <c r="H37" s="75">
        <v>12044</v>
      </c>
      <c r="I37" s="75">
        <f>IF(H37&gt;0,SUM(H$7:H37)-SUM(G$7:G37),0)</f>
        <v>-79973</v>
      </c>
      <c r="J37" s="45">
        <f>IF(H37&gt;0,IF(G37&gt;0,H37/G37,0),0)</f>
        <v>1.0036666666666667</v>
      </c>
      <c r="K37" s="75">
        <v>12000</v>
      </c>
      <c r="L37" s="75">
        <v>5590</v>
      </c>
      <c r="M37" s="90">
        <f>IF(L37&gt;0,SUM(L$7:L37)-SUM(K$7:K37),0)</f>
        <v>-50002</v>
      </c>
      <c r="N37" s="45">
        <f t="shared" si="35"/>
        <v>0.46583333333333332</v>
      </c>
      <c r="O37" s="35">
        <f>IF(SUM(C37,G37,K37)&gt;0,SUM(C37,G37,K37),0)</f>
        <v>36000</v>
      </c>
      <c r="P37" s="35">
        <f t="shared" si="6"/>
        <v>27105</v>
      </c>
      <c r="Q37" s="91">
        <f>IF(P37&gt;0,SUM(P$7:P37)-SUM(O$7:O37),0)</f>
        <v>-201367</v>
      </c>
      <c r="R37" s="45">
        <f t="shared" si="15"/>
        <v>0.75291666666666668</v>
      </c>
      <c r="T37" s="47">
        <v>31</v>
      </c>
      <c r="U37" s="54" t="str">
        <f t="shared" si="7"/>
        <v>ter</v>
      </c>
      <c r="V37" s="75">
        <v>11000</v>
      </c>
      <c r="W37" s="75">
        <v>12344</v>
      </c>
      <c r="X37" s="92">
        <f>IF(W37&gt;0,SUM(W$7:W37)-SUM(V$7:V37),0)</f>
        <v>21658</v>
      </c>
      <c r="Y37" s="60">
        <f t="shared" si="17"/>
        <v>1.1221818181818182</v>
      </c>
      <c r="Z37" s="75">
        <v>11000</v>
      </c>
      <c r="AA37" s="75">
        <v>14306</v>
      </c>
      <c r="AB37" s="92">
        <f>IF(AA37&gt;0,SUM(AA$7:AA37)-SUM(Z$7:Z37),0)</f>
        <v>-7837</v>
      </c>
      <c r="AC37" s="60">
        <f t="shared" si="18"/>
        <v>1.3005454545454544</v>
      </c>
      <c r="AD37" s="75">
        <v>11000</v>
      </c>
      <c r="AE37" s="75">
        <v>9514</v>
      </c>
      <c r="AF37" s="92">
        <f>IF(AE37&gt;0,SUM(AE$7:AE37)-SUM(AD$7:AD37),0)</f>
        <v>-27395</v>
      </c>
      <c r="AG37" s="60">
        <f t="shared" si="19"/>
        <v>0.86490909090909096</v>
      </c>
      <c r="AH37" s="41">
        <f t="shared" si="3"/>
        <v>33000</v>
      </c>
      <c r="AI37" s="41">
        <f t="shared" si="8"/>
        <v>36164</v>
      </c>
      <c r="AJ37" s="93">
        <f>IF(AI37&gt;0,SUM(AI$7:AI37)-SUM(AH$7:AH37),0)</f>
        <v>-13574</v>
      </c>
      <c r="AK37" s="60">
        <f t="shared" si="20"/>
        <v>1.0958787878787879</v>
      </c>
      <c r="AM37" s="47">
        <v>31</v>
      </c>
      <c r="AN37" s="54" t="str">
        <f t="shared" si="9"/>
        <v>ter</v>
      </c>
      <c r="AO37" s="75">
        <v>8055</v>
      </c>
      <c r="AP37" s="75">
        <v>11448</v>
      </c>
      <c r="AQ37" s="75">
        <f>IF(AP37&gt;0,SUM(AP$7:AP37)-SUM(AO$7:AO37),0)</f>
        <v>47645</v>
      </c>
      <c r="AR37" s="45">
        <f t="shared" si="22"/>
        <v>1.4212290502793297</v>
      </c>
      <c r="AS37" s="75">
        <v>8055</v>
      </c>
      <c r="AT37" s="75">
        <v>10197</v>
      </c>
      <c r="AU37" s="90">
        <f>IF(AT37&gt;0,SUM(AT$7:AT37)-SUM(AS$7:AS37),0)</f>
        <v>-3691</v>
      </c>
      <c r="AV37" s="45">
        <f t="shared" si="23"/>
        <v>1.2659217877094973</v>
      </c>
      <c r="AW37" s="75">
        <v>8055</v>
      </c>
      <c r="AX37" s="75">
        <v>6294</v>
      </c>
      <c r="AY37" s="90">
        <f>IF(AX37&gt;0,SUM(AX$7:AX37)-SUM(AW$7:AW37),0)</f>
        <v>-51084</v>
      </c>
      <c r="AZ37" s="45">
        <f t="shared" si="31"/>
        <v>0.78137802607076345</v>
      </c>
      <c r="BA37" s="35">
        <f t="shared" si="4"/>
        <v>24165</v>
      </c>
      <c r="BB37" s="35">
        <f t="shared" si="10"/>
        <v>27939</v>
      </c>
      <c r="BC37" s="91">
        <f>IF(BB37&gt;0,SUM(BB$7:BB37)-SUM(BA$7:BA37),0)</f>
        <v>-7130</v>
      </c>
      <c r="BD37" s="45">
        <f t="shared" si="24"/>
        <v>1.1561762880198634</v>
      </c>
      <c r="BF37" s="47">
        <v>31</v>
      </c>
      <c r="BG37" s="54" t="str">
        <f t="shared" si="11"/>
        <v>ter</v>
      </c>
      <c r="BH37" s="75">
        <v>16200</v>
      </c>
      <c r="BI37" s="75">
        <v>20221</v>
      </c>
      <c r="BJ37" s="75">
        <f>IF(BI37&gt;0,SUM(BI$7:BI37)-SUM(BH$7:BH37),0)</f>
        <v>40739</v>
      </c>
      <c r="BK37" s="45">
        <f t="shared" si="26"/>
        <v>1.2482098765432099</v>
      </c>
      <c r="BL37" s="75">
        <v>7000</v>
      </c>
      <c r="BM37" s="75">
        <v>7718</v>
      </c>
      <c r="BN37" s="90">
        <f>IF(BM37&gt;0,SUM(BM$7:BM37)-SUM(BL$7:BL37),0)</f>
        <v>-10900</v>
      </c>
      <c r="BO37" s="45">
        <f t="shared" si="27"/>
        <v>1.1025714285714285</v>
      </c>
      <c r="BP37" s="75">
        <v>10000</v>
      </c>
      <c r="BQ37" s="75">
        <v>4322</v>
      </c>
      <c r="BR37" s="90">
        <f>IF(BQ37&gt;0,SUM(BQ$7:BQ37)-SUM(BP$7:BP37),0)</f>
        <v>-57171</v>
      </c>
      <c r="BS37" s="45">
        <f t="shared" si="32"/>
        <v>0.43219999999999997</v>
      </c>
      <c r="BT37" s="35">
        <f t="shared" si="5"/>
        <v>33200</v>
      </c>
      <c r="BU37" s="35">
        <f t="shared" si="5"/>
        <v>32261</v>
      </c>
      <c r="BV37" s="91">
        <f>IF(BU37&gt;0,SUM(BU$7:BU37)-SUM(BT$7:BT37),0)</f>
        <v>-27332</v>
      </c>
      <c r="BW37" s="45">
        <f t="shared" si="28"/>
        <v>0.97171686746987951</v>
      </c>
      <c r="BY37" s="47">
        <v>31</v>
      </c>
      <c r="BZ37" s="54" t="str">
        <f t="shared" si="12"/>
        <v>ter</v>
      </c>
      <c r="CA37" s="75">
        <v>2550</v>
      </c>
      <c r="CB37" s="75">
        <v>1</v>
      </c>
      <c r="CC37" s="90">
        <f>IF(CB37&gt;0,SUM(CB$7:CB37)-SUM(CA$7:CA37),0)</f>
        <v>-8588</v>
      </c>
      <c r="CD37" s="45">
        <f t="shared" si="30"/>
        <v>3.9215686274509802E-4</v>
      </c>
    </row>
    <row r="38" spans="1:82" ht="17.25" customHeight="1" thickBot="1" x14ac:dyDescent="0.25">
      <c r="A38" s="46" t="s">
        <v>17</v>
      </c>
      <c r="B38" s="63"/>
      <c r="C38" s="78">
        <f>SUM(C7:C37)</f>
        <v>288000</v>
      </c>
      <c r="D38" s="78">
        <f>SUM(D7:D37)</f>
        <v>216608</v>
      </c>
      <c r="E38" s="78">
        <f>D38-C38</f>
        <v>-71392</v>
      </c>
      <c r="F38" s="53">
        <f t="shared" si="14"/>
        <v>0.75211111111111106</v>
      </c>
      <c r="G38" s="78">
        <f>SUM(G7:G37)</f>
        <v>288000</v>
      </c>
      <c r="H38" s="78">
        <f>SUM(H7:H37)</f>
        <v>208027</v>
      </c>
      <c r="I38" s="78">
        <f>H38-G38</f>
        <v>-79973</v>
      </c>
      <c r="J38" s="53">
        <f>IF(H38&gt;0,IF(G38&gt;0,H38/G38,0),0)</f>
        <v>0.72231597222222221</v>
      </c>
      <c r="K38" s="78">
        <f>SUM(K7:K37)</f>
        <v>300000</v>
      </c>
      <c r="L38" s="78">
        <f>SUM(L7:L37)</f>
        <v>249998</v>
      </c>
      <c r="M38" s="78">
        <f>L38-K38</f>
        <v>-50002</v>
      </c>
      <c r="N38" s="45">
        <f t="shared" si="35"/>
        <v>0.83332666666666666</v>
      </c>
      <c r="O38" s="58">
        <f>IF(SUM(C38,G38,K38)&gt;0,SUM(C38,G38,K38),0)</f>
        <v>876000</v>
      </c>
      <c r="P38" s="58">
        <f>IF(SUM(D38,H38,L38)&gt;0,SUM(D38,H38,L38),0)</f>
        <v>674633</v>
      </c>
      <c r="Q38" s="58">
        <f>P38-O38</f>
        <v>-201367</v>
      </c>
      <c r="R38" s="53">
        <f t="shared" si="15"/>
        <v>0.77012899543378999</v>
      </c>
      <c r="T38" s="46" t="s">
        <v>17</v>
      </c>
      <c r="U38" s="63"/>
      <c r="V38" s="79">
        <f>SUM(V7:V37)</f>
        <v>264000</v>
      </c>
      <c r="W38" s="79">
        <f>SUM(W7:W37)</f>
        <v>285658</v>
      </c>
      <c r="X38" s="79">
        <f>W38-V38</f>
        <v>21658</v>
      </c>
      <c r="Y38" s="61">
        <f t="shared" si="17"/>
        <v>1.0820378787878788</v>
      </c>
      <c r="Z38" s="79">
        <f>SUM(Z7:Z37)</f>
        <v>264000</v>
      </c>
      <c r="AA38" s="79">
        <f>SUM(AA7:AA37)</f>
        <v>256163</v>
      </c>
      <c r="AB38" s="79">
        <f>AA38-Z38</f>
        <v>-7837</v>
      </c>
      <c r="AC38" s="61">
        <f t="shared" si="18"/>
        <v>0.97031439393939389</v>
      </c>
      <c r="AD38" s="79">
        <f>SUM(AD7:AD37)</f>
        <v>275000</v>
      </c>
      <c r="AE38" s="79">
        <f>SUM(AE7:AE37)</f>
        <v>247605</v>
      </c>
      <c r="AF38" s="79">
        <f>AE38-AD38</f>
        <v>-27395</v>
      </c>
      <c r="AG38" s="61">
        <f t="shared" si="19"/>
        <v>0.90038181818181817</v>
      </c>
      <c r="AH38" s="62">
        <f t="shared" si="3"/>
        <v>803000</v>
      </c>
      <c r="AI38" s="62">
        <f t="shared" si="3"/>
        <v>789426</v>
      </c>
      <c r="AJ38" s="62">
        <f>AI38-AH38</f>
        <v>-13574</v>
      </c>
      <c r="AK38" s="61">
        <f>IF(AI38&gt;0,IF(AH38&gt;0,AI38/AH38,0),0)</f>
        <v>0.98309589041095891</v>
      </c>
      <c r="AM38" s="46" t="s">
        <v>17</v>
      </c>
      <c r="AN38" s="63"/>
      <c r="AO38" s="78">
        <f>SUM(AO7:AO37)</f>
        <v>193320</v>
      </c>
      <c r="AP38" s="78">
        <f>SUM(AP7:AP37)</f>
        <v>240965</v>
      </c>
      <c r="AQ38" s="78">
        <f>AP38-AO38</f>
        <v>47645</v>
      </c>
      <c r="AR38" s="53">
        <f t="shared" si="22"/>
        <v>1.2464566521829092</v>
      </c>
      <c r="AS38" s="78">
        <f>SUM(AS7:AS37)</f>
        <v>193320</v>
      </c>
      <c r="AT38" s="95">
        <f>SUM(AT7:AT37)</f>
        <v>189629</v>
      </c>
      <c r="AU38" s="90">
        <f>IF(AT38&gt;0,SUM(AT$7:AT38)-SUM(AS$7:AS38),0)</f>
        <v>-7382</v>
      </c>
      <c r="AV38" s="96">
        <f t="shared" si="23"/>
        <v>0.98090730395199666</v>
      </c>
      <c r="AW38" s="78">
        <f>SUM(AW7:AW37)</f>
        <v>201375</v>
      </c>
      <c r="AX38" s="78">
        <f>SUM(AX7:AX37)</f>
        <v>150291</v>
      </c>
      <c r="AY38" s="78">
        <f>AX38-AW38</f>
        <v>-51084</v>
      </c>
      <c r="AZ38" s="53">
        <f t="shared" si="31"/>
        <v>0.74632402234636874</v>
      </c>
      <c r="BA38" s="58">
        <f t="shared" si="4"/>
        <v>588015</v>
      </c>
      <c r="BB38" s="58">
        <f>IF(SUM(AP38,AT38,AX38)&gt;0,SUM(AP38,AT38,AX38),0)</f>
        <v>580885</v>
      </c>
      <c r="BC38" s="58">
        <f>BB38-BA38</f>
        <v>-7130</v>
      </c>
      <c r="BD38" s="53">
        <f t="shared" si="24"/>
        <v>0.98787445898488979</v>
      </c>
      <c r="BF38" s="46" t="s">
        <v>17</v>
      </c>
      <c r="BG38" s="63"/>
      <c r="BH38" s="75">
        <f>SUM(BH7:BH37)</f>
        <v>388800</v>
      </c>
      <c r="BI38" s="78">
        <f>SUM(BI7:BI37)</f>
        <v>429539</v>
      </c>
      <c r="BJ38" s="78">
        <f>BI38-BH38</f>
        <v>40739</v>
      </c>
      <c r="BK38" s="53">
        <f t="shared" si="26"/>
        <v>1.1047813786008231</v>
      </c>
      <c r="BL38" s="78">
        <f>SUM(BL7:BL37)</f>
        <v>168000</v>
      </c>
      <c r="BM38" s="78">
        <f>SUM(BM7:BM37)</f>
        <v>157100</v>
      </c>
      <c r="BN38" s="78">
        <f>BM38-BL38</f>
        <v>-10900</v>
      </c>
      <c r="BO38" s="53">
        <f t="shared" si="27"/>
        <v>0.93511904761904763</v>
      </c>
      <c r="BP38" s="78">
        <f>SUM(BP7:BP37)</f>
        <v>240000</v>
      </c>
      <c r="BQ38" s="78">
        <f>SUM(BQ7:BQ37)</f>
        <v>182829</v>
      </c>
      <c r="BR38" s="78">
        <f>BQ38-BP38</f>
        <v>-57171</v>
      </c>
      <c r="BS38" s="53">
        <f t="shared" si="32"/>
        <v>0.76178749999999995</v>
      </c>
      <c r="BT38" s="58">
        <f t="shared" si="5"/>
        <v>796800</v>
      </c>
      <c r="BU38" s="58">
        <f t="shared" si="5"/>
        <v>769468</v>
      </c>
      <c r="BV38" s="58">
        <f>BU38-BT38</f>
        <v>-27332</v>
      </c>
      <c r="BW38" s="53">
        <f t="shared" si="28"/>
        <v>0.96569779116465859</v>
      </c>
      <c r="BY38" s="46" t="s">
        <v>17</v>
      </c>
      <c r="BZ38" s="63"/>
      <c r="CA38" s="78">
        <f>SUM(CA7:CA37)</f>
        <v>61200</v>
      </c>
      <c r="CB38" s="78">
        <f>SUM(CB7:CB37)</f>
        <v>52612</v>
      </c>
      <c r="CC38" s="90">
        <f>CA38-CB38</f>
        <v>8588</v>
      </c>
      <c r="CD38" s="53">
        <f t="shared" si="30"/>
        <v>0.85967320261437907</v>
      </c>
    </row>
    <row r="39" spans="1:82" x14ac:dyDescent="0.25">
      <c r="O39" s="97">
        <f>SUM(O38/0.69)</f>
        <v>1269565.2173913044</v>
      </c>
      <c r="P39" s="97">
        <f>SUM(P38/0.7)</f>
        <v>963761.42857142864</v>
      </c>
      <c r="AH39" s="97">
        <f>SUM(AH38/0.7)</f>
        <v>1147142.8571428573</v>
      </c>
      <c r="AI39" s="97">
        <f>SUM(AI38/0.7)</f>
        <v>1127751.4285714286</v>
      </c>
      <c r="AU39" s="94"/>
      <c r="BA39" s="97">
        <f>SUM(BA38/0.7)</f>
        <v>840021.42857142864</v>
      </c>
      <c r="BB39" s="97">
        <f>SUM(BB38/0.7)</f>
        <v>829835.71428571432</v>
      </c>
      <c r="BT39" s="97">
        <f>SUM(BT38/0.7)</f>
        <v>1138285.7142857143</v>
      </c>
      <c r="BU39" s="97">
        <f>SUM(BU38/0.7)</f>
        <v>1099240</v>
      </c>
      <c r="CA39" s="97">
        <f>SUM(CA38/0.7)</f>
        <v>87428.571428571435</v>
      </c>
      <c r="CB39" s="97">
        <f>SUM(CB38/0.7)</f>
        <v>75160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</mergeCells>
  <conditionalFormatting sqref="D8">
    <cfRule type="top10" dxfId="1570" priority="1655" rank="1"/>
  </conditionalFormatting>
  <conditionalFormatting sqref="D7:E37">
    <cfRule type="top10" dxfId="1569" priority="1698" rank="1"/>
  </conditionalFormatting>
  <conditionalFormatting sqref="H7:H37">
    <cfRule type="top10" dxfId="1568" priority="1697" rank="1"/>
  </conditionalFormatting>
  <conditionalFormatting sqref="H8">
    <cfRule type="top10" dxfId="1567" priority="1654" rank="1"/>
  </conditionalFormatting>
  <conditionalFormatting sqref="H16">
    <cfRule type="top10" dxfId="1566" priority="1695" rank="1"/>
  </conditionalFormatting>
  <conditionalFormatting sqref="H32">
    <cfRule type="top10" dxfId="1565" priority="1485" rank="1"/>
  </conditionalFormatting>
  <conditionalFormatting sqref="L7:L37">
    <cfRule type="top10" dxfId="1564" priority="1550" rank="1"/>
  </conditionalFormatting>
  <conditionalFormatting sqref="L8">
    <cfRule type="top10" dxfId="1563" priority="1549" rank="1"/>
  </conditionalFormatting>
  <conditionalFormatting sqref="P7:Q37">
    <cfRule type="top10" dxfId="1562" priority="1696" rank="1"/>
  </conditionalFormatting>
  <conditionalFormatting sqref="W7:W37">
    <cfRule type="top10" dxfId="1561" priority="1548" rank="1"/>
  </conditionalFormatting>
  <conditionalFormatting sqref="W8">
    <cfRule type="top10" dxfId="1560" priority="1547" rank="1"/>
  </conditionalFormatting>
  <conditionalFormatting sqref="X7:X37">
    <cfRule type="top10" dxfId="1559" priority="1694" rank="1"/>
  </conditionalFormatting>
  <conditionalFormatting sqref="AA7:AA23 AA25:AA37">
    <cfRule type="top10" dxfId="1558" priority="1546" rank="1"/>
  </conditionalFormatting>
  <conditionalFormatting sqref="AA8">
    <cfRule type="top10" dxfId="1557" priority="1545" rank="1"/>
  </conditionalFormatting>
  <conditionalFormatting sqref="AA24">
    <cfRule type="top10" dxfId="1556" priority="1528" rank="1"/>
  </conditionalFormatting>
  <conditionalFormatting sqref="AE7:AE37">
    <cfRule type="top10" dxfId="1555" priority="1530" rank="1"/>
  </conditionalFormatting>
  <conditionalFormatting sqref="AE8">
    <cfRule type="top10" dxfId="1554" priority="1529" rank="1"/>
  </conditionalFormatting>
  <conditionalFormatting sqref="AI7:AJ37">
    <cfRule type="top10" dxfId="1553" priority="1693" rank="1"/>
  </conditionalFormatting>
  <conditionalFormatting sqref="AP7:AP37">
    <cfRule type="top10" dxfId="1552" priority="1536" rank="1"/>
  </conditionalFormatting>
  <conditionalFormatting sqref="AP8">
    <cfRule type="top10" dxfId="1551" priority="1535" rank="1"/>
  </conditionalFormatting>
  <conditionalFormatting sqref="AQ7:AQ37">
    <cfRule type="top10" dxfId="1550" priority="1692" rank="1"/>
  </conditionalFormatting>
  <conditionalFormatting sqref="AT7:AT37">
    <cfRule type="top10" dxfId="1549" priority="1534" rank="1"/>
  </conditionalFormatting>
  <conditionalFormatting sqref="AT8">
    <cfRule type="top10" dxfId="1548" priority="1533" rank="1"/>
  </conditionalFormatting>
  <conditionalFormatting sqref="AX7:AX37">
    <cfRule type="top10" dxfId="1547" priority="1532" rank="1"/>
  </conditionalFormatting>
  <conditionalFormatting sqref="AX8">
    <cfRule type="top10" dxfId="1546" priority="1531" rank="1"/>
  </conditionalFormatting>
  <conditionalFormatting sqref="BB7:BC37">
    <cfRule type="top10" dxfId="1545" priority="1691" rank="1"/>
  </conditionalFormatting>
  <conditionalFormatting sqref="BH7:BH38">
    <cfRule type="top10" dxfId="1544" priority="1688" rank="1"/>
  </conditionalFormatting>
  <conditionalFormatting sqref="BI7:BI37">
    <cfRule type="top10" dxfId="1543" priority="1544" rank="1"/>
  </conditionalFormatting>
  <conditionalFormatting sqref="BI8">
    <cfRule type="top10" dxfId="1542" priority="1543" rank="1"/>
  </conditionalFormatting>
  <conditionalFormatting sqref="BJ7:BJ37">
    <cfRule type="top10" dxfId="1541" priority="1690" rank="1"/>
  </conditionalFormatting>
  <conditionalFormatting sqref="BL10">
    <cfRule type="top10" dxfId="1540" priority="1193" rank="1"/>
  </conditionalFormatting>
  <conditionalFormatting sqref="BL11:BL17">
    <cfRule type="top10" dxfId="1539" priority="1653" rank="1"/>
  </conditionalFormatting>
  <conditionalFormatting sqref="BL12:BL17">
    <cfRule type="top10" dxfId="1538" priority="1679" rank="1"/>
  </conditionalFormatting>
  <conditionalFormatting sqref="BL13:BL17">
    <cfRule type="top10" dxfId="1537" priority="1648" rank="1"/>
  </conditionalFormatting>
  <conditionalFormatting sqref="BL14">
    <cfRule type="top10" dxfId="1536" priority="1668" rank="1"/>
  </conditionalFormatting>
  <conditionalFormatting sqref="BL14:BL17">
    <cfRule type="top10" dxfId="1535" priority="1659" rank="1"/>
  </conditionalFormatting>
  <conditionalFormatting sqref="BL16:BL26">
    <cfRule type="top10" dxfId="1534" priority="1675" rank="1"/>
  </conditionalFormatting>
  <conditionalFormatting sqref="BL17">
    <cfRule type="top10" dxfId="1533" priority="1192" rank="1"/>
  </conditionalFormatting>
  <conditionalFormatting sqref="BL17:BL26">
    <cfRule type="top10" dxfId="1532" priority="1642" rank="1"/>
  </conditionalFormatting>
  <conditionalFormatting sqref="BL18">
    <cfRule type="top10" dxfId="1531" priority="1568" rank="1"/>
    <cfRule type="top10" dxfId="1530" priority="1567" rank="1"/>
  </conditionalFormatting>
  <conditionalFormatting sqref="BL18:BL19">
    <cfRule type="top10" dxfId="1529" priority="1510" rank="1"/>
    <cfRule type="top10" dxfId="1528" priority="1507" rank="1"/>
    <cfRule type="top10" dxfId="1527" priority="1508" rank="1"/>
    <cfRule type="top10" dxfId="1526" priority="1509" rank="1"/>
  </conditionalFormatting>
  <conditionalFormatting sqref="BL18:BL26">
    <cfRule type="top10" dxfId="1525" priority="1652" rank="1"/>
  </conditionalFormatting>
  <conditionalFormatting sqref="BL19">
    <cfRule type="top10" dxfId="1524" priority="1474" rank="1"/>
    <cfRule type="top10" dxfId="1523" priority="1473" rank="1"/>
    <cfRule type="top10" dxfId="1522" priority="1471" rank="1"/>
    <cfRule type="top10" dxfId="1521" priority="1472" rank="1"/>
  </conditionalFormatting>
  <conditionalFormatting sqref="BL19:BL26">
    <cfRule type="top10" dxfId="1520" priority="1678" rank="1"/>
  </conditionalFormatting>
  <conditionalFormatting sqref="BL20:BL23">
    <cfRule type="top10" dxfId="1519" priority="1636" rank="1"/>
  </conditionalFormatting>
  <conditionalFormatting sqref="BL20:BL24">
    <cfRule type="top10" dxfId="1518" priority="1632" rank="1"/>
  </conditionalFormatting>
  <conditionalFormatting sqref="BL20:BL26">
    <cfRule type="top10" dxfId="1517" priority="1647" rank="1"/>
  </conditionalFormatting>
  <conditionalFormatting sqref="BL21:BL26">
    <cfRule type="top10" dxfId="1516" priority="1658" rank="1"/>
  </conditionalFormatting>
  <conditionalFormatting sqref="BL22:BL24">
    <cfRule type="top10" dxfId="1515" priority="1588" rank="1"/>
    <cfRule type="top10" dxfId="1514" priority="1589" rank="1"/>
    <cfRule type="top10" dxfId="1513" priority="1591" rank="1"/>
    <cfRule type="top10" dxfId="1512" priority="1590" rank="1"/>
    <cfRule type="top10" dxfId="1511" priority="1592" rank="1"/>
  </conditionalFormatting>
  <conditionalFormatting sqref="BL22:BL26">
    <cfRule type="top10" dxfId="1510" priority="1651" rank="1"/>
  </conditionalFormatting>
  <conditionalFormatting sqref="BL23:BL31">
    <cfRule type="top10" dxfId="1509" priority="1674" rank="1"/>
  </conditionalFormatting>
  <conditionalFormatting sqref="BL24">
    <cfRule type="top10" dxfId="1508" priority="1191" rank="1"/>
  </conditionalFormatting>
  <conditionalFormatting sqref="BL24:BL33">
    <cfRule type="top10" dxfId="1507" priority="1641" rank="1"/>
  </conditionalFormatting>
  <conditionalFormatting sqref="BL25">
    <cfRule type="top10" dxfId="1506" priority="1566" rank="1"/>
    <cfRule type="top10" dxfId="1505" priority="1565" rank="1"/>
  </conditionalFormatting>
  <conditionalFormatting sqref="BL25:BL31">
    <cfRule type="top10" dxfId="1504" priority="1628" rank="1"/>
  </conditionalFormatting>
  <conditionalFormatting sqref="BL25:BL33">
    <cfRule type="top10" dxfId="1503" priority="1650" rank="1"/>
  </conditionalFormatting>
  <conditionalFormatting sqref="BL26">
    <cfRule type="top10" dxfId="1502" priority="1583" rank="1"/>
    <cfRule type="top10" dxfId="1501" priority="1584" rank="1"/>
    <cfRule type="top10" dxfId="1500" priority="1587" rank="1"/>
    <cfRule type="top10" dxfId="1499" priority="1586" rank="1"/>
    <cfRule type="top10" dxfId="1498" priority="1585" rank="1"/>
  </conditionalFormatting>
  <conditionalFormatting sqref="BL26:BL34">
    <cfRule type="top10" dxfId="1497" priority="1677" rank="1"/>
  </conditionalFormatting>
  <conditionalFormatting sqref="BL27">
    <cfRule type="top10" dxfId="1496" priority="1520" rank="1"/>
    <cfRule type="top10" dxfId="1495" priority="1526" rank="1"/>
    <cfRule type="top10" dxfId="1494" priority="1525" rank="1"/>
    <cfRule type="top10" dxfId="1493" priority="1523" rank="1"/>
    <cfRule type="top10" dxfId="1492" priority="1524" rank="1"/>
    <cfRule type="top10" dxfId="1491" priority="1519" rank="1"/>
    <cfRule type="top10" dxfId="1490" priority="1518" rank="1"/>
    <cfRule type="top10" dxfId="1489" priority="1517" rank="1"/>
    <cfRule type="top10" dxfId="1488" priority="1516" rank="1"/>
    <cfRule type="top10" dxfId="1487" priority="1522" rank="1"/>
    <cfRule type="top10" dxfId="1486" priority="1521" rank="1"/>
    <cfRule type="top10" dxfId="1485" priority="1489" rank="1"/>
    <cfRule type="top10" dxfId="1484" priority="1527" rank="1"/>
  </conditionalFormatting>
  <conditionalFormatting sqref="BL27:BL31">
    <cfRule type="top10" dxfId="1483" priority="1631" rank="1"/>
  </conditionalFormatting>
  <conditionalFormatting sqref="BL27:BL34">
    <cfRule type="top10" dxfId="1482" priority="1657" rank="1"/>
  </conditionalFormatting>
  <conditionalFormatting sqref="BL28:BL31">
    <cfRule type="top10" dxfId="1481" priority="1666" rank="1"/>
  </conditionalFormatting>
  <conditionalFormatting sqref="BL29:BL33">
    <cfRule type="top10" dxfId="1480" priority="1582" rank="1"/>
    <cfRule type="top10" dxfId="1479" priority="1596" rank="1"/>
    <cfRule type="top10" dxfId="1478" priority="1580" rank="1"/>
    <cfRule type="top10" dxfId="1477" priority="1579" rank="1"/>
    <cfRule type="top10" dxfId="1476" priority="1576" rank="1"/>
    <cfRule type="top10" dxfId="1475" priority="1581" rank="1"/>
    <cfRule type="top10" dxfId="1474" priority="1577" rank="1"/>
    <cfRule type="top10" dxfId="1473" priority="1578" rank="1"/>
  </conditionalFormatting>
  <conditionalFormatting sqref="BL30:BL35">
    <cfRule type="top10" dxfId="1472" priority="1673" rank="1"/>
  </conditionalFormatting>
  <conditionalFormatting sqref="BL31">
    <cfRule type="top10" dxfId="1471" priority="1190" rank="1"/>
  </conditionalFormatting>
  <conditionalFormatting sqref="BL31:BL34">
    <cfRule type="top10" dxfId="1470" priority="1640" rank="1"/>
  </conditionalFormatting>
  <conditionalFormatting sqref="BL31:BL35">
    <cfRule type="top10" dxfId="1469" priority="1627" rank="1"/>
  </conditionalFormatting>
  <conditionalFormatting sqref="BL32">
    <cfRule type="top10" dxfId="1468" priority="1564" rank="1"/>
    <cfRule type="top10" dxfId="1467" priority="1563" rank="1"/>
  </conditionalFormatting>
  <conditionalFormatting sqref="BL32:BL37">
    <cfRule type="top10" dxfId="1466" priority="1649" rank="1"/>
  </conditionalFormatting>
  <conditionalFormatting sqref="BL33:BL37">
    <cfRule type="top10" dxfId="1465" priority="1676" rank="1"/>
  </conditionalFormatting>
  <conditionalFormatting sqref="BL34:BL37">
    <cfRule type="top10" dxfId="1464" priority="1656" rank="1"/>
  </conditionalFormatting>
  <conditionalFormatting sqref="BL35">
    <cfRule type="top10" dxfId="1463" priority="1664" rank="1"/>
  </conditionalFormatting>
  <conditionalFormatting sqref="BL36">
    <cfRule type="top10" dxfId="1462" priority="1595" rank="1"/>
    <cfRule type="top10" dxfId="1461" priority="1574" rank="1"/>
    <cfRule type="top10" dxfId="1460" priority="1575" rank="1"/>
    <cfRule type="top10" dxfId="1459" priority="1572" rank="1"/>
    <cfRule type="top10" dxfId="1458" priority="1573" rank="1"/>
    <cfRule type="top10" dxfId="1457" priority="1571" rank="1"/>
    <cfRule type="top10" dxfId="1456" priority="1570" rank="1"/>
    <cfRule type="top10" dxfId="1455" priority="1569" rank="1"/>
  </conditionalFormatting>
  <conditionalFormatting sqref="BL37">
    <cfRule type="top10" dxfId="1454" priority="1499" rank="1"/>
    <cfRule type="top10" dxfId="1453" priority="1498" rank="1"/>
    <cfRule type="top10" dxfId="1452" priority="1497" rank="1"/>
    <cfRule type="top10" dxfId="1451" priority="1492" rank="1"/>
    <cfRule type="top10" dxfId="1450" priority="1493" rank="1"/>
    <cfRule type="top10" dxfId="1449" priority="1494" rank="1"/>
    <cfRule type="top10" dxfId="1448" priority="1495" rank="1"/>
    <cfRule type="top10" dxfId="1447" priority="1496" rank="1"/>
  </conditionalFormatting>
  <conditionalFormatting sqref="BL33:BM37 BL7:BL32">
    <cfRule type="top10" dxfId="1446" priority="1643" rank="1"/>
    <cfRule type="top10" dxfId="1445" priority="1687" rank="1"/>
    <cfRule type="top10" dxfId="1444" priority="1629" rank="1"/>
  </conditionalFormatting>
  <conditionalFormatting sqref="BM7:BM37">
    <cfRule type="top10" dxfId="1443" priority="1542" rank="1"/>
  </conditionalFormatting>
  <conditionalFormatting sqref="BM8">
    <cfRule type="top10" dxfId="1442" priority="1541" rank="1"/>
  </conditionalFormatting>
  <conditionalFormatting sqref="BP7:BP37">
    <cfRule type="top10" dxfId="1441" priority="1597" rank="1"/>
    <cfRule type="top10" dxfId="1440" priority="1685" rank="1"/>
    <cfRule type="top10" dxfId="1439" priority="1686" rank="1"/>
    <cfRule type="top10" dxfId="1438" priority="1607" rank="1"/>
    <cfRule type="top10" dxfId="1437" priority="1610" rank="1"/>
    <cfRule type="top10" dxfId="1436" priority="1622" rank="1"/>
    <cfRule type="top10" dxfId="1435" priority="1672" rank="1"/>
    <cfRule type="top10" dxfId="1434" priority="576" rank="1"/>
    <cfRule type="top10" dxfId="1433" priority="577" rank="1"/>
    <cfRule type="top10" dxfId="1432" priority="1194" rank="1"/>
    <cfRule type="top10" dxfId="1431" priority="1195" rank="1"/>
    <cfRule type="top10" dxfId="1430" priority="1196" rank="1"/>
    <cfRule type="top10" dxfId="1429" priority="575" rank="1"/>
  </conditionalFormatting>
  <conditionalFormatting sqref="BP10">
    <cfRule type="top10" dxfId="1428" priority="1189" rank="1"/>
  </conditionalFormatting>
  <conditionalFormatting sqref="BP11:BP17">
    <cfRule type="top10" dxfId="1427" priority="1617" rank="1"/>
  </conditionalFormatting>
  <conditionalFormatting sqref="BP12:BP17">
    <cfRule type="top10" dxfId="1426" priority="1625" rank="1"/>
  </conditionalFormatting>
  <conditionalFormatting sqref="BP12:BP24">
    <cfRule type="top10" dxfId="1425" priority="1683" rank="1"/>
  </conditionalFormatting>
  <conditionalFormatting sqref="BP13:BP14">
    <cfRule type="top10" dxfId="1424" priority="1633" rank="1"/>
  </conditionalFormatting>
  <conditionalFormatting sqref="BP13:BP17">
    <cfRule type="top10" dxfId="1423" priority="1612" rank="1"/>
  </conditionalFormatting>
  <conditionalFormatting sqref="BP13:BP24">
    <cfRule type="top10" dxfId="1422" priority="1646" rank="1"/>
  </conditionalFormatting>
  <conditionalFormatting sqref="BP14">
    <cfRule type="top10" dxfId="1421" priority="1667" rank="1"/>
  </conditionalFormatting>
  <conditionalFormatting sqref="BP14:BP17">
    <cfRule type="top10" dxfId="1420" priority="1620" rank="1"/>
  </conditionalFormatting>
  <conditionalFormatting sqref="BP16:BP18 BP20:BP21">
    <cfRule type="top10" dxfId="1419" priority="1671" rank="1"/>
  </conditionalFormatting>
  <conditionalFormatting sqref="BP16:BP21">
    <cfRule type="top10" dxfId="1418" priority="1621" rank="1"/>
  </conditionalFormatting>
  <conditionalFormatting sqref="BP16:BP23">
    <cfRule type="top10" dxfId="1417" priority="1603" rank="1"/>
  </conditionalFormatting>
  <conditionalFormatting sqref="BP17">
    <cfRule type="top10" dxfId="1416" priority="1188" rank="1"/>
  </conditionalFormatting>
  <conditionalFormatting sqref="BP17:BP18 BP20:BP21">
    <cfRule type="top10" dxfId="1415" priority="1639" rank="1"/>
  </conditionalFormatting>
  <conditionalFormatting sqref="BP17:BP20">
    <cfRule type="top10" dxfId="1414" priority="1606" rank="1"/>
  </conditionalFormatting>
  <conditionalFormatting sqref="BP17:BP21">
    <cfRule type="top10" dxfId="1413" priority="1609" rank="1"/>
  </conditionalFormatting>
  <conditionalFormatting sqref="BP17:BP23">
    <cfRule type="top10" dxfId="1412" priority="1599" rank="1"/>
  </conditionalFormatting>
  <conditionalFormatting sqref="BP18">
    <cfRule type="top10" dxfId="1411" priority="1560" rank="1"/>
    <cfRule type="top10" dxfId="1410" priority="1562" rank="1"/>
    <cfRule type="top10" dxfId="1409" priority="1559" rank="1"/>
    <cfRule type="top10" dxfId="1408" priority="1561" rank="1"/>
  </conditionalFormatting>
  <conditionalFormatting sqref="BP18:BP19">
    <cfRule type="top10" dxfId="1407" priority="1503" rank="1"/>
    <cfRule type="top10" dxfId="1406" priority="1504" rank="1"/>
    <cfRule type="top10" dxfId="1405" priority="1506" rank="1"/>
    <cfRule type="top10" dxfId="1404" priority="1505" rank="1"/>
  </conditionalFormatting>
  <conditionalFormatting sqref="BP18:BP20">
    <cfRule type="top10" dxfId="1403" priority="1616" rank="1"/>
  </conditionalFormatting>
  <conditionalFormatting sqref="BP18:BP23">
    <cfRule type="top10" dxfId="1402" priority="1600" rank="1"/>
  </conditionalFormatting>
  <conditionalFormatting sqref="BP19">
    <cfRule type="top10" dxfId="1401" priority="1470" rank="1"/>
    <cfRule type="top10" dxfId="1400" priority="1469" rank="1"/>
    <cfRule type="top10" dxfId="1399" priority="1464" rank="1"/>
    <cfRule type="top10" dxfId="1398" priority="1465" rank="1"/>
    <cfRule type="top10" dxfId="1397" priority="1466" rank="1"/>
    <cfRule type="top10" dxfId="1396" priority="1468" rank="1"/>
    <cfRule type="top10" dxfId="1395" priority="1467" rank="1"/>
  </conditionalFormatting>
  <conditionalFormatting sqref="BP19:BP23">
    <cfRule type="top10" dxfId="1394" priority="1626" rank="1"/>
  </conditionalFormatting>
  <conditionalFormatting sqref="BP19:BP26">
    <cfRule type="top10" dxfId="1393" priority="1624" rank="1"/>
  </conditionalFormatting>
  <conditionalFormatting sqref="BP20:BP21">
    <cfRule type="top10" dxfId="1392" priority="1634" rank="1"/>
  </conditionalFormatting>
  <conditionalFormatting sqref="BP20:BP23">
    <cfRule type="top10" dxfId="1391" priority="1598" rank="1"/>
  </conditionalFormatting>
  <conditionalFormatting sqref="BP20:BP24">
    <cfRule type="top10" dxfId="1390" priority="1682" rank="1"/>
  </conditionalFormatting>
  <conditionalFormatting sqref="BP20:BP26">
    <cfRule type="top10" dxfId="1389" priority="1611" rank="1"/>
  </conditionalFormatting>
  <conditionalFormatting sqref="BP21:BP26">
    <cfRule type="top10" dxfId="1388" priority="1619" rank="1"/>
  </conditionalFormatting>
  <conditionalFormatting sqref="BP22:BP26">
    <cfRule type="top10" dxfId="1387" priority="1615" rank="1"/>
  </conditionalFormatting>
  <conditionalFormatting sqref="BP23:BP28">
    <cfRule type="top10" dxfId="1386" priority="1670" rank="1"/>
  </conditionalFormatting>
  <conditionalFormatting sqref="BP23:BP33">
    <cfRule type="top10" dxfId="1385" priority="1602" rank="1"/>
  </conditionalFormatting>
  <conditionalFormatting sqref="BP24">
    <cfRule type="top10" dxfId="1384" priority="1187" rank="1"/>
  </conditionalFormatting>
  <conditionalFormatting sqref="BP24:BP28">
    <cfRule type="top10" dxfId="1383" priority="1638" rank="1"/>
  </conditionalFormatting>
  <conditionalFormatting sqref="BP24:BP33">
    <cfRule type="top10" dxfId="1382" priority="1608" rank="1"/>
  </conditionalFormatting>
  <conditionalFormatting sqref="BP25">
    <cfRule type="top10" dxfId="1381" priority="1558" rank="1"/>
    <cfRule type="top10" dxfId="1380" priority="1557" rank="1"/>
    <cfRule type="top10" dxfId="1379" priority="1556" rank="1"/>
    <cfRule type="top10" dxfId="1378" priority="1555" rank="1"/>
  </conditionalFormatting>
  <conditionalFormatting sqref="BP25:BP28">
    <cfRule type="top10" dxfId="1377" priority="1605" rank="1"/>
  </conditionalFormatting>
  <conditionalFormatting sqref="BP25:BP33">
    <cfRule type="top10" dxfId="1376" priority="1614" rank="1"/>
  </conditionalFormatting>
  <conditionalFormatting sqref="BP26">
    <cfRule type="top10" dxfId="1375" priority="1661" rank="1"/>
  </conditionalFormatting>
  <conditionalFormatting sqref="BP26:BP33">
    <cfRule type="top10" dxfId="1374" priority="1681" rank="1"/>
  </conditionalFormatting>
  <conditionalFormatting sqref="BP26:BP34">
    <cfRule type="top10" dxfId="1373" priority="1623" rank="1"/>
  </conditionalFormatting>
  <conditionalFormatting sqref="BP27">
    <cfRule type="top10" dxfId="1372" priority="1488" rank="1"/>
    <cfRule type="top10" dxfId="1371" priority="1487" rank="1"/>
    <cfRule type="top10" dxfId="1370" priority="1511" rank="1"/>
    <cfRule type="top10" dxfId="1369" priority="1512" rank="1"/>
    <cfRule type="top10" dxfId="1368" priority="1514" rank="1"/>
    <cfRule type="top10" dxfId="1367" priority="1515" rank="1"/>
    <cfRule type="top10" dxfId="1366" priority="1513" rank="1"/>
  </conditionalFormatting>
  <conditionalFormatting sqref="BP27:BP28">
    <cfRule type="top10" dxfId="1365" priority="1635" rank="1"/>
  </conditionalFormatting>
  <conditionalFormatting sqref="BP27:BP32">
    <cfRule type="top10" dxfId="1364" priority="1630" rank="1"/>
  </conditionalFormatting>
  <conditionalFormatting sqref="BP27:BP33">
    <cfRule type="top10" dxfId="1363" priority="1645" rank="1"/>
  </conditionalFormatting>
  <conditionalFormatting sqref="BP27:BP34">
    <cfRule type="top10" dxfId="1362" priority="1618" rank="1"/>
  </conditionalFormatting>
  <conditionalFormatting sqref="BP28">
    <cfRule type="top10" dxfId="1361" priority="1665" rank="1"/>
  </conditionalFormatting>
  <conditionalFormatting sqref="BP28:BP32">
    <cfRule type="top10" dxfId="1360" priority="1601" rank="1"/>
  </conditionalFormatting>
  <conditionalFormatting sqref="BP29:BP33">
    <cfRule type="top10" dxfId="1359" priority="1594" rank="1"/>
  </conditionalFormatting>
  <conditionalFormatting sqref="BP30:BP35">
    <cfRule type="top10" dxfId="1358" priority="1669" rank="1"/>
  </conditionalFormatting>
  <conditionalFormatting sqref="BP31:BP32">
    <cfRule type="top10" dxfId="1357" priority="1186" rank="1"/>
  </conditionalFormatting>
  <conditionalFormatting sqref="BP31:BP34">
    <cfRule type="top10" dxfId="1356" priority="1637" rank="1"/>
  </conditionalFormatting>
  <conditionalFormatting sqref="BP31:BP35">
    <cfRule type="top10" dxfId="1355" priority="1604" rank="1"/>
  </conditionalFormatting>
  <conditionalFormatting sqref="BP32">
    <cfRule type="top10" dxfId="1354" priority="1552" rank="1"/>
    <cfRule type="top10" dxfId="1353" priority="1553" rank="1"/>
    <cfRule type="top10" dxfId="1352" priority="1551" rank="1"/>
    <cfRule type="top10" dxfId="1351" priority="1554" rank="1"/>
  </conditionalFormatting>
  <conditionalFormatting sqref="BP32:BP37">
    <cfRule type="top10" dxfId="1350" priority="1613" rank="1"/>
  </conditionalFormatting>
  <conditionalFormatting sqref="BP33">
    <cfRule type="top10" dxfId="1349" priority="1660" rank="1"/>
  </conditionalFormatting>
  <conditionalFormatting sqref="BP33:BP37">
    <cfRule type="top10" dxfId="1348" priority="1680" rank="1"/>
  </conditionalFormatting>
  <conditionalFormatting sqref="BP34:BP37">
    <cfRule type="top10" dxfId="1347" priority="1644" rank="1"/>
  </conditionalFormatting>
  <conditionalFormatting sqref="BP35">
    <cfRule type="top10" dxfId="1346" priority="1663" rank="1"/>
  </conditionalFormatting>
  <conditionalFormatting sqref="BP36">
    <cfRule type="top10" dxfId="1345" priority="1593" rank="1"/>
  </conditionalFormatting>
  <conditionalFormatting sqref="BP37">
    <cfRule type="top10" dxfId="1344" priority="1662" rank="1"/>
    <cfRule type="top10" dxfId="1343" priority="1491" rank="1"/>
  </conditionalFormatting>
  <conditionalFormatting sqref="BQ7:BQ37">
    <cfRule type="top10" dxfId="1342" priority="1540" rank="1"/>
  </conditionalFormatting>
  <conditionalFormatting sqref="BQ8">
    <cfRule type="top10" dxfId="1341" priority="1539" rank="1"/>
  </conditionalFormatting>
  <conditionalFormatting sqref="BU7:BV37">
    <cfRule type="top10" dxfId="1340" priority="1689" rank="1"/>
  </conditionalFormatting>
  <conditionalFormatting sqref="CB7:CB37">
    <cfRule type="top10" dxfId="1339" priority="1538" rank="1"/>
  </conditionalFormatting>
  <conditionalFormatting sqref="CB8">
    <cfRule type="top10" dxfId="1338" priority="1537" rank="1"/>
  </conditionalFormatting>
  <conditionalFormatting sqref="CC7:CC38">
    <cfRule type="top10" dxfId="1337" priority="1684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36">
    <tabColor rgb="FF92D050"/>
  </sheetPr>
  <dimension ref="B1:L28"/>
  <sheetViews>
    <sheetView topLeftCell="A11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41244</v>
      </c>
      <c r="C4" s="24">
        <v>54391</v>
      </c>
      <c r="D4" s="25">
        <f>(SUM(C4:C4)-(F4*1))</f>
        <v>-8766.8947368421068</v>
      </c>
      <c r="E4" s="24">
        <f>C4/1</f>
        <v>54391</v>
      </c>
      <c r="F4" s="30">
        <f t="shared" ref="F4:F22" si="0">$F$23/$G$22</f>
        <v>63157.894736842107</v>
      </c>
      <c r="G4" s="20">
        <v>1</v>
      </c>
      <c r="H4" s="19">
        <v>41244</v>
      </c>
      <c r="I4" s="12">
        <v>15059</v>
      </c>
      <c r="J4" s="10">
        <f>(SUM(I4:I4)-(L4*1))</f>
        <v>-16519.947368421053</v>
      </c>
      <c r="K4" s="10">
        <f>I4/1</f>
        <v>15059</v>
      </c>
      <c r="L4" s="10">
        <f t="shared" ref="L4:L22" si="1">$L$23/$G$22</f>
        <v>31578.947368421053</v>
      </c>
    </row>
    <row r="5" spans="2:12" ht="20.100000000000001" customHeight="1" x14ac:dyDescent="0.2">
      <c r="B5" s="19">
        <v>41246</v>
      </c>
      <c r="C5" s="26">
        <v>58235</v>
      </c>
      <c r="D5" s="25">
        <f>(SUM(C$4:C5)-(F5*G5))</f>
        <v>-13689.789473684214</v>
      </c>
      <c r="E5" s="24">
        <f>SUM(C$4:C5)/G5</f>
        <v>56313</v>
      </c>
      <c r="F5" s="30">
        <f t="shared" si="0"/>
        <v>63157.894736842107</v>
      </c>
      <c r="G5" s="20">
        <f>G4+1</f>
        <v>2</v>
      </c>
      <c r="H5" s="19">
        <v>41246</v>
      </c>
      <c r="I5" s="21">
        <v>34394</v>
      </c>
      <c r="J5" s="10">
        <f>SUM(I$4:I5)-(L5*G5)</f>
        <v>-13704.894736842107</v>
      </c>
      <c r="K5" s="10">
        <f>SUM(I$4:I5)/G5</f>
        <v>24726.5</v>
      </c>
      <c r="L5" s="10">
        <f t="shared" si="1"/>
        <v>31578.947368421053</v>
      </c>
    </row>
    <row r="6" spans="2:12" ht="20.100000000000001" customHeight="1" x14ac:dyDescent="0.2">
      <c r="B6" s="19">
        <v>41247</v>
      </c>
      <c r="C6" s="24">
        <v>37459</v>
      </c>
      <c r="D6" s="25">
        <f>(SUM(C$4:C6)-(F6*G6))</f>
        <v>-39388.68421052632</v>
      </c>
      <c r="E6" s="24">
        <f>SUM(C$4:C6)/G6</f>
        <v>50028.333333333336</v>
      </c>
      <c r="F6" s="30">
        <f t="shared" si="0"/>
        <v>63157.894736842107</v>
      </c>
      <c r="G6" s="20">
        <f t="shared" ref="G6:G21" si="2">G5+1</f>
        <v>3</v>
      </c>
      <c r="H6" s="19">
        <v>41247</v>
      </c>
      <c r="I6" s="21">
        <v>8757</v>
      </c>
      <c r="J6" s="10">
        <f>SUM(I$4:I6)-(L6*G6)</f>
        <v>-36526.84210526316</v>
      </c>
      <c r="K6" s="10">
        <f>SUM(I$4:I6)/G6</f>
        <v>19403.333333333332</v>
      </c>
      <c r="L6" s="10">
        <f t="shared" si="1"/>
        <v>31578.947368421053</v>
      </c>
    </row>
    <row r="7" spans="2:12" ht="20.100000000000001" customHeight="1" x14ac:dyDescent="0.2">
      <c r="B7" s="19">
        <v>41248</v>
      </c>
      <c r="C7" s="24">
        <v>60356</v>
      </c>
      <c r="D7" s="25">
        <f>(SUM(C$4:C7)-(F7*G7))</f>
        <v>-42190.578947368427</v>
      </c>
      <c r="E7" s="24">
        <f>SUM(C$4:C7)/G7</f>
        <v>52610.25</v>
      </c>
      <c r="F7" s="30">
        <f t="shared" si="0"/>
        <v>63157.894736842107</v>
      </c>
      <c r="G7" s="20">
        <f t="shared" si="2"/>
        <v>4</v>
      </c>
      <c r="H7" s="19">
        <v>41248</v>
      </c>
      <c r="I7" s="21">
        <v>23111</v>
      </c>
      <c r="J7" s="10">
        <f>SUM(I$4:I7)-(L7*G7)</f>
        <v>-44994.789473684214</v>
      </c>
      <c r="K7" s="10">
        <f>SUM(I$4:I7)/G7</f>
        <v>20330.25</v>
      </c>
      <c r="L7" s="10">
        <f t="shared" si="1"/>
        <v>31578.947368421053</v>
      </c>
    </row>
    <row r="8" spans="2:12" ht="20.100000000000001" customHeight="1" x14ac:dyDescent="0.2">
      <c r="B8" s="19">
        <v>41249</v>
      </c>
      <c r="C8" s="24">
        <v>45854</v>
      </c>
      <c r="D8" s="25">
        <f>(SUM(C$4:C8)-(F8*G8))</f>
        <v>-59494.473684210563</v>
      </c>
      <c r="E8" s="24">
        <f>SUM(C$4:C8)/G8</f>
        <v>51259</v>
      </c>
      <c r="F8" s="30">
        <f t="shared" si="0"/>
        <v>63157.894736842107</v>
      </c>
      <c r="G8" s="20">
        <f t="shared" si="2"/>
        <v>5</v>
      </c>
      <c r="H8" s="19">
        <v>41249</v>
      </c>
      <c r="I8" s="21">
        <v>27192</v>
      </c>
      <c r="J8" s="10">
        <f>SUM(I$4:I8)-(L8*G8)</f>
        <v>-49381.736842105282</v>
      </c>
      <c r="K8" s="10">
        <f>SUM(I$4:I8)/G8</f>
        <v>21702.6</v>
      </c>
      <c r="L8" s="10">
        <f t="shared" si="1"/>
        <v>31578.947368421053</v>
      </c>
    </row>
    <row r="9" spans="2:12" ht="20.100000000000001" customHeight="1" x14ac:dyDescent="0.2">
      <c r="B9" s="19">
        <v>41250</v>
      </c>
      <c r="C9" s="24">
        <v>54174</v>
      </c>
      <c r="D9" s="25">
        <f>(SUM(C$4:C9)-(F9*G9))</f>
        <v>-68478.368421052641</v>
      </c>
      <c r="E9" s="24">
        <f>SUM(C$4:C9)/G9</f>
        <v>51744.833333333336</v>
      </c>
      <c r="F9" s="30">
        <f t="shared" si="0"/>
        <v>63157.894736842107</v>
      </c>
      <c r="G9" s="20">
        <f t="shared" si="2"/>
        <v>6</v>
      </c>
      <c r="H9" s="19">
        <v>41250</v>
      </c>
      <c r="I9" s="21">
        <v>19274</v>
      </c>
      <c r="J9" s="10">
        <f>SUM(I$4:I9)-(L9*G9)</f>
        <v>-61686.68421052632</v>
      </c>
      <c r="K9" s="10">
        <f>SUM(I$4:I9)/G9</f>
        <v>21297.833333333332</v>
      </c>
      <c r="L9" s="10">
        <f t="shared" si="1"/>
        <v>31578.947368421053</v>
      </c>
    </row>
    <row r="10" spans="2:12" ht="19.5" customHeight="1" x14ac:dyDescent="0.2">
      <c r="B10" s="19">
        <v>41251</v>
      </c>
      <c r="C10" s="24">
        <v>47217</v>
      </c>
      <c r="D10" s="25">
        <f>(SUM(C$4:C10)-(F10*G10))</f>
        <v>-84419.263157894718</v>
      </c>
      <c r="E10" s="24">
        <f>SUM(C$4:C10)/G10</f>
        <v>51098</v>
      </c>
      <c r="F10" s="30">
        <f t="shared" si="0"/>
        <v>63157.894736842107</v>
      </c>
      <c r="G10" s="20">
        <f t="shared" si="2"/>
        <v>7</v>
      </c>
      <c r="H10" s="19">
        <v>41251</v>
      </c>
      <c r="I10" s="21">
        <v>16502</v>
      </c>
      <c r="J10" s="10">
        <f>SUM(I$4:I10)-(L10*G10)</f>
        <v>-76763.631578947359</v>
      </c>
      <c r="K10" s="10">
        <f>SUM(I$4:I10)/G10</f>
        <v>20612.714285714286</v>
      </c>
      <c r="L10" s="10">
        <f t="shared" si="1"/>
        <v>31578.947368421053</v>
      </c>
    </row>
    <row r="11" spans="2:12" ht="20.100000000000001" customHeight="1" x14ac:dyDescent="0.2">
      <c r="B11" s="19">
        <v>41253</v>
      </c>
      <c r="C11" s="27">
        <v>66694</v>
      </c>
      <c r="D11" s="25">
        <f>(SUM(C$4:C11)-(F11*G11))</f>
        <v>-80883.157894736854</v>
      </c>
      <c r="E11" s="24">
        <f>SUM(C$4:C11)/G11</f>
        <v>53047.5</v>
      </c>
      <c r="F11" s="30">
        <f t="shared" si="0"/>
        <v>63157.894736842107</v>
      </c>
      <c r="G11" s="20">
        <f t="shared" si="2"/>
        <v>8</v>
      </c>
      <c r="H11" s="19">
        <v>41253</v>
      </c>
      <c r="I11" s="22">
        <v>43053</v>
      </c>
      <c r="J11" s="10">
        <f>SUM(I$4:I11)-(L11*G11)</f>
        <v>-65289.578947368427</v>
      </c>
      <c r="K11" s="10">
        <f>SUM(I$4:I11)/G11</f>
        <v>23417.75</v>
      </c>
      <c r="L11" s="10">
        <f t="shared" si="1"/>
        <v>31578.947368421053</v>
      </c>
    </row>
    <row r="12" spans="2:12" ht="20.100000000000001" customHeight="1" x14ac:dyDescent="0.2">
      <c r="B12" s="19">
        <v>41254</v>
      </c>
      <c r="C12" s="27">
        <v>60400</v>
      </c>
      <c r="D12" s="25">
        <f>(SUM(C$4:C12)-(F12*G12))</f>
        <v>-83641.05263157899</v>
      </c>
      <c r="E12" s="24">
        <f>SUM(C$4:C12)/G12</f>
        <v>53864.444444444445</v>
      </c>
      <c r="F12" s="30">
        <f t="shared" si="0"/>
        <v>63157.894736842107</v>
      </c>
      <c r="G12" s="20">
        <f t="shared" si="2"/>
        <v>9</v>
      </c>
      <c r="H12" s="19">
        <v>41254</v>
      </c>
      <c r="I12" s="22">
        <v>36553</v>
      </c>
      <c r="J12" s="10">
        <f>SUM(I$4:I12)-(L12*G12)</f>
        <v>-60315.526315789495</v>
      </c>
      <c r="K12" s="10">
        <f>SUM(I$4:I12)/G12</f>
        <v>24877.222222222223</v>
      </c>
      <c r="L12" s="10">
        <f t="shared" si="1"/>
        <v>31578.947368421053</v>
      </c>
    </row>
    <row r="13" spans="2:12" ht="20.100000000000001" customHeight="1" x14ac:dyDescent="0.2">
      <c r="B13" s="19">
        <v>41255</v>
      </c>
      <c r="C13" s="24">
        <v>70836</v>
      </c>
      <c r="D13" s="25">
        <f>(SUM(C$4:C13)-(F13*G13))</f>
        <v>-75962.947368421126</v>
      </c>
      <c r="E13" s="24">
        <f>SUM(C$4:C13)/G13</f>
        <v>55561.599999999999</v>
      </c>
      <c r="F13" s="30">
        <f t="shared" si="0"/>
        <v>63157.894736842107</v>
      </c>
      <c r="G13" s="20">
        <f t="shared" si="2"/>
        <v>10</v>
      </c>
      <c r="H13" s="19">
        <v>41255</v>
      </c>
      <c r="I13" s="21">
        <v>21259</v>
      </c>
      <c r="J13" s="10">
        <f>SUM(I$4:I13)-(L13*G13)</f>
        <v>-70635.473684210563</v>
      </c>
      <c r="K13" s="10">
        <f>SUM(I$4:I13)/G13</f>
        <v>24515.4</v>
      </c>
      <c r="L13" s="10">
        <f t="shared" si="1"/>
        <v>31578.947368421053</v>
      </c>
    </row>
    <row r="14" spans="2:12" ht="20.100000000000001" customHeight="1" x14ac:dyDescent="0.2">
      <c r="B14" s="19">
        <v>41256</v>
      </c>
      <c r="C14" s="24">
        <v>61396</v>
      </c>
      <c r="D14" s="25">
        <f>(SUM(C$4:C14)-(F14*G14))</f>
        <v>-77724.842105263146</v>
      </c>
      <c r="E14" s="24">
        <f>SUM(C$4:C14)/G14</f>
        <v>56092</v>
      </c>
      <c r="F14" s="30">
        <f t="shared" si="0"/>
        <v>63157.894736842107</v>
      </c>
      <c r="G14" s="20">
        <f t="shared" si="2"/>
        <v>11</v>
      </c>
      <c r="H14" s="19">
        <v>41256</v>
      </c>
      <c r="I14" s="21">
        <v>27173</v>
      </c>
      <c r="J14" s="10">
        <f>SUM(I$4:I14)-(L14*G14)</f>
        <v>-75041.421052631573</v>
      </c>
      <c r="K14" s="10">
        <f>SUM(I$4:I14)/G14</f>
        <v>24757</v>
      </c>
      <c r="L14" s="10">
        <f t="shared" si="1"/>
        <v>31578.947368421053</v>
      </c>
    </row>
    <row r="15" spans="2:12" ht="20.100000000000001" customHeight="1" x14ac:dyDescent="0.2">
      <c r="B15" s="19">
        <v>41257</v>
      </c>
      <c r="C15" s="24">
        <v>86112</v>
      </c>
      <c r="D15" s="25">
        <f>(SUM(C$4:C15)-(F15*G15))</f>
        <v>-54770.736842105282</v>
      </c>
      <c r="E15" s="24">
        <f>SUM(C$4:C15)/G15</f>
        <v>58593.666666666664</v>
      </c>
      <c r="F15" s="30">
        <f t="shared" si="0"/>
        <v>63157.894736842107</v>
      </c>
      <c r="G15" s="20">
        <f t="shared" si="2"/>
        <v>12</v>
      </c>
      <c r="H15" s="19">
        <v>41257</v>
      </c>
      <c r="I15" s="21">
        <v>17589</v>
      </c>
      <c r="J15" s="10">
        <f>SUM(I$4:I15)-(L15*G15)</f>
        <v>-89031.368421052641</v>
      </c>
      <c r="K15" s="10">
        <f>SUM(I$4:I15)/G15</f>
        <v>24159.666666666668</v>
      </c>
      <c r="L15" s="10">
        <f t="shared" si="1"/>
        <v>31578.947368421053</v>
      </c>
    </row>
    <row r="16" spans="2:12" ht="20.100000000000001" customHeight="1" x14ac:dyDescent="0.2">
      <c r="B16" s="19">
        <v>41260</v>
      </c>
      <c r="C16" s="28">
        <v>60927</v>
      </c>
      <c r="D16" s="25">
        <f>(SUM(C$4:C16)-(F16*G16))</f>
        <v>-57001.631578947417</v>
      </c>
      <c r="E16" s="24">
        <f>SUM(C$4:C16)/G16</f>
        <v>58773.153846153844</v>
      </c>
      <c r="F16" s="30">
        <f t="shared" si="0"/>
        <v>63157.894736842107</v>
      </c>
      <c r="G16" s="20">
        <f t="shared" si="2"/>
        <v>13</v>
      </c>
      <c r="H16" s="19">
        <v>41260</v>
      </c>
      <c r="I16" s="13">
        <v>23327</v>
      </c>
      <c r="J16" s="10">
        <f>SUM(I$4:I16)-(L16*G16)</f>
        <v>-97283.315789473709</v>
      </c>
      <c r="K16" s="10">
        <f>SUM(I$4:I16)/G16</f>
        <v>24095.615384615383</v>
      </c>
      <c r="L16" s="10">
        <f t="shared" si="1"/>
        <v>31578.947368421053</v>
      </c>
    </row>
    <row r="17" spans="2:12" ht="20.100000000000001" customHeight="1" x14ac:dyDescent="0.2">
      <c r="B17" s="19">
        <v>41261</v>
      </c>
      <c r="C17" s="29">
        <v>65446</v>
      </c>
      <c r="D17" s="25">
        <f>(SUM(C$4:C17)-(F17*G17))</f>
        <v>-54713.526315789437</v>
      </c>
      <c r="E17" s="24">
        <f>SUM(C$4:C17)/G17</f>
        <v>59249.785714285717</v>
      </c>
      <c r="F17" s="30">
        <f t="shared" si="0"/>
        <v>63157.894736842107</v>
      </c>
      <c r="G17" s="20">
        <f t="shared" si="2"/>
        <v>14</v>
      </c>
      <c r="H17" s="19">
        <v>41261</v>
      </c>
      <c r="I17" s="21">
        <v>57222</v>
      </c>
      <c r="J17" s="10">
        <f>SUM(I$4:I17)-(L17*G17)</f>
        <v>-71640.263157894718</v>
      </c>
      <c r="K17" s="10">
        <f>SUM(I$4:I17)/G17</f>
        <v>26461.785714285714</v>
      </c>
      <c r="L17" s="10">
        <f t="shared" si="1"/>
        <v>31578.947368421053</v>
      </c>
    </row>
    <row r="18" spans="2:12" ht="20.100000000000001" customHeight="1" x14ac:dyDescent="0.2">
      <c r="B18" s="19">
        <v>41262</v>
      </c>
      <c r="C18" s="29">
        <v>45704</v>
      </c>
      <c r="D18" s="25">
        <f>(SUM(C$4:C18)-(F18*G18))</f>
        <v>-72167.421052631573</v>
      </c>
      <c r="E18" s="24">
        <f>SUM(C$4:C18)/G18</f>
        <v>58346.73333333333</v>
      </c>
      <c r="F18" s="30">
        <f t="shared" si="0"/>
        <v>63157.894736842107</v>
      </c>
      <c r="G18" s="20">
        <f t="shared" si="2"/>
        <v>15</v>
      </c>
      <c r="H18" s="19">
        <v>41262</v>
      </c>
      <c r="I18" s="12">
        <v>36387</v>
      </c>
      <c r="J18" s="10">
        <f>SUM(I$4:I18)-(L18*G18)</f>
        <v>-66832.210526315786</v>
      </c>
      <c r="K18" s="10">
        <f>SUM(I$4:I18)/G18</f>
        <v>27123.466666666667</v>
      </c>
      <c r="L18" s="10">
        <f t="shared" si="1"/>
        <v>31578.947368421053</v>
      </c>
    </row>
    <row r="19" spans="2:12" ht="20.100000000000001" customHeight="1" x14ac:dyDescent="0.2">
      <c r="B19" s="19">
        <v>41263</v>
      </c>
      <c r="C19" s="29">
        <v>52124</v>
      </c>
      <c r="D19" s="25">
        <f>(SUM(C$4:C19)-(F19*G19))</f>
        <v>-83201.315789473709</v>
      </c>
      <c r="E19" s="24">
        <f>SUM(C$4:C19)/G19</f>
        <v>57957.8125</v>
      </c>
      <c r="F19" s="30">
        <f t="shared" si="0"/>
        <v>63157.894736842107</v>
      </c>
      <c r="G19" s="20">
        <f t="shared" si="2"/>
        <v>16</v>
      </c>
      <c r="H19" s="19">
        <v>41263</v>
      </c>
      <c r="I19" s="13">
        <v>33774</v>
      </c>
      <c r="J19" s="10">
        <f>SUM(I$4:I19)-(L19*G19)</f>
        <v>-64637.157894736854</v>
      </c>
      <c r="K19" s="10">
        <f>SUM(I$4:I19)/G19</f>
        <v>27539.125</v>
      </c>
      <c r="L19" s="10">
        <f t="shared" si="1"/>
        <v>31578.947368421053</v>
      </c>
    </row>
    <row r="20" spans="2:12" ht="20.100000000000001" customHeight="1" x14ac:dyDescent="0.2">
      <c r="B20" s="19">
        <v>41264</v>
      </c>
      <c r="C20" s="29">
        <v>142204</v>
      </c>
      <c r="D20" s="25">
        <f>(SUM(C$4:C20)-(F20*G20))</f>
        <v>-4155.2105263157282</v>
      </c>
      <c r="E20" s="24">
        <f>SUM(C$4:C20)/G20</f>
        <v>62913.470588235294</v>
      </c>
      <c r="F20" s="30">
        <f t="shared" si="0"/>
        <v>63157.894736842107</v>
      </c>
      <c r="G20" s="20">
        <f t="shared" si="2"/>
        <v>17</v>
      </c>
      <c r="H20" s="19">
        <v>41264</v>
      </c>
      <c r="I20" s="13">
        <v>41578</v>
      </c>
      <c r="J20" s="10">
        <f>SUM(I$4:I20)-(L20*G20)</f>
        <v>-54638.105263157864</v>
      </c>
      <c r="K20" s="10">
        <f>SUM(I$4:I20)/G20</f>
        <v>28364.941176470587</v>
      </c>
      <c r="L20" s="10">
        <f t="shared" si="1"/>
        <v>31578.947368421053</v>
      </c>
    </row>
    <row r="21" spans="2:12" ht="20.100000000000001" customHeight="1" x14ac:dyDescent="0.2">
      <c r="B21" s="19">
        <v>41269</v>
      </c>
      <c r="C21" s="29">
        <v>24617</v>
      </c>
      <c r="D21" s="25">
        <f>(SUM(C$4:C21)-(F21*G21))</f>
        <v>-42696.105263157981</v>
      </c>
      <c r="E21" s="24">
        <f>SUM(C$4:C21)/G21</f>
        <v>60785.888888888891</v>
      </c>
      <c r="F21" s="30">
        <f t="shared" si="0"/>
        <v>63157.894736842107</v>
      </c>
      <c r="G21" s="20">
        <f t="shared" si="2"/>
        <v>18</v>
      </c>
      <c r="H21" s="19">
        <v>41269</v>
      </c>
      <c r="I21" s="12">
        <v>26827</v>
      </c>
      <c r="J21" s="10">
        <f>SUM(I$4:I21)-(L21*G21)</f>
        <v>-59390.05263157899</v>
      </c>
      <c r="K21" s="10">
        <f>SUM(I$4:I21)/G21</f>
        <v>28279.5</v>
      </c>
      <c r="L21" s="10">
        <f t="shared" si="1"/>
        <v>31578.947368421053</v>
      </c>
    </row>
    <row r="22" spans="2:12" ht="20.100000000000001" customHeight="1" x14ac:dyDescent="0.2">
      <c r="B22" s="19">
        <v>41270</v>
      </c>
      <c r="C22" s="29">
        <v>4409</v>
      </c>
      <c r="D22" s="25">
        <f>(SUM(C$4:C22)-(F22*G22))</f>
        <v>-101445</v>
      </c>
      <c r="E22" s="24">
        <f>SUM(C$4:C22)/G22</f>
        <v>57818.684210526313</v>
      </c>
      <c r="F22" s="30">
        <f t="shared" si="0"/>
        <v>63157.894736842107</v>
      </c>
      <c r="G22" s="20">
        <v>19</v>
      </c>
      <c r="H22" s="19">
        <v>41270</v>
      </c>
      <c r="I22" s="12">
        <v>14144</v>
      </c>
      <c r="J22" s="10">
        <f>SUM(I$4:I22)-(L22*G22)</f>
        <v>-76825</v>
      </c>
      <c r="K22" s="10">
        <f>SUM(I$4:I22)/G22</f>
        <v>27535.526315789473</v>
      </c>
      <c r="L22" s="10">
        <f t="shared" si="1"/>
        <v>31578.947368421053</v>
      </c>
    </row>
    <row r="23" spans="2:12" ht="20.100000000000001" customHeight="1" x14ac:dyDescent="0.2">
      <c r="B23" s="19" t="s">
        <v>8</v>
      </c>
      <c r="C23" s="12">
        <f>SUM(C4:C22)</f>
        <v>1098555</v>
      </c>
      <c r="D23" s="23"/>
      <c r="E23" s="23"/>
      <c r="F23" s="30">
        <v>1200000</v>
      </c>
      <c r="G23" s="18"/>
      <c r="H23" s="11" t="s">
        <v>8</v>
      </c>
      <c r="I23" s="12">
        <f>SUM(I4:I22)</f>
        <v>523175</v>
      </c>
      <c r="J23" s="8"/>
      <c r="K23" s="8"/>
      <c r="L23" s="10">
        <v>600000</v>
      </c>
    </row>
    <row r="24" spans="2:12" ht="19.5" customHeight="1" x14ac:dyDescent="0.2"/>
    <row r="25" spans="2:12" ht="19.5" customHeight="1" x14ac:dyDescent="0.2"/>
    <row r="27" spans="2:12" x14ac:dyDescent="0.2">
      <c r="I27" s="34"/>
      <c r="J27" s="32"/>
    </row>
    <row r="28" spans="2:12" x14ac:dyDescent="0.2">
      <c r="L28" s="33"/>
    </row>
  </sheetData>
  <mergeCells count="4">
    <mergeCell ref="B1:F1"/>
    <mergeCell ref="H1:L1"/>
    <mergeCell ref="B2:F2"/>
    <mergeCell ref="H2:L2"/>
  </mergeCells>
  <conditionalFormatting sqref="D4:D22 J4:J23">
    <cfRule type="cellIs" dxfId="324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Plan154">
    <tabColor rgb="FF92D050"/>
  </sheetPr>
  <dimension ref="A1:V33"/>
  <sheetViews>
    <sheetView zoomScale="80" zoomScaleNormal="80" workbookViewId="0">
      <selection activeCell="E34" sqref="E34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43040</v>
      </c>
      <c r="C5" s="24">
        <v>57153</v>
      </c>
      <c r="D5" s="85">
        <f>SUM(C5:C5)-(F5*1)</f>
        <v>4979.0869565217363</v>
      </c>
      <c r="E5" s="24">
        <f>C5/1</f>
        <v>57153</v>
      </c>
      <c r="F5" s="30">
        <f t="shared" ref="F5:F27" si="0">$F$28/$G$27</f>
        <v>52173.913043478264</v>
      </c>
      <c r="G5" s="20">
        <v>1</v>
      </c>
      <c r="H5" s="89">
        <v>43040</v>
      </c>
      <c r="I5" s="12">
        <v>29588</v>
      </c>
      <c r="J5" s="10">
        <f>SUM(I5:I5)-(L5*G5)</f>
        <v>17848.869565217392</v>
      </c>
      <c r="K5" s="10">
        <f>I5/1</f>
        <v>29588</v>
      </c>
      <c r="L5" s="10">
        <f t="shared" ref="L5:L27" si="1">$L$28/$G$27</f>
        <v>11739.130434782608</v>
      </c>
    </row>
    <row r="6" spans="2:22" ht="20.100000000000001" customHeight="1" x14ac:dyDescent="0.2">
      <c r="B6" s="89">
        <v>43041</v>
      </c>
      <c r="C6" s="26">
        <v>10478</v>
      </c>
      <c r="D6" s="85">
        <f>SUM(C$5:C6)-(F6*G6)</f>
        <v>-36716.826086956527</v>
      </c>
      <c r="E6" s="24">
        <f>SUM(C$5:C6)/G6</f>
        <v>33815.5</v>
      </c>
      <c r="F6" s="30">
        <f t="shared" si="0"/>
        <v>52173.913043478264</v>
      </c>
      <c r="G6" s="20">
        <v>2</v>
      </c>
      <c r="H6" s="89">
        <v>43041</v>
      </c>
      <c r="I6" s="21">
        <v>13200</v>
      </c>
      <c r="J6" s="85">
        <f>SUM(I$5:I6)-(L6*G6)</f>
        <v>19309.739130434784</v>
      </c>
      <c r="K6" s="10">
        <f>SUM(I$5:I6)/G6</f>
        <v>21394</v>
      </c>
      <c r="L6" s="10">
        <f t="shared" si="1"/>
        <v>11739.130434782608</v>
      </c>
    </row>
    <row r="7" spans="2:22" ht="20.100000000000001" customHeight="1" x14ac:dyDescent="0.2">
      <c r="B7" s="89">
        <v>43042</v>
      </c>
      <c r="C7" s="24">
        <v>81337</v>
      </c>
      <c r="D7" s="85">
        <f>SUM(C$5:C7)-(F7*G7)</f>
        <v>-7553.7391304347839</v>
      </c>
      <c r="E7" s="24">
        <f>SUM(C$5:C7)/G7</f>
        <v>49656</v>
      </c>
      <c r="F7" s="30">
        <f t="shared" si="0"/>
        <v>52173.913043478264</v>
      </c>
      <c r="G7" s="20">
        <v>3</v>
      </c>
      <c r="H7" s="89">
        <v>43042</v>
      </c>
      <c r="I7" s="21">
        <v>13175</v>
      </c>
      <c r="J7" s="85">
        <f>SUM(I$5:I7)-(L7*G7)</f>
        <v>20745.608695652176</v>
      </c>
      <c r="K7" s="10">
        <f>SUM(I$5:I7)/G7</f>
        <v>18654.333333333332</v>
      </c>
      <c r="L7" s="10">
        <f t="shared" si="1"/>
        <v>11739.130434782608</v>
      </c>
    </row>
    <row r="8" spans="2:22" ht="19.5" customHeight="1" x14ac:dyDescent="0.2">
      <c r="B8" s="89">
        <v>43045</v>
      </c>
      <c r="C8" s="24">
        <v>40875</v>
      </c>
      <c r="D8" s="85">
        <f>SUM(C$5:C8)-(F8*G8)</f>
        <v>-18852.652173913055</v>
      </c>
      <c r="E8" s="24">
        <f>SUM(C$5:C8)/G8</f>
        <v>47460.75</v>
      </c>
      <c r="F8" s="30">
        <f t="shared" si="0"/>
        <v>52173.913043478264</v>
      </c>
      <c r="G8" s="20">
        <v>4</v>
      </c>
      <c r="H8" s="89">
        <v>43045</v>
      </c>
      <c r="I8" s="21">
        <v>10694</v>
      </c>
      <c r="J8" s="85">
        <f>SUM(I$5:I8)-(L8*G8)</f>
        <v>19700.478260869568</v>
      </c>
      <c r="K8" s="10">
        <f>SUM(I$5:I8)/G8</f>
        <v>16664.25</v>
      </c>
      <c r="L8" s="10">
        <f t="shared" si="1"/>
        <v>11739.130434782608</v>
      </c>
    </row>
    <row r="9" spans="2:22" ht="20.100000000000001" customHeight="1" x14ac:dyDescent="0.2">
      <c r="B9" s="89">
        <v>43046</v>
      </c>
      <c r="C9" s="27">
        <v>21899</v>
      </c>
      <c r="D9" s="85">
        <f>SUM(C$5:C9)-(F9*G9)</f>
        <v>-49127.565217391326</v>
      </c>
      <c r="E9" s="24">
        <f>SUM(C$5:C9)/G9</f>
        <v>42348.4</v>
      </c>
      <c r="F9" s="30">
        <f t="shared" si="0"/>
        <v>52173.913043478264</v>
      </c>
      <c r="G9" s="20">
        <v>5</v>
      </c>
      <c r="H9" s="89">
        <v>43046</v>
      </c>
      <c r="I9" s="22">
        <v>5198</v>
      </c>
      <c r="J9" s="85">
        <f>SUM(I$5:I9)-(L9*G9)</f>
        <v>13159.34782608696</v>
      </c>
      <c r="K9" s="10">
        <f>SUM(I$5:I9)/G9</f>
        <v>14371</v>
      </c>
      <c r="L9" s="10">
        <f t="shared" si="1"/>
        <v>11739.130434782608</v>
      </c>
    </row>
    <row r="10" spans="2:22" ht="20.100000000000001" customHeight="1" x14ac:dyDescent="0.2">
      <c r="B10" s="89">
        <v>43047</v>
      </c>
      <c r="C10" s="27">
        <v>51637</v>
      </c>
      <c r="D10" s="85">
        <f>SUM(C$5:C10)-(F10*G10)</f>
        <v>-49664.478260869568</v>
      </c>
      <c r="E10" s="24">
        <f>SUM(C$5:C10)/G10</f>
        <v>43896.5</v>
      </c>
      <c r="F10" s="30">
        <f t="shared" si="0"/>
        <v>52173.913043478264</v>
      </c>
      <c r="G10" s="20">
        <v>6</v>
      </c>
      <c r="H10" s="89">
        <v>43047</v>
      </c>
      <c r="I10" s="22">
        <v>27522</v>
      </c>
      <c r="J10" s="85">
        <f>SUM(I$5:I10)-(L10*G10)</f>
        <v>28942.217391304352</v>
      </c>
      <c r="K10" s="10">
        <f>SUM(I$5:I10)/G10</f>
        <v>16562.833333333332</v>
      </c>
      <c r="L10" s="10">
        <f t="shared" si="1"/>
        <v>11739.130434782608</v>
      </c>
    </row>
    <row r="11" spans="2:22" ht="20.100000000000001" customHeight="1" x14ac:dyDescent="0.2">
      <c r="B11" s="89">
        <v>43048</v>
      </c>
      <c r="C11" s="24">
        <v>38023</v>
      </c>
      <c r="D11" s="85">
        <f>SUM(C$5:C11)-(F11*G11)</f>
        <v>-63815.391304347839</v>
      </c>
      <c r="E11" s="24">
        <f>SUM(C$5:C11)/G11</f>
        <v>43057.428571428572</v>
      </c>
      <c r="F11" s="30">
        <f t="shared" si="0"/>
        <v>52173.913043478264</v>
      </c>
      <c r="G11" s="20">
        <v>7</v>
      </c>
      <c r="H11" s="89">
        <v>43048</v>
      </c>
      <c r="I11" s="21">
        <v>20064</v>
      </c>
      <c r="J11" s="85">
        <f>SUM(I$5:I11)-(L11*G11)</f>
        <v>37267.086956521744</v>
      </c>
      <c r="K11" s="10">
        <f>SUM(I$5:I11)/G11</f>
        <v>17063</v>
      </c>
      <c r="L11" s="10">
        <f t="shared" si="1"/>
        <v>11739.130434782608</v>
      </c>
    </row>
    <row r="12" spans="2:22" ht="20.100000000000001" customHeight="1" x14ac:dyDescent="0.2">
      <c r="B12" s="89">
        <v>43049</v>
      </c>
      <c r="C12" s="24">
        <v>16960</v>
      </c>
      <c r="D12" s="85">
        <f>SUM(C$5:C12)-(F12*G12)</f>
        <v>-99029.30434782611</v>
      </c>
      <c r="E12" s="24">
        <f>SUM(C$5:C12)/G12</f>
        <v>39795.25</v>
      </c>
      <c r="F12" s="30">
        <f t="shared" si="0"/>
        <v>52173.913043478264</v>
      </c>
      <c r="G12" s="20">
        <v>8</v>
      </c>
      <c r="H12" s="89">
        <v>43049</v>
      </c>
      <c r="I12" s="21">
        <v>5451</v>
      </c>
      <c r="J12" s="85">
        <f>SUM(I$5:I12)-(L12*G12)</f>
        <v>30978.956521739135</v>
      </c>
      <c r="K12" s="10">
        <f>SUM(I$5:I12)/G12</f>
        <v>15611.5</v>
      </c>
      <c r="L12" s="10">
        <f t="shared" si="1"/>
        <v>11739.130434782608</v>
      </c>
    </row>
    <row r="13" spans="2:22" ht="20.100000000000001" customHeight="1" x14ac:dyDescent="0.2">
      <c r="B13" s="89">
        <v>43050</v>
      </c>
      <c r="C13" s="29">
        <v>62177</v>
      </c>
      <c r="D13" s="85">
        <f>SUM(C$5:C13)-(F13*G13)</f>
        <v>-89026.217391304381</v>
      </c>
      <c r="E13" s="24">
        <f>SUM(C$5:C13)/G13</f>
        <v>42282.111111111109</v>
      </c>
      <c r="F13" s="30">
        <f t="shared" si="0"/>
        <v>52173.913043478264</v>
      </c>
      <c r="G13" s="20">
        <v>9</v>
      </c>
      <c r="H13" s="89">
        <v>43050</v>
      </c>
      <c r="I13" s="13">
        <v>26289</v>
      </c>
      <c r="J13" s="85">
        <f>SUM(I$5:I13)-(L13*G13)</f>
        <v>45528.826086956527</v>
      </c>
      <c r="K13" s="10">
        <f>SUM(I$5:I13)/G13</f>
        <v>16797.888888888891</v>
      </c>
      <c r="L13" s="10">
        <f t="shared" si="1"/>
        <v>11739.130434782608</v>
      </c>
    </row>
    <row r="14" spans="2:22" ht="20.100000000000001" customHeight="1" x14ac:dyDescent="0.2">
      <c r="B14" s="89">
        <v>43052</v>
      </c>
      <c r="C14" s="29">
        <v>47666</v>
      </c>
      <c r="D14" s="85">
        <f>SUM(C$5:C14)-(F14*G14)</f>
        <v>-93534.130434782652</v>
      </c>
      <c r="E14" s="24">
        <f>SUM(C$5:C14)/G14</f>
        <v>42820.5</v>
      </c>
      <c r="F14" s="30">
        <f t="shared" si="0"/>
        <v>52173.913043478264</v>
      </c>
      <c r="G14" s="20">
        <v>10</v>
      </c>
      <c r="H14" s="89">
        <v>43052</v>
      </c>
      <c r="I14" s="13">
        <v>31733</v>
      </c>
      <c r="J14" s="85">
        <f>SUM(I$5:I14)-(L14*G14)</f>
        <v>65522.695652173919</v>
      </c>
      <c r="K14" s="10">
        <f>SUM(I$5:I14)/G14</f>
        <v>18291.400000000001</v>
      </c>
      <c r="L14" s="10">
        <f t="shared" si="1"/>
        <v>11739.130434782608</v>
      </c>
    </row>
    <row r="15" spans="2:22" ht="20.100000000000001" customHeight="1" x14ac:dyDescent="0.2">
      <c r="B15" s="89">
        <v>43053</v>
      </c>
      <c r="C15" s="29">
        <v>21766</v>
      </c>
      <c r="D15" s="85">
        <f>SUM(C$5:C15)-(F15*G15)</f>
        <v>-123942.04347826086</v>
      </c>
      <c r="E15" s="24">
        <f>SUM(C$5:C15)/G15</f>
        <v>40906.454545454544</v>
      </c>
      <c r="F15" s="30">
        <f t="shared" si="0"/>
        <v>52173.913043478264</v>
      </c>
      <c r="G15" s="20">
        <v>11</v>
      </c>
      <c r="H15" s="89">
        <v>43053</v>
      </c>
      <c r="I15" s="13">
        <v>6739</v>
      </c>
      <c r="J15" s="85">
        <f>SUM(I$5:I15)-(L15*G15)</f>
        <v>60522.565217391311</v>
      </c>
      <c r="K15" s="10">
        <f>SUM(I$5:I15)/G15</f>
        <v>17241.18181818182</v>
      </c>
      <c r="L15" s="10">
        <f t="shared" si="1"/>
        <v>11739.130434782608</v>
      </c>
    </row>
    <row r="16" spans="2:22" ht="19.5" customHeight="1" x14ac:dyDescent="0.2">
      <c r="B16" s="89">
        <v>43054</v>
      </c>
      <c r="C16" s="29">
        <v>56678</v>
      </c>
      <c r="D16" s="85">
        <f>SUM(C$5:C16)-(F16*G16)</f>
        <v>-119437.95652173914</v>
      </c>
      <c r="E16" s="24">
        <f>SUM(C$5:C16)/G16</f>
        <v>42220.75</v>
      </c>
      <c r="F16" s="30">
        <f t="shared" si="0"/>
        <v>52173.913043478264</v>
      </c>
      <c r="G16" s="20">
        <v>12</v>
      </c>
      <c r="H16" s="89">
        <v>43054</v>
      </c>
      <c r="I16" s="13">
        <v>21842</v>
      </c>
      <c r="J16" s="85">
        <f>SUM(I$5:I16)-(L16*G16)</f>
        <v>70625.434782608703</v>
      </c>
      <c r="K16" s="10">
        <f>SUM(I$5:I16)/G16</f>
        <v>17624.583333333332</v>
      </c>
      <c r="L16" s="10">
        <f t="shared" si="1"/>
        <v>11739.130434782608</v>
      </c>
    </row>
    <row r="17" spans="1:12" ht="20.100000000000001" customHeight="1" x14ac:dyDescent="0.2">
      <c r="B17" s="89">
        <v>43055</v>
      </c>
      <c r="C17" s="29">
        <v>23797</v>
      </c>
      <c r="D17" s="85">
        <f>SUM(C$5:C17)-(F17*G17)</f>
        <v>-147814.86956521741</v>
      </c>
      <c r="E17" s="24">
        <f>SUM(C$5:C17)/G17</f>
        <v>40803.538461538461</v>
      </c>
      <c r="F17" s="30">
        <f t="shared" si="0"/>
        <v>52173.913043478264</v>
      </c>
      <c r="G17" s="20">
        <v>13</v>
      </c>
      <c r="H17" s="89">
        <v>43055</v>
      </c>
      <c r="I17" s="13">
        <v>6262</v>
      </c>
      <c r="J17" s="85">
        <f>SUM(I$5:I17)-(L17*G17)</f>
        <v>65148.30434782611</v>
      </c>
      <c r="K17" s="10">
        <f>SUM(I$5:I17)/G17</f>
        <v>16750.538461538461</v>
      </c>
      <c r="L17" s="10">
        <f t="shared" si="1"/>
        <v>11739.130434782608</v>
      </c>
    </row>
    <row r="18" spans="1:12" ht="20.100000000000001" customHeight="1" x14ac:dyDescent="0.2">
      <c r="B18" s="89">
        <v>43056</v>
      </c>
      <c r="C18" s="29">
        <v>83391</v>
      </c>
      <c r="D18" s="85">
        <f>SUM(C$5:C18)-(F18*G18)</f>
        <v>-116597.78260869568</v>
      </c>
      <c r="E18" s="24">
        <f>SUM(C$5:C18)/G18</f>
        <v>43845.5</v>
      </c>
      <c r="F18" s="30">
        <f t="shared" si="0"/>
        <v>52173.913043478264</v>
      </c>
      <c r="G18" s="20">
        <v>14</v>
      </c>
      <c r="H18" s="89">
        <v>43056</v>
      </c>
      <c r="I18" s="13">
        <v>26538</v>
      </c>
      <c r="J18" s="85">
        <f>SUM(I$5:I18)-(L18*G18)</f>
        <v>79947.173913043487</v>
      </c>
      <c r="K18" s="10">
        <f>SUM(I$5:I18)/G18</f>
        <v>17449.642857142859</v>
      </c>
      <c r="L18" s="10">
        <f t="shared" si="1"/>
        <v>11739.130434782608</v>
      </c>
    </row>
    <row r="19" spans="1:12" ht="20.100000000000001" customHeight="1" x14ac:dyDescent="0.2">
      <c r="B19" s="89">
        <v>43060</v>
      </c>
      <c r="C19" s="24">
        <v>51166</v>
      </c>
      <c r="D19" s="85">
        <f>SUM(C$5:C19)-(F19*G19)</f>
        <v>-117605.69565217395</v>
      </c>
      <c r="E19" s="24">
        <f>SUM(C$5:C19)/G19</f>
        <v>44333.533333333333</v>
      </c>
      <c r="F19" s="30">
        <f t="shared" si="0"/>
        <v>52173.913043478264</v>
      </c>
      <c r="G19" s="20">
        <v>15</v>
      </c>
      <c r="H19" s="89">
        <v>43060</v>
      </c>
      <c r="I19" s="21">
        <v>29566</v>
      </c>
      <c r="J19" s="85">
        <f>SUM(I$5:I19)-(L19*G19)</f>
        <v>97774.043478260865</v>
      </c>
      <c r="K19" s="10">
        <f>SUM(I$5:I19)/G19</f>
        <v>18257.400000000001</v>
      </c>
      <c r="L19" s="10">
        <f t="shared" si="1"/>
        <v>11739.130434782608</v>
      </c>
    </row>
    <row r="20" spans="1:12" ht="20.100000000000001" customHeight="1" x14ac:dyDescent="0.2">
      <c r="B20" s="89">
        <v>43061</v>
      </c>
      <c r="C20" s="29">
        <v>53180</v>
      </c>
      <c r="D20" s="85">
        <f>SUM(C$5:C20)-(F20*G20)</f>
        <v>-116599.60869565222</v>
      </c>
      <c r="E20" s="24">
        <f>SUM(C$5:C20)/G20</f>
        <v>44886.4375</v>
      </c>
      <c r="F20" s="30">
        <f t="shared" si="0"/>
        <v>52173.913043478264</v>
      </c>
      <c r="G20" s="20">
        <v>16</v>
      </c>
      <c r="H20" s="89">
        <v>43061</v>
      </c>
      <c r="I20" s="13">
        <v>10747</v>
      </c>
      <c r="J20" s="85">
        <f>SUM(I$5:I20)-(L20*G20)</f>
        <v>96781.913043478271</v>
      </c>
      <c r="K20" s="10">
        <f>SUM(I$5:I20)/G20</f>
        <v>17788</v>
      </c>
      <c r="L20" s="10">
        <f t="shared" si="1"/>
        <v>11739.130434782608</v>
      </c>
    </row>
    <row r="21" spans="1:12" ht="20.100000000000001" customHeight="1" x14ac:dyDescent="0.2">
      <c r="B21" s="89">
        <v>43062</v>
      </c>
      <c r="C21" s="29">
        <v>60041</v>
      </c>
      <c r="D21" s="85">
        <f>SUM(C$5:C21)-(F21*G21)</f>
        <v>-108732.52173913049</v>
      </c>
      <c r="E21" s="24">
        <f>SUM(C$5:C21)/G21</f>
        <v>45777.882352941175</v>
      </c>
      <c r="F21" s="30">
        <f t="shared" si="0"/>
        <v>52173.913043478264</v>
      </c>
      <c r="G21" s="20">
        <v>17</v>
      </c>
      <c r="H21" s="89">
        <v>43062</v>
      </c>
      <c r="I21" s="12">
        <v>15642</v>
      </c>
      <c r="J21" s="85">
        <f>SUM(I$5:I21)-(L21*G21)</f>
        <v>100684.78260869568</v>
      </c>
      <c r="K21" s="10">
        <f>SUM(I$5:I21)/G21</f>
        <v>17661.764705882353</v>
      </c>
      <c r="L21" s="10">
        <f t="shared" si="1"/>
        <v>11739.130434782608</v>
      </c>
    </row>
    <row r="22" spans="1:12" ht="20.100000000000001" customHeight="1" x14ac:dyDescent="0.2">
      <c r="B22" s="89">
        <v>43063</v>
      </c>
      <c r="C22" s="29">
        <v>62417</v>
      </c>
      <c r="D22" s="85">
        <f>SUM(C$5:C22)-(F22*G22)</f>
        <v>-98489.434782608761</v>
      </c>
      <c r="E22" s="24">
        <f>SUM(C$5:C22)/G22</f>
        <v>46702.277777777781</v>
      </c>
      <c r="F22" s="30">
        <f t="shared" si="0"/>
        <v>52173.913043478264</v>
      </c>
      <c r="G22" s="20">
        <v>18</v>
      </c>
      <c r="H22" s="89">
        <v>43063</v>
      </c>
      <c r="I22" s="12">
        <v>1376</v>
      </c>
      <c r="J22" s="85">
        <f>SUM(I$5:I22)-(L22*G22)</f>
        <v>90321.652173913055</v>
      </c>
      <c r="K22" s="10">
        <f>SUM(I$5:I22)/G22</f>
        <v>16757</v>
      </c>
      <c r="L22" s="10">
        <f t="shared" si="1"/>
        <v>11739.130434782608</v>
      </c>
    </row>
    <row r="23" spans="1:12" ht="20.100000000000001" customHeight="1" x14ac:dyDescent="0.2">
      <c r="B23" s="89">
        <v>43064</v>
      </c>
      <c r="C23" s="29">
        <v>56791</v>
      </c>
      <c r="D23" s="85">
        <f>SUM(C$5:C23)-(F23*G23)</f>
        <v>-93872.347826087032</v>
      </c>
      <c r="E23" s="24">
        <f>SUM(C$5:C23)/G23</f>
        <v>47233.26315789474</v>
      </c>
      <c r="F23" s="30">
        <f t="shared" si="0"/>
        <v>52173.913043478264</v>
      </c>
      <c r="G23" s="20">
        <v>19</v>
      </c>
      <c r="H23" s="89">
        <v>43064</v>
      </c>
      <c r="I23" s="12">
        <v>8707</v>
      </c>
      <c r="J23" s="85">
        <f>SUM(I$5:I23)-(L23*G23)</f>
        <v>87289.521739130432</v>
      </c>
      <c r="K23" s="10">
        <f>SUM(I$5:I23)/G23</f>
        <v>16333.315789473685</v>
      </c>
      <c r="L23" s="10">
        <f t="shared" si="1"/>
        <v>11739.130434782608</v>
      </c>
    </row>
    <row r="24" spans="1:12" ht="20.100000000000001" customHeight="1" x14ac:dyDescent="0.2">
      <c r="B24" s="89">
        <v>43066</v>
      </c>
      <c r="C24" s="29">
        <v>79618</v>
      </c>
      <c r="D24" s="85">
        <f>SUM(C$5:C24)-(F24*G24)</f>
        <v>-66428.260869565303</v>
      </c>
      <c r="E24" s="24">
        <f>SUM(C$5:C24)/G24</f>
        <v>48852.5</v>
      </c>
      <c r="F24" s="30">
        <f t="shared" si="0"/>
        <v>52173.913043478264</v>
      </c>
      <c r="G24" s="20">
        <v>20</v>
      </c>
      <c r="H24" s="89">
        <v>43066</v>
      </c>
      <c r="I24" s="12">
        <v>10667</v>
      </c>
      <c r="J24" s="85">
        <f>SUM(I$5:I24)-(L24*G24)</f>
        <v>86217.391304347839</v>
      </c>
      <c r="K24" s="10">
        <f>SUM(I$5:I24)/G24</f>
        <v>16050</v>
      </c>
      <c r="L24" s="10">
        <f t="shared" si="1"/>
        <v>11739.130434782608</v>
      </c>
    </row>
    <row r="25" spans="1:12" ht="20.100000000000001" customHeight="1" x14ac:dyDescent="0.2">
      <c r="B25" s="89">
        <v>43067</v>
      </c>
      <c r="C25" s="29">
        <v>62789</v>
      </c>
      <c r="D25" s="85">
        <f>SUM(C$5:C25)-(F25*G25)</f>
        <v>-55813.173913043458</v>
      </c>
      <c r="E25" s="24">
        <f>SUM(C$5:C25)/G25</f>
        <v>49516.142857142855</v>
      </c>
      <c r="F25" s="30">
        <f t="shared" si="0"/>
        <v>52173.913043478264</v>
      </c>
      <c r="G25" s="20">
        <v>21</v>
      </c>
      <c r="H25" s="89">
        <v>43067</v>
      </c>
      <c r="I25" s="12">
        <v>11338</v>
      </c>
      <c r="J25" s="85">
        <f>SUM(I$5:I25)-(L25*G25)</f>
        <v>85816.260869565245</v>
      </c>
      <c r="K25" s="10">
        <f>SUM(I$5:I25)/G25</f>
        <v>15825.619047619048</v>
      </c>
      <c r="L25" s="10">
        <f t="shared" si="1"/>
        <v>11739.130434782608</v>
      </c>
    </row>
    <row r="26" spans="1:12" ht="20.100000000000001" customHeight="1" x14ac:dyDescent="0.2">
      <c r="B26" s="89">
        <v>43068</v>
      </c>
      <c r="C26" s="29">
        <v>72145</v>
      </c>
      <c r="D26" s="85">
        <f>SUM(C$5:C26)-(F26*G26)</f>
        <v>-35842.086956521729</v>
      </c>
      <c r="E26" s="24">
        <f>SUM(C$5:C26)/G26</f>
        <v>50544.727272727272</v>
      </c>
      <c r="F26" s="30">
        <f t="shared" si="0"/>
        <v>52173.913043478264</v>
      </c>
      <c r="G26" s="20">
        <v>22</v>
      </c>
      <c r="H26" s="89">
        <v>43068</v>
      </c>
      <c r="I26" s="12">
        <v>10306</v>
      </c>
      <c r="J26" s="85">
        <f>SUM(I$5:I26)-(L26*G26)</f>
        <v>84383.130434782623</v>
      </c>
      <c r="K26" s="10">
        <f>SUM(I$5:I26)/G26</f>
        <v>15574.727272727272</v>
      </c>
      <c r="L26" s="10">
        <f t="shared" si="1"/>
        <v>11739.130434782608</v>
      </c>
    </row>
    <row r="27" spans="1:12" ht="20.100000000000001" customHeight="1" x14ac:dyDescent="0.2">
      <c r="B27" s="89">
        <v>43069</v>
      </c>
      <c r="C27" s="29">
        <v>29623</v>
      </c>
      <c r="D27" s="85">
        <f>SUM(C$5:C27)-(F27*G27)</f>
        <v>-58393</v>
      </c>
      <c r="E27" s="24">
        <f>SUM(C$5:C27)/G27</f>
        <v>49635.086956521736</v>
      </c>
      <c r="F27" s="30">
        <f t="shared" si="0"/>
        <v>52173.913043478264</v>
      </c>
      <c r="G27" s="20">
        <v>23</v>
      </c>
      <c r="H27" s="89">
        <v>43069</v>
      </c>
      <c r="I27" s="12">
        <v>2123</v>
      </c>
      <c r="J27" s="85">
        <f>SUM(I$5:I27)-(L27*G27)</f>
        <v>74767</v>
      </c>
      <c r="K27" s="10">
        <f>SUM(I$5:I27)/G27</f>
        <v>14989.869565217392</v>
      </c>
      <c r="L27" s="10">
        <f t="shared" si="1"/>
        <v>11739.130434782608</v>
      </c>
    </row>
    <row r="28" spans="1:12" ht="20.100000000000001" customHeight="1" x14ac:dyDescent="0.2">
      <c r="B28" s="19" t="s">
        <v>8</v>
      </c>
      <c r="C28" s="12">
        <f>SUM(C5:C27)</f>
        <v>1141607</v>
      </c>
      <c r="D28" s="86"/>
      <c r="E28" s="23"/>
      <c r="F28" s="30">
        <v>1200000</v>
      </c>
      <c r="G28" s="18"/>
      <c r="H28" s="11" t="s">
        <v>8</v>
      </c>
      <c r="I28" s="12">
        <f>SUM(I5:I27)</f>
        <v>344767</v>
      </c>
      <c r="J28" s="8"/>
      <c r="K28" s="8"/>
      <c r="L28" s="10">
        <v>270000</v>
      </c>
    </row>
    <row r="29" spans="1:12" ht="19.5" customHeight="1" x14ac:dyDescent="0.2"/>
    <row r="30" spans="1:12" ht="19.5" customHeight="1" x14ac:dyDescent="0.2"/>
    <row r="32" spans="1:12" x14ac:dyDescent="0.2">
      <c r="A32" s="156"/>
      <c r="B32" s="156"/>
      <c r="C32" s="156"/>
      <c r="D32" s="156"/>
      <c r="I32" s="34"/>
      <c r="J32" s="32"/>
    </row>
    <row r="33" spans="12:12" x14ac:dyDescent="0.2">
      <c r="L33" s="33"/>
    </row>
  </sheetData>
  <mergeCells count="5">
    <mergeCell ref="B1:F2"/>
    <mergeCell ref="H1:L2"/>
    <mergeCell ref="B3:F3"/>
    <mergeCell ref="H3:L3"/>
    <mergeCell ref="A32:D32"/>
  </mergeCells>
  <conditionalFormatting sqref="D5:D27 J5:J28">
    <cfRule type="cellIs" dxfId="1336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Plan155">
    <tabColor rgb="FF92D050"/>
    <pageSetUpPr fitToPage="1"/>
  </sheetPr>
  <dimension ref="A1:CD55"/>
  <sheetViews>
    <sheetView topLeftCell="N4" zoomScale="80" zoomScaleNormal="80" workbookViewId="0">
      <selection activeCell="AH42" sqref="AH42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11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48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47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Novembro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Novembro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Novembro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Novembro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22</v>
      </c>
      <c r="C7" s="75">
        <v>12017</v>
      </c>
      <c r="D7" s="75">
        <v>1</v>
      </c>
      <c r="E7" s="90">
        <f>IF(D7&gt;0,SUM(D$7:D7)-SUM(C$7:C7),0)</f>
        <v>-12016</v>
      </c>
      <c r="F7" s="45">
        <f>IF(D7&gt;0,IF(C7&gt;0,D7/C7,0),0)</f>
        <v>8.3215444786552379E-5</v>
      </c>
      <c r="G7" s="75">
        <v>12017</v>
      </c>
      <c r="H7" s="75">
        <v>954</v>
      </c>
      <c r="I7" s="75">
        <f>IF(H7&gt;0,SUM(H$7:H7)-SUM(G$7:G7),0)</f>
        <v>-11063</v>
      </c>
      <c r="J7" s="45">
        <f t="shared" ref="J7:J14" si="0">IF(H7&gt;0,IF(G7&gt;0,H7/G7,0),0)</f>
        <v>7.9387534326370968E-2</v>
      </c>
      <c r="K7" s="75">
        <v>12017</v>
      </c>
      <c r="L7" s="75">
        <v>8688</v>
      </c>
      <c r="M7" s="90">
        <f>IF(L7&gt;0,SUM(L$7:L7)-SUM(K$7:K7),0)</f>
        <v>-3329</v>
      </c>
      <c r="N7" s="45">
        <f t="shared" ref="N7:N17" si="1">IF(L7&gt;0,IF(K7&gt;0,L7/K7,0),0)</f>
        <v>0.72297578430556708</v>
      </c>
      <c r="O7" s="35">
        <f t="shared" ref="O7:O14" si="2">IF(SUM(C7,G7,K7)&gt;0,SUM(C7,G7,K7),0)</f>
        <v>36051</v>
      </c>
      <c r="P7" s="35">
        <f>IF(SUM(D7,H7,L7,)&gt;0,SUM(D7,H7,L7,),0)</f>
        <v>9643</v>
      </c>
      <c r="Q7" s="91">
        <f>IF(P7&gt;0,SUM(P$7:P7)-SUM(O$7:O7),0)</f>
        <v>-26408</v>
      </c>
      <c r="R7" s="45">
        <f>IF(P7&gt;0,IF(O7&gt;0,P7/O7,0),0)</f>
        <v>0.26748217802557489</v>
      </c>
      <c r="T7" s="47">
        <v>40817</v>
      </c>
      <c r="U7" s="54" t="str">
        <f>B7</f>
        <v>qua</v>
      </c>
      <c r="V7" s="75">
        <v>11360</v>
      </c>
      <c r="W7" s="75">
        <v>10174</v>
      </c>
      <c r="X7" s="92">
        <f>IF(W7&gt;0,SUM(W$7:W7)-SUM(V$7:V7),0)</f>
        <v>-1186</v>
      </c>
      <c r="Y7" s="60">
        <f>IF(W7&gt;0,IF(V7&gt;0,W7/V7,0),0)</f>
        <v>0.89559859154929577</v>
      </c>
      <c r="Z7" s="75">
        <v>11360</v>
      </c>
      <c r="AA7" s="75">
        <v>11912</v>
      </c>
      <c r="AB7" s="92">
        <f>IF(AA7&gt;0,SUM(AA$7:AA7)-SUM(Z$7:Z7),0)</f>
        <v>552</v>
      </c>
      <c r="AC7" s="60">
        <f>IF(AA7&gt;0,IF(Z7&gt;0,AA7/Z7,0),0)</f>
        <v>1.0485915492957747</v>
      </c>
      <c r="AD7" s="75">
        <v>11360</v>
      </c>
      <c r="AE7" s="75">
        <v>5936</v>
      </c>
      <c r="AF7" s="92">
        <f>IF(AE7&gt;0,SUM(AE$7:AE7)-SUM(AD$7:AD7),0)</f>
        <v>-5424</v>
      </c>
      <c r="AG7" s="60">
        <f>IF(AE7&gt;0,IF(AD7&gt;0,AE7/AD7,0),0)</f>
        <v>0.5225352112676056</v>
      </c>
      <c r="AH7" s="41">
        <f t="shared" ref="AH7:AI38" si="3">IF(SUM(V7,Z7,AD7)&gt;0,SUM(V7,Z7,AD7),0)</f>
        <v>34080</v>
      </c>
      <c r="AI7" s="41">
        <f>IF(SUM(W7,AA7,AE7,)&gt;0,SUM(W7,AA7,AE7),0)</f>
        <v>28022</v>
      </c>
      <c r="AJ7" s="93">
        <f>IF(AI7&gt;0,SUM(AI$7:AI7)-SUM(AH$7:AH7),0)</f>
        <v>-6058</v>
      </c>
      <c r="AK7" s="60">
        <f>IF(AI7&gt;0,IF(AH7&gt;0,AI7/AH7,0),0)</f>
        <v>0.82224178403755865</v>
      </c>
      <c r="AM7" s="47">
        <v>40817</v>
      </c>
      <c r="AN7" s="54" t="str">
        <f>U7</f>
        <v>qua</v>
      </c>
      <c r="AO7" s="75">
        <v>7730</v>
      </c>
      <c r="AP7" s="75">
        <v>8535</v>
      </c>
      <c r="AQ7" s="75">
        <f>IF(AP7&gt;0,SUM(AP$7:AP7)-SUM(AO$7:AO7),0)</f>
        <v>805</v>
      </c>
      <c r="AR7" s="45">
        <f>IF(AP7&gt;0,IF(AO7&gt;0,AP7/AO7,0),0)</f>
        <v>1.1041397153945667</v>
      </c>
      <c r="AS7" s="75">
        <v>7730</v>
      </c>
      <c r="AT7" s="75">
        <v>5916</v>
      </c>
      <c r="AU7" s="90">
        <f>IF(AT7&gt;0,SUM(AT$7:AT7)-SUM(AS$7:AS7),0)</f>
        <v>-1814</v>
      </c>
      <c r="AV7" s="45">
        <f>IF(AT7&gt;0,IF(AS7&gt;0,AT7/AS7,0),0)</f>
        <v>0.76532988357050458</v>
      </c>
      <c r="AW7" s="75">
        <v>7730</v>
      </c>
      <c r="AX7" s="75">
        <v>6600</v>
      </c>
      <c r="AY7" s="90">
        <f>IF(AX7&gt;0,SUM(AX$7:AX7)-SUM(AW$7:AW7),0)</f>
        <v>-1130</v>
      </c>
      <c r="AZ7" s="45">
        <f>IF(AX7&gt;0,IF(AW7&gt;0,AX7/AW7,0),0)</f>
        <v>0.85381630012936616</v>
      </c>
      <c r="BA7" s="35">
        <f t="shared" ref="BA7:BA38" si="4">IF(SUM(AO7,AS7,AW7)&gt;0,SUM(AO7,AS7,AW7),0)</f>
        <v>23190</v>
      </c>
      <c r="BB7" s="35">
        <f>IF(SUM(AP7,AT7,AX7,)&gt;0,SUM(AP7,AT7,AX7,),0)</f>
        <v>21051</v>
      </c>
      <c r="BC7" s="91">
        <f>IF(BB7&gt;0,SUM(BB$7:BB7)-SUM(BA$7:BA7),0)</f>
        <v>-2139</v>
      </c>
      <c r="BD7" s="45">
        <f>IF(BB7&gt;0,IF(BA7&gt;0,BB7/BA7,0),0)</f>
        <v>0.90776196636481243</v>
      </c>
      <c r="BF7" s="47">
        <v>40817</v>
      </c>
      <c r="BG7" s="54" t="str">
        <f>AN7</f>
        <v>qua</v>
      </c>
      <c r="BH7" s="75">
        <v>16200</v>
      </c>
      <c r="BI7" s="75">
        <v>18886</v>
      </c>
      <c r="BJ7" s="75">
        <f>IF(BI7&gt;0,SUM(BI$7:BI7)-SUM(BH$7:BH7),0)</f>
        <v>2686</v>
      </c>
      <c r="BK7" s="45">
        <f>IF(BI7&gt;0,IF(BH7&gt;0,BI7/BH7,0),0)</f>
        <v>1.1658024691358024</v>
      </c>
      <c r="BL7" s="75">
        <v>7000</v>
      </c>
      <c r="BM7" s="75">
        <v>2165</v>
      </c>
      <c r="BN7" s="90">
        <f>IF(BM7&gt;0,SUM(BM$7:BM7)-SUM(BL$7:BL7),0)</f>
        <v>-4835</v>
      </c>
      <c r="BO7" s="45">
        <f>IF(BM7&gt;0,IF(BL7&gt;0,BM7/BL7,0),0)</f>
        <v>0.30928571428571427</v>
      </c>
      <c r="BP7" s="75">
        <v>9880</v>
      </c>
      <c r="BQ7" s="75">
        <v>9521</v>
      </c>
      <c r="BR7" s="90">
        <f>IF(BQ7&gt;0,SUM(BQ$7:BQ7)-SUM(BP$7:BP7),0)</f>
        <v>-359</v>
      </c>
      <c r="BS7" s="45">
        <f>IF(BQ7&gt;0,IF(BP7&gt;0,BQ7/BP7,0),0)</f>
        <v>0.96366396761133599</v>
      </c>
      <c r="BT7" s="35">
        <f t="shared" ref="BT7:BU38" si="5">IF(SUM(BH7,BL7,BP7)&gt;0,SUM(BH7,BL7,BP7),0)</f>
        <v>33080</v>
      </c>
      <c r="BU7" s="35">
        <f>IF(SUM(BI7,BM7,BQ7)&gt;0,SUM(BI7,BM7,BQ7),0)</f>
        <v>30572</v>
      </c>
      <c r="BV7" s="91">
        <f>IF(BU7&gt;0,SUM(BU$7:BU7)-SUM(BT$7:BT7),0)</f>
        <v>-2508</v>
      </c>
      <c r="BW7" s="45">
        <f>IF(BU7&gt;0,IF(BT7&gt;0,BU7/BT7,0),0)</f>
        <v>0.92418379685610641</v>
      </c>
      <c r="BY7" s="47">
        <v>40817</v>
      </c>
      <c r="BZ7" s="54" t="str">
        <f>BG7</f>
        <v>qua</v>
      </c>
      <c r="CA7" s="75">
        <v>2550</v>
      </c>
      <c r="CB7" s="75">
        <v>3612</v>
      </c>
      <c r="CC7" s="90">
        <f>IF(CB7&gt;0,SUM(CB$7:CB7)-SUM(CA7:CA$7),0)</f>
        <v>1062</v>
      </c>
      <c r="CD7" s="45">
        <f>IF(CB7&gt;0,IF(CA7&gt;0,CB7/CA7,0),0)</f>
        <v>1.4164705882352941</v>
      </c>
    </row>
    <row r="8" spans="1:82" x14ac:dyDescent="0.25">
      <c r="A8" s="47">
        <f>A7+1</f>
        <v>40818</v>
      </c>
      <c r="B8" s="54" t="s">
        <v>23</v>
      </c>
      <c r="C8" s="75">
        <v>12017</v>
      </c>
      <c r="D8" s="75">
        <v>6336</v>
      </c>
      <c r="E8" s="90">
        <f>IF(D8&gt;0,SUM(D$7:D8)-SUM(C$7:C8),0)</f>
        <v>-17697</v>
      </c>
      <c r="F8" s="45">
        <f>IF(D8&gt;0,IF(C8&gt;0,D8/C8,0),0)</f>
        <v>0.52725305816759593</v>
      </c>
      <c r="G8" s="75">
        <v>12017</v>
      </c>
      <c r="H8" s="36">
        <v>5240</v>
      </c>
      <c r="I8" s="75">
        <f>IF(H8&gt;0,SUM(H$7:H8)-SUM(G$7:G8),0)</f>
        <v>-17840</v>
      </c>
      <c r="J8" s="45">
        <f t="shared" si="0"/>
        <v>0.4360489306815345</v>
      </c>
      <c r="K8" s="75">
        <v>12017</v>
      </c>
      <c r="L8" s="75">
        <v>3168</v>
      </c>
      <c r="M8" s="90">
        <f>IF(L8&gt;0,SUM(L$7:L8)-SUM(K$7:K8),0)</f>
        <v>-12178</v>
      </c>
      <c r="N8" s="45">
        <f t="shared" si="1"/>
        <v>0.26362652908379797</v>
      </c>
      <c r="O8" s="35">
        <f t="shared" si="2"/>
        <v>36051</v>
      </c>
      <c r="P8" s="35">
        <f t="shared" ref="P8:P37" si="6">IF(SUM(D8,H8,L8,)&gt;0,SUM(D8,H8,L8,),0)</f>
        <v>14744</v>
      </c>
      <c r="Q8" s="91">
        <f>IF(P8&gt;0,SUM(P$7:P8)-SUM(O$7:O8),0)</f>
        <v>-47715</v>
      </c>
      <c r="R8" s="45">
        <f>IF(P8&gt;0,IF(O8&gt;0,P8/O8,0),0)</f>
        <v>0.40897617264430947</v>
      </c>
      <c r="T8" s="47">
        <f>T7+1</f>
        <v>40818</v>
      </c>
      <c r="U8" s="54" t="str">
        <f t="shared" ref="U8:U37" si="7">B8</f>
        <v>qui</v>
      </c>
      <c r="V8" s="75">
        <v>11360</v>
      </c>
      <c r="W8" s="75">
        <v>3262</v>
      </c>
      <c r="X8" s="92">
        <f>IF(W8&gt;0,SUM(W$7:W8)-SUM(V$7:V8),0)</f>
        <v>-9284</v>
      </c>
      <c r="Y8" s="60">
        <f>IF(W8&gt;0,IF(V8&gt;0,W8/V8,0),0)</f>
        <v>0.28714788732394364</v>
      </c>
      <c r="Z8" s="75">
        <v>11360</v>
      </c>
      <c r="AA8" s="75">
        <v>6544</v>
      </c>
      <c r="AB8" s="92">
        <f>IF(AA8&gt;0,SUM(AA$7:AA8)-SUM(Z$7:Z8),0)</f>
        <v>-4264</v>
      </c>
      <c r="AC8" s="60">
        <f>IF(AA8&gt;0,IF(Z8&gt;0,AA8/Z8,0),0)</f>
        <v>0.57605633802816902</v>
      </c>
      <c r="AD8" s="75">
        <v>11360</v>
      </c>
      <c r="AE8" s="75">
        <v>3471</v>
      </c>
      <c r="AF8" s="92">
        <f>IF(AE8&gt;0,SUM(AE$7:AE8)-SUM(AD$7:AD8),0)</f>
        <v>-13313</v>
      </c>
      <c r="AG8" s="60">
        <f>IF(AE8&gt;0,IF(AD8&gt;0,AE8/AD8,0),0)</f>
        <v>0.30554577464788735</v>
      </c>
      <c r="AH8" s="41">
        <f t="shared" si="3"/>
        <v>34080</v>
      </c>
      <c r="AI8" s="41">
        <f t="shared" ref="AI8:AI37" si="8">IF(SUM(W8,AA8,AE8,)&gt;0,SUM(W8,AA8,AE8),0)</f>
        <v>13277</v>
      </c>
      <c r="AJ8" s="93">
        <f>IF(AI8&gt;0,SUM(AI$7:AI8)-SUM(AH$7:AH8),0)</f>
        <v>-26861</v>
      </c>
      <c r="AK8" s="60">
        <f>IF(AI8&gt;0,IF(AH8&gt;0,AI8/AH8,0),0)</f>
        <v>0.38958333333333334</v>
      </c>
      <c r="AM8" s="47">
        <f>AM7+1</f>
        <v>40818</v>
      </c>
      <c r="AN8" s="54" t="str">
        <f t="shared" ref="AN8:AN37" si="9">U8</f>
        <v>qui</v>
      </c>
      <c r="AO8" s="75">
        <v>7730</v>
      </c>
      <c r="AP8" s="75">
        <v>4310</v>
      </c>
      <c r="AQ8" s="75">
        <f>IF(AP8&gt;0,SUM(AP$7:AP8)-SUM(AO$7:AO8),0)</f>
        <v>-2615</v>
      </c>
      <c r="AR8" s="45">
        <f>IF(AP8&gt;0,IF(AO8&gt;0,AP8/AO8,0),0)</f>
        <v>0.5575679172056921</v>
      </c>
      <c r="AS8" s="75">
        <v>7730</v>
      </c>
      <c r="AT8" s="75">
        <v>3433</v>
      </c>
      <c r="AU8" s="90">
        <f>IF(AT8&gt;0,SUM(AT$7:AT8)-SUM(AS$7:AS8),0)</f>
        <v>-6111</v>
      </c>
      <c r="AV8" s="45">
        <f>IF(AT8&gt;0,IF(AS8&gt;0,AT8/AS8,0),0)</f>
        <v>0.44411384217335059</v>
      </c>
      <c r="AW8" s="75">
        <v>7730</v>
      </c>
      <c r="AX8" s="75">
        <v>2861</v>
      </c>
      <c r="AY8" s="90">
        <f>IF(AX8&gt;0,SUM(AX$7:AX8)-SUM(AW$7:AW8),0)</f>
        <v>-5999</v>
      </c>
      <c r="AZ8" s="45">
        <f>IF(AX8&gt;0,IF(AW8&gt;0,AX8/AW8,0),0)</f>
        <v>0.37011642949547219</v>
      </c>
      <c r="BA8" s="35">
        <f t="shared" si="4"/>
        <v>23190</v>
      </c>
      <c r="BB8" s="35">
        <f t="shared" ref="BB8:BB37" si="10">IF(SUM(AP8,AT8,AX8,)&gt;0,SUM(AP8,AT8,AX8,),0)</f>
        <v>10604</v>
      </c>
      <c r="BC8" s="91">
        <f>IF(BB8&gt;0,SUM(BB$7:BB8)-SUM(BA$7:BA8),0)</f>
        <v>-14725</v>
      </c>
      <c r="BD8" s="45">
        <f>IF(BB8&gt;0,IF(BA8&gt;0,BB8/BA8,0),0)</f>
        <v>0.45726606295817163</v>
      </c>
      <c r="BF8" s="47">
        <f>BF7+1</f>
        <v>40818</v>
      </c>
      <c r="BG8" s="54" t="str">
        <f t="shared" ref="BG8:BG37" si="11">AN8</f>
        <v>qui</v>
      </c>
      <c r="BH8" s="75">
        <v>16200</v>
      </c>
      <c r="BI8" s="75">
        <v>9157</v>
      </c>
      <c r="BJ8" s="75">
        <f>IF(BI8&gt;0,SUM(BI$7:BI8)-SUM(BH$7:BH8),0)</f>
        <v>-4357</v>
      </c>
      <c r="BK8" s="45">
        <f>IF(BI8&gt;0,IF(BH8&gt;0,BI8/BH8,0),0)</f>
        <v>0.56524691358024692</v>
      </c>
      <c r="BL8" s="75">
        <v>7000</v>
      </c>
      <c r="BM8" s="75">
        <v>1451</v>
      </c>
      <c r="BN8" s="90">
        <f>IF(BM8&gt;0,SUM(BM$7:BM8)-SUM(BL$7:BL8),0)</f>
        <v>-10384</v>
      </c>
      <c r="BO8" s="45">
        <f>IF(BM8&gt;0,IF(BL8&gt;0,BM8/BL8,0),0)</f>
        <v>0.2072857142857143</v>
      </c>
      <c r="BP8" s="75">
        <v>9880</v>
      </c>
      <c r="BQ8" s="75">
        <v>10511</v>
      </c>
      <c r="BR8" s="90">
        <f>IF(BQ8&gt;0,SUM(BQ$7:BQ8)-SUM(BP$7:BP8),0)</f>
        <v>272</v>
      </c>
      <c r="BS8" s="45">
        <f>IF(BQ8&gt;0,IF(BP8&gt;0,BQ8/BP8,0),0)</f>
        <v>1.0638663967611337</v>
      </c>
      <c r="BT8" s="35">
        <f t="shared" si="5"/>
        <v>33080</v>
      </c>
      <c r="BU8" s="35">
        <f t="shared" si="5"/>
        <v>21119</v>
      </c>
      <c r="BV8" s="91">
        <f>IF(BU8&gt;0,SUM(BU$7:BU8)-SUM(BT$7:BT8),0)</f>
        <v>-14469</v>
      </c>
      <c r="BW8" s="45">
        <f>IF(BU8&gt;0,IF(BT8&gt;0,BU8/BT8,0),0)</f>
        <v>0.63842200725513909</v>
      </c>
      <c r="BY8" s="47">
        <f>BY7+1</f>
        <v>40818</v>
      </c>
      <c r="BZ8" s="54" t="str">
        <f t="shared" ref="BZ8:BZ37" si="12">BG8</f>
        <v>qui</v>
      </c>
      <c r="CA8" s="75">
        <v>2550</v>
      </c>
      <c r="CB8" s="75">
        <v>8341</v>
      </c>
      <c r="CC8" s="90">
        <f>IF(CB8&gt;0,SUM(CB$7:CB8)-SUM(CA$7:CA8),0)</f>
        <v>6853</v>
      </c>
      <c r="CD8" s="45">
        <f>IF(CB8&gt;0,IF(CA8&gt;0,CB8/CA8,0),0)</f>
        <v>3.2709803921568628</v>
      </c>
    </row>
    <row r="9" spans="1:82" x14ac:dyDescent="0.25">
      <c r="A9" s="47">
        <f t="shared" ref="A9:A36" si="13">A8+1</f>
        <v>40819</v>
      </c>
      <c r="B9" s="54" t="s">
        <v>24</v>
      </c>
      <c r="C9" s="75">
        <v>12017</v>
      </c>
      <c r="D9" s="75">
        <v>223</v>
      </c>
      <c r="E9" s="90">
        <f>IF(D9&gt;0,SUM(D$7:D9)-SUM(C$7:C9),0)</f>
        <v>-29491</v>
      </c>
      <c r="F9" s="45">
        <f t="shared" ref="F9:F38" si="14">IF(D9&gt;0,IF(C9&gt;0,D9/C9,0),0)</f>
        <v>1.8557044187401183E-2</v>
      </c>
      <c r="G9" s="75">
        <v>12017</v>
      </c>
      <c r="H9" s="75">
        <v>1</v>
      </c>
      <c r="I9" s="75">
        <f>IF(H9&gt;0,SUM(H$7:H9)-SUM(G$7:G9),0)</f>
        <v>-29856</v>
      </c>
      <c r="J9" s="45">
        <f t="shared" si="0"/>
        <v>8.3215444786552379E-5</v>
      </c>
      <c r="K9" s="75">
        <v>12017</v>
      </c>
      <c r="L9" s="75">
        <v>1</v>
      </c>
      <c r="M9" s="90">
        <f>IF(L9&gt;0,SUM(L$7:L9)-SUM(K$7:K9),0)</f>
        <v>-24194</v>
      </c>
      <c r="N9" s="45">
        <f t="shared" si="1"/>
        <v>8.3215444786552379E-5</v>
      </c>
      <c r="O9" s="35">
        <f t="shared" si="2"/>
        <v>36051</v>
      </c>
      <c r="P9" s="35">
        <f t="shared" si="6"/>
        <v>225</v>
      </c>
      <c r="Q9" s="91">
        <f>IF(P9&gt;0,SUM(P$7:P9)-SUM(O$7:O9),0)</f>
        <v>-83541</v>
      </c>
      <c r="R9" s="45">
        <f t="shared" ref="R9:R38" si="15">IF(P9&gt;0,IF(O9&gt;0,P9/O9,0),0)</f>
        <v>6.2411583589914287E-3</v>
      </c>
      <c r="T9" s="47">
        <f t="shared" ref="T9:T36" si="16">T8+1</f>
        <v>40819</v>
      </c>
      <c r="U9" s="54" t="str">
        <f t="shared" si="7"/>
        <v>sex</v>
      </c>
      <c r="V9" s="75">
        <v>11360</v>
      </c>
      <c r="W9" s="75">
        <v>922</v>
      </c>
      <c r="X9" s="92">
        <f>IF(W9&gt;0,SUM(W$7:W9)-SUM(V$7:V9),0)</f>
        <v>-19722</v>
      </c>
      <c r="Y9" s="60">
        <f t="shared" ref="Y9:Y38" si="17">IF(W9&gt;0,IF(V9&gt;0,W9/V9,0),0)</f>
        <v>8.1161971830985918E-2</v>
      </c>
      <c r="Z9" s="75">
        <v>11360</v>
      </c>
      <c r="AA9" s="75">
        <v>1</v>
      </c>
      <c r="AB9" s="92">
        <f>IF(AA9&gt;0,SUM(AA$7:AA9)-SUM(Z$7:Z9),0)</f>
        <v>-15623</v>
      </c>
      <c r="AC9" s="60">
        <f t="shared" ref="AC9:AC38" si="18">IF(AA9&gt;0,IF(Z9&gt;0,AA9/Z9,0),0)</f>
        <v>8.8028169014084512E-5</v>
      </c>
      <c r="AD9" s="75">
        <v>11360</v>
      </c>
      <c r="AE9" s="75">
        <v>1</v>
      </c>
      <c r="AF9" s="92">
        <f>IF(AE9&gt;0,SUM(AE$7:AE9)-SUM(AD$7:AD9),0)</f>
        <v>-24672</v>
      </c>
      <c r="AG9" s="60">
        <f t="shared" ref="AG9:AG38" si="19">IF(AE9&gt;0,IF(AD9&gt;0,AE9/AD9,0),0)</f>
        <v>8.8028169014084512E-5</v>
      </c>
      <c r="AH9" s="41">
        <f t="shared" si="3"/>
        <v>34080</v>
      </c>
      <c r="AI9" s="41">
        <f t="shared" si="8"/>
        <v>924</v>
      </c>
      <c r="AJ9" s="93">
        <f>IF(AI9&gt;0,SUM(AI$7:AI9)-SUM(AH$7:AH9),0)</f>
        <v>-60017</v>
      </c>
      <c r="AK9" s="60">
        <f t="shared" ref="AK9:AK37" si="20">IF(AI9&gt;0,IF(AH9&gt;0,AI9/AH9,0),0)</f>
        <v>2.7112676056338027E-2</v>
      </c>
      <c r="AM9" s="47">
        <f t="shared" ref="AM9:AM36" si="21">AM8+1</f>
        <v>40819</v>
      </c>
      <c r="AN9" s="54" t="str">
        <f t="shared" si="9"/>
        <v>sex</v>
      </c>
      <c r="AO9" s="75">
        <v>7730</v>
      </c>
      <c r="AP9" s="75">
        <v>2098</v>
      </c>
      <c r="AQ9" s="75">
        <f>IF(AP9&gt;0,SUM(AP$7:AP9)-SUM(AO$7:AO9),0)</f>
        <v>-8247</v>
      </c>
      <c r="AR9" s="45">
        <f t="shared" ref="AR9:AR38" si="22">IF(AP9&gt;0,IF(AO9&gt;0,AP9/AO9,0),0)</f>
        <v>0.27141009055627424</v>
      </c>
      <c r="AS9" s="75">
        <v>7730</v>
      </c>
      <c r="AT9" s="75">
        <v>1</v>
      </c>
      <c r="AU9" s="90">
        <f>IF(AT9&gt;0,SUM(AT$7:AT9)-SUM(AS$7:AS9),0)</f>
        <v>-13840</v>
      </c>
      <c r="AV9" s="45">
        <f t="shared" ref="AV9:AV38" si="23">IF(AT9&gt;0,IF(AS9&gt;0,AT9/AS9,0),0)</f>
        <v>1.2936610608020699E-4</v>
      </c>
      <c r="AW9" s="75">
        <v>7730</v>
      </c>
      <c r="AX9" s="75">
        <v>1</v>
      </c>
      <c r="AY9" s="90">
        <f>IF(AX9&gt;0,SUM(AX$7:AX9)-SUM(AW$7:AW9),0)</f>
        <v>-13728</v>
      </c>
      <c r="AZ9" s="45">
        <f>IF(AX9&gt;0,IF(AW9&gt;0,AX9/AW9,0),0)</f>
        <v>1.2936610608020699E-4</v>
      </c>
      <c r="BA9" s="35">
        <f t="shared" si="4"/>
        <v>23190</v>
      </c>
      <c r="BB9" s="35">
        <f t="shared" si="10"/>
        <v>2100</v>
      </c>
      <c r="BC9" s="91">
        <f>IF(BB9&gt;0,SUM(BB$7:BB9)-SUM(BA$7:BA9),0)</f>
        <v>-35815</v>
      </c>
      <c r="BD9" s="45">
        <f t="shared" ref="BD9:BD38" si="24">IF(BB9&gt;0,IF(BA9&gt;0,BB9/BA9,0),0)</f>
        <v>9.0556274256144889E-2</v>
      </c>
      <c r="BF9" s="47">
        <f t="shared" ref="BF9:BF36" si="25">BF8+1</f>
        <v>40819</v>
      </c>
      <c r="BG9" s="54" t="str">
        <f t="shared" si="11"/>
        <v>sex</v>
      </c>
      <c r="BH9" s="75">
        <v>16200</v>
      </c>
      <c r="BI9" s="75">
        <v>2098</v>
      </c>
      <c r="BJ9" s="75">
        <f>IF(BI9&gt;0,SUM(BI$7:BI9)-SUM(BH$7:BH9),0)</f>
        <v>-18459</v>
      </c>
      <c r="BK9" s="45">
        <f t="shared" ref="BK9:BK38" si="26">IF(BI9&gt;0,IF(BH9&gt;0,BI9/BH9,0),0)</f>
        <v>0.12950617283950616</v>
      </c>
      <c r="BL9" s="75">
        <v>7000</v>
      </c>
      <c r="BM9" s="75">
        <v>1</v>
      </c>
      <c r="BN9" s="90">
        <f>IF(BM9&gt;0,SUM(BM$7:BM9)-SUM(BL$7:BL9),0)</f>
        <v>-17383</v>
      </c>
      <c r="BO9" s="45">
        <f t="shared" ref="BO9:BO38" si="27">IF(BM9&gt;0,IF(BL9&gt;0,BM9/BL9,0),0)</f>
        <v>1.4285714285714287E-4</v>
      </c>
      <c r="BP9" s="75">
        <v>9880</v>
      </c>
      <c r="BQ9" s="75">
        <v>8988</v>
      </c>
      <c r="BR9" s="90">
        <f>IF(BQ9&gt;0,SUM(BQ$7:BQ9)-SUM(BP$7:BP9),0)</f>
        <v>-620</v>
      </c>
      <c r="BS9" s="45">
        <f>IF(BQ9&gt;0,IF(BP9&gt;0,BQ9/BP9,0),0)</f>
        <v>0.90971659919028336</v>
      </c>
      <c r="BT9" s="35">
        <f>IF(SUM(BH9,BL9,BP9)&gt;0,SUM(BH9,BL9,BP9),0)</f>
        <v>33080</v>
      </c>
      <c r="BU9" s="35">
        <f t="shared" si="5"/>
        <v>11087</v>
      </c>
      <c r="BV9" s="91">
        <f>IF(BU9&gt;0,SUM(BU$7:BU9)-SUM(BT$7:BT9),0)</f>
        <v>-36462</v>
      </c>
      <c r="BW9" s="45">
        <f t="shared" ref="BW9:BW38" si="28">IF(BU9&gt;0,IF(BT9&gt;0,BU9/BT9,0),0)</f>
        <v>0.33515719467956467</v>
      </c>
      <c r="BY9" s="47">
        <f t="shared" ref="BY9:BY36" si="29">BY8+1</f>
        <v>40819</v>
      </c>
      <c r="BZ9" s="54" t="str">
        <f t="shared" si="12"/>
        <v>sex</v>
      </c>
      <c r="CA9" s="75">
        <v>2550</v>
      </c>
      <c r="CB9" s="75">
        <v>233</v>
      </c>
      <c r="CC9" s="90">
        <f>IF(CB9&gt;0,SUM(CB$7:CB9)-SUM(CA$7:CA9),0)</f>
        <v>4536</v>
      </c>
      <c r="CD9" s="45">
        <f t="shared" ref="CD9:CD38" si="30">IF(CB9&gt;0,IF(CA9&gt;0,CB9/CA9,0),0)</f>
        <v>9.137254901960784E-2</v>
      </c>
    </row>
    <row r="10" spans="1:82" x14ac:dyDescent="0.25">
      <c r="A10" s="47">
        <f t="shared" si="13"/>
        <v>40820</v>
      </c>
      <c r="B10" s="54" t="s">
        <v>25</v>
      </c>
      <c r="C10" s="75"/>
      <c r="D10" s="75"/>
      <c r="E10" s="90">
        <f>IF(D10&gt;0,SUM(D$7:D10)-SUM(C$7:C10),0)</f>
        <v>0</v>
      </c>
      <c r="F10" s="45">
        <f t="shared" si="14"/>
        <v>0</v>
      </c>
      <c r="G10" s="75"/>
      <c r="H10" s="75"/>
      <c r="I10" s="75">
        <f>IF(H10&gt;0,SUM(H$7:H10)-SUM(G$7:G10),0)</f>
        <v>0</v>
      </c>
      <c r="J10" s="45">
        <f t="shared" si="0"/>
        <v>0</v>
      </c>
      <c r="K10" s="75"/>
      <c r="L10" s="75"/>
      <c r="M10" s="90">
        <f>IF(L10&gt;0,SUM(L$7:L10)-SUM(K$7:K10),0)</f>
        <v>0</v>
      </c>
      <c r="N10" s="45">
        <f t="shared" si="1"/>
        <v>0</v>
      </c>
      <c r="O10" s="35">
        <f t="shared" si="2"/>
        <v>0</v>
      </c>
      <c r="P10" s="35">
        <f t="shared" si="6"/>
        <v>0</v>
      </c>
      <c r="Q10" s="91">
        <f>IF(P10&gt;0,SUM(P$7:P10)-SUM(O$7:O10),0)</f>
        <v>0</v>
      </c>
      <c r="R10" s="45">
        <f t="shared" si="15"/>
        <v>0</v>
      </c>
      <c r="T10" s="47">
        <f t="shared" si="16"/>
        <v>40820</v>
      </c>
      <c r="U10" s="54" t="str">
        <f t="shared" si="7"/>
        <v>sáb</v>
      </c>
      <c r="V10" s="75"/>
      <c r="W10" s="75">
        <v>11624</v>
      </c>
      <c r="X10" s="92">
        <f>IF(W10&gt;0,SUM(W$7:W10)-SUM(V$7:V10),0)</f>
        <v>-8098</v>
      </c>
      <c r="Y10" s="60">
        <f t="shared" si="17"/>
        <v>0</v>
      </c>
      <c r="Z10" s="75"/>
      <c r="AA10" s="75"/>
      <c r="AB10" s="92">
        <f>IF(AA10&gt;0,SUM(AA$7:AA10)-SUM(Z$7:Z10),0)</f>
        <v>0</v>
      </c>
      <c r="AC10" s="60">
        <f t="shared" si="18"/>
        <v>0</v>
      </c>
      <c r="AD10" s="75"/>
      <c r="AE10" s="75"/>
      <c r="AF10" s="92">
        <f>IF(AE10&gt;0,SUM(AE$7:AE10)-SUM(AD$7:AD10),0)</f>
        <v>0</v>
      </c>
      <c r="AG10" s="60">
        <f t="shared" si="19"/>
        <v>0</v>
      </c>
      <c r="AH10" s="41">
        <f t="shared" si="3"/>
        <v>0</v>
      </c>
      <c r="AI10" s="41">
        <f t="shared" si="8"/>
        <v>11624</v>
      </c>
      <c r="AJ10" s="93">
        <f>IF(AI10&gt;0,SUM(AI$7:AI10)-SUM(AH$7:AH10),0)</f>
        <v>-48393</v>
      </c>
      <c r="AK10" s="60">
        <f t="shared" si="20"/>
        <v>0</v>
      </c>
      <c r="AM10" s="47">
        <f t="shared" si="21"/>
        <v>40820</v>
      </c>
      <c r="AN10" s="54" t="str">
        <f t="shared" si="9"/>
        <v>sáb</v>
      </c>
      <c r="AO10" s="75"/>
      <c r="AP10" s="75"/>
      <c r="AQ10" s="75">
        <f>IF(AP10&gt;0,SUM(AP$7:AP10)-SUM(AO$7:AO10),0)</f>
        <v>0</v>
      </c>
      <c r="AR10" s="45">
        <f t="shared" si="22"/>
        <v>0</v>
      </c>
      <c r="AS10" s="75"/>
      <c r="AT10" s="75"/>
      <c r="AU10" s="90">
        <f>IF(AT10&gt;0,SUM(AT$7:AT10)-SUM(AS$7:AS10),0)</f>
        <v>0</v>
      </c>
      <c r="AV10" s="45">
        <f t="shared" si="23"/>
        <v>0</v>
      </c>
      <c r="AW10" s="75"/>
      <c r="AX10" s="75"/>
      <c r="AY10" s="90">
        <f>IF(AX10&gt;0,SUM(AX$7:AX10)-SUM(AW$7:AW10),0)</f>
        <v>0</v>
      </c>
      <c r="AZ10" s="45">
        <f>IF(AX10&gt;0,IF(AW10&gt;0,AX10/AW10,0),0)</f>
        <v>0</v>
      </c>
      <c r="BA10" s="35">
        <f t="shared" si="4"/>
        <v>0</v>
      </c>
      <c r="BB10" s="35">
        <f t="shared" si="10"/>
        <v>0</v>
      </c>
      <c r="BC10" s="91">
        <f>IF(BB10&gt;0,SUM(BB$7:BB10)-SUM(BA$7:BA10),0)</f>
        <v>0</v>
      </c>
      <c r="BD10" s="45">
        <f t="shared" si="24"/>
        <v>0</v>
      </c>
      <c r="BF10" s="47">
        <f t="shared" si="25"/>
        <v>40820</v>
      </c>
      <c r="BG10" s="54" t="str">
        <f t="shared" si="11"/>
        <v>sáb</v>
      </c>
      <c r="BH10" s="75"/>
      <c r="BI10" s="75"/>
      <c r="BJ10" s="75">
        <f>IF(BI10&gt;0,SUM(BI$7:BI10)-SUM(BH$7:BH10),0)</f>
        <v>0</v>
      </c>
      <c r="BK10" s="45">
        <f t="shared" si="26"/>
        <v>0</v>
      </c>
      <c r="BL10" s="75"/>
      <c r="BM10" s="75"/>
      <c r="BN10" s="90">
        <f>IF(BM10&gt;0,SUM(BM$7:BM10)-SUM(BL$7:BL10),0)</f>
        <v>0</v>
      </c>
      <c r="BO10" s="45">
        <f t="shared" si="27"/>
        <v>0</v>
      </c>
      <c r="BP10" s="75"/>
      <c r="BQ10" s="75"/>
      <c r="BR10" s="90">
        <f>IF(BQ10&gt;0,SUM(BQ$7:BQ10)-SUM(BP$7:BP10),0)</f>
        <v>0</v>
      </c>
      <c r="BS10" s="45">
        <f>IF(BQ10&gt;0,IF(BP10&gt;0,BQ10/BP10,0),0)</f>
        <v>0</v>
      </c>
      <c r="BT10" s="35">
        <f>IF(SUM(BH10,BL10,BP10)&gt;0,SUM(BH10,BL10,BP10),0)</f>
        <v>0</v>
      </c>
      <c r="BU10" s="35">
        <f t="shared" si="5"/>
        <v>0</v>
      </c>
      <c r="BV10" s="91">
        <f>IF(BU10&gt;0,SUM(BU$7:BU10)-SUM(BT$7:BT10),0)</f>
        <v>0</v>
      </c>
      <c r="BW10" s="45">
        <f t="shared" si="28"/>
        <v>0</v>
      </c>
      <c r="BY10" s="47">
        <f t="shared" si="29"/>
        <v>40820</v>
      </c>
      <c r="BZ10" s="54" t="str">
        <f t="shared" si="12"/>
        <v>sáb</v>
      </c>
      <c r="CA10" s="75"/>
      <c r="CB10" s="75"/>
      <c r="CC10" s="90">
        <f>IF(CB10&gt;0,SUM(CB$7:CB10)-SUM(CA$7:CA10),0)</f>
        <v>0</v>
      </c>
      <c r="CD10" s="45">
        <f t="shared" si="30"/>
        <v>0</v>
      </c>
    </row>
    <row r="11" spans="1:82" x14ac:dyDescent="0.25">
      <c r="A11" s="47">
        <f t="shared" si="13"/>
        <v>40821</v>
      </c>
      <c r="B11" s="54" t="s">
        <v>26</v>
      </c>
      <c r="C11" s="75"/>
      <c r="D11" s="75"/>
      <c r="E11" s="90">
        <f>IF(D11&gt;0,SUM(D$7:D11)-SUM(C$7:C11),0)</f>
        <v>0</v>
      </c>
      <c r="F11" s="45">
        <f t="shared" si="14"/>
        <v>0</v>
      </c>
      <c r="G11" s="75"/>
      <c r="H11" s="75"/>
      <c r="I11" s="75">
        <f>IF(H11&gt;0,SUM(H$7:H11)-SUM(G$7:G11),0)</f>
        <v>0</v>
      </c>
      <c r="J11" s="45">
        <f t="shared" si="0"/>
        <v>0</v>
      </c>
      <c r="K11" s="75"/>
      <c r="L11" s="75"/>
      <c r="M11" s="90">
        <f>IF(L11&gt;0,SUM(L$7:L11)-SUM(K$7:K11),0)</f>
        <v>0</v>
      </c>
      <c r="N11" s="45">
        <f t="shared" si="1"/>
        <v>0</v>
      </c>
      <c r="O11" s="35">
        <f t="shared" si="2"/>
        <v>0</v>
      </c>
      <c r="P11" s="35">
        <f t="shared" si="6"/>
        <v>0</v>
      </c>
      <c r="Q11" s="91">
        <f>IF(P11&gt;0,SUM(P$7:P11)-SUM(O$7:O11),0)</f>
        <v>0</v>
      </c>
      <c r="R11" s="45">
        <f t="shared" si="15"/>
        <v>0</v>
      </c>
      <c r="T11" s="47">
        <f t="shared" si="16"/>
        <v>40821</v>
      </c>
      <c r="U11" s="54" t="str">
        <f t="shared" si="7"/>
        <v>dom</v>
      </c>
      <c r="V11" s="75"/>
      <c r="W11" s="75"/>
      <c r="X11" s="92">
        <f>IF(W11&gt;0,SUM(W$7:W11)-SUM(V$7:V11),0)</f>
        <v>0</v>
      </c>
      <c r="Y11" s="60">
        <f t="shared" si="17"/>
        <v>0</v>
      </c>
      <c r="Z11" s="75"/>
      <c r="AA11" s="75"/>
      <c r="AB11" s="92">
        <f>IF(AA11&gt;0,SUM(AA$7:AA11)-SUM(Z$7:Z11),0)</f>
        <v>0</v>
      </c>
      <c r="AC11" s="60">
        <f t="shared" si="18"/>
        <v>0</v>
      </c>
      <c r="AD11" s="75"/>
      <c r="AE11" s="75"/>
      <c r="AF11" s="92">
        <f>IF(AE11&gt;0,SUM(AE$7:AE11)-SUM(AD$7:AD11),0)</f>
        <v>0</v>
      </c>
      <c r="AG11" s="60">
        <f t="shared" si="19"/>
        <v>0</v>
      </c>
      <c r="AH11" s="41">
        <f t="shared" si="3"/>
        <v>0</v>
      </c>
      <c r="AI11" s="41">
        <f t="shared" si="8"/>
        <v>0</v>
      </c>
      <c r="AJ11" s="93">
        <f>IF(AI11&gt;0,SUM(AI$7:AI11)-SUM(AH$7:AH11),0)</f>
        <v>0</v>
      </c>
      <c r="AK11" s="60">
        <f t="shared" si="20"/>
        <v>0</v>
      </c>
      <c r="AM11" s="47">
        <f t="shared" si="21"/>
        <v>40821</v>
      </c>
      <c r="AN11" s="54" t="str">
        <f t="shared" si="9"/>
        <v>dom</v>
      </c>
      <c r="AO11" s="75"/>
      <c r="AP11" s="75"/>
      <c r="AQ11" s="75">
        <f>IF(AP11&gt;0,SUM(AP$7:AP11)-SUM(AO$7:AO11),0)</f>
        <v>0</v>
      </c>
      <c r="AR11" s="45">
        <f t="shared" si="22"/>
        <v>0</v>
      </c>
      <c r="AS11" s="75"/>
      <c r="AT11" s="75"/>
      <c r="AU11" s="90">
        <f>IF(AT11&gt;0,SUM(AT$7:AT11)-SUM(AS$7:AS11),0)</f>
        <v>0</v>
      </c>
      <c r="AV11" s="45">
        <f t="shared" si="23"/>
        <v>0</v>
      </c>
      <c r="AW11" s="75"/>
      <c r="AX11" s="75"/>
      <c r="AY11" s="90">
        <f>IF(AX11&gt;0,SUM(AX$7:AX11)-SUM(AW$7:AW11),0)</f>
        <v>0</v>
      </c>
      <c r="AZ11" s="45">
        <f t="shared" ref="AZ11:AZ38" si="31">IF(AX11&gt;0,IF(AW11&gt;0,AX11/AW11,0),0)</f>
        <v>0</v>
      </c>
      <c r="BA11" s="35">
        <f t="shared" si="4"/>
        <v>0</v>
      </c>
      <c r="BB11" s="35">
        <f t="shared" si="10"/>
        <v>0</v>
      </c>
      <c r="BC11" s="91">
        <f>IF(BB11&gt;0,SUM(BB$7:BB11)-SUM(BA$7:BA11),0)</f>
        <v>0</v>
      </c>
      <c r="BD11" s="45">
        <f t="shared" si="24"/>
        <v>0</v>
      </c>
      <c r="BF11" s="47">
        <f t="shared" si="25"/>
        <v>40821</v>
      </c>
      <c r="BG11" s="54" t="str">
        <f t="shared" si="11"/>
        <v>dom</v>
      </c>
      <c r="BH11" s="75"/>
      <c r="BI11" s="75"/>
      <c r="BJ11" s="75">
        <f>IF(BI11&gt;0,SUM(BI$7:BI11)-SUM(BH$7:BH11),0)</f>
        <v>0</v>
      </c>
      <c r="BK11" s="45">
        <f t="shared" si="26"/>
        <v>0</v>
      </c>
      <c r="BL11" s="75"/>
      <c r="BM11" s="75"/>
      <c r="BN11" s="90">
        <f>IF(BM11&gt;0,SUM(BM$7:BM11)-SUM(BL$7:BL11),0)</f>
        <v>0</v>
      </c>
      <c r="BO11" s="45">
        <f t="shared" si="27"/>
        <v>0</v>
      </c>
      <c r="BP11" s="75"/>
      <c r="BQ11" s="75"/>
      <c r="BR11" s="90">
        <f>IF(BQ11&gt;0,SUM(BQ$7:BQ11)-SUM(BP$7:BP11),0)</f>
        <v>0</v>
      </c>
      <c r="BS11" s="45">
        <f t="shared" ref="BS11:BS38" si="32">IF(BQ11&gt;0,IF(BP11&gt;0,BQ11/BP11,0),0)</f>
        <v>0</v>
      </c>
      <c r="BT11" s="35">
        <f t="shared" si="5"/>
        <v>0</v>
      </c>
      <c r="BU11" s="35">
        <f t="shared" si="5"/>
        <v>0</v>
      </c>
      <c r="BV11" s="91">
        <f>IF(BU11&gt;0,SUM(BU$7:BU11)-SUM(BT$7:BT11),0)</f>
        <v>0</v>
      </c>
      <c r="BW11" s="45">
        <f t="shared" si="28"/>
        <v>0</v>
      </c>
      <c r="BY11" s="47">
        <f t="shared" si="29"/>
        <v>40821</v>
      </c>
      <c r="BZ11" s="54" t="str">
        <f t="shared" si="12"/>
        <v>dom</v>
      </c>
      <c r="CA11" s="75"/>
      <c r="CB11" s="75"/>
      <c r="CC11" s="90">
        <f>IF(CB11&gt;0,SUM(CB$7:CB11)-SUM(CA$7:CA11),0)</f>
        <v>0</v>
      </c>
      <c r="CD11" s="45">
        <f t="shared" si="30"/>
        <v>0</v>
      </c>
    </row>
    <row r="12" spans="1:82" x14ac:dyDescent="0.25">
      <c r="A12" s="47">
        <f t="shared" si="13"/>
        <v>40822</v>
      </c>
      <c r="B12" s="54" t="s">
        <v>27</v>
      </c>
      <c r="C12" s="75">
        <v>12017</v>
      </c>
      <c r="D12" s="75">
        <v>1</v>
      </c>
      <c r="E12" s="90">
        <f>IF(D12&gt;0,SUM(D$7:D12)-SUM(C$7:C12),0)</f>
        <v>-41507</v>
      </c>
      <c r="F12" s="45">
        <f t="shared" si="14"/>
        <v>8.3215444786552379E-5</v>
      </c>
      <c r="G12" s="75">
        <v>12017</v>
      </c>
      <c r="H12" s="75">
        <v>7130</v>
      </c>
      <c r="I12" s="75">
        <f>IF(H12&gt;0,SUM(H$7:H12)-SUM(G$7:G12),0)</f>
        <v>-34743</v>
      </c>
      <c r="J12" s="45">
        <f t="shared" si="0"/>
        <v>0.59332612132811846</v>
      </c>
      <c r="K12" s="75">
        <v>12017</v>
      </c>
      <c r="L12" s="75">
        <v>11942</v>
      </c>
      <c r="M12" s="90">
        <f>IF(L12&gt;0,SUM(L$7:L12)-SUM(K$7:K12),0)</f>
        <v>-24269</v>
      </c>
      <c r="N12" s="45">
        <f t="shared" si="1"/>
        <v>0.99375884164100858</v>
      </c>
      <c r="O12" s="35">
        <f t="shared" si="2"/>
        <v>36051</v>
      </c>
      <c r="P12" s="35">
        <f t="shared" si="6"/>
        <v>19073</v>
      </c>
      <c r="Q12" s="91">
        <f>IF(P12&gt;0,SUM(P$7:P12)-SUM(O$7:O12),0)</f>
        <v>-100519</v>
      </c>
      <c r="R12" s="45">
        <f t="shared" si="15"/>
        <v>0.52905605947130452</v>
      </c>
      <c r="T12" s="47">
        <f t="shared" si="16"/>
        <v>40822</v>
      </c>
      <c r="U12" s="54" t="str">
        <f t="shared" si="7"/>
        <v>seg</v>
      </c>
      <c r="V12" s="75">
        <v>11360</v>
      </c>
      <c r="W12" s="75">
        <v>9474</v>
      </c>
      <c r="X12" s="92">
        <f>IF(W12&gt;0,SUM(W$7:W12)-SUM(V$7:V12),0)</f>
        <v>-9984</v>
      </c>
      <c r="Y12" s="60">
        <f t="shared" si="17"/>
        <v>0.83397887323943665</v>
      </c>
      <c r="Z12" s="75">
        <v>11360</v>
      </c>
      <c r="AA12" s="75">
        <v>8335</v>
      </c>
      <c r="AB12" s="92">
        <f>IF(AA12&gt;0,SUM(AA$7:AA12)-SUM(Z$7:Z12),0)</f>
        <v>-18648</v>
      </c>
      <c r="AC12" s="60">
        <f t="shared" si="18"/>
        <v>0.73371478873239437</v>
      </c>
      <c r="AD12" s="75">
        <v>11360</v>
      </c>
      <c r="AE12" s="75">
        <v>7224</v>
      </c>
      <c r="AF12" s="92">
        <f>IF(AE12&gt;0,SUM(AE$7:AE12)-SUM(AD$7:AD12),0)</f>
        <v>-28808</v>
      </c>
      <c r="AG12" s="60">
        <f t="shared" si="19"/>
        <v>0.63591549295774652</v>
      </c>
      <c r="AH12" s="41">
        <f t="shared" si="3"/>
        <v>34080</v>
      </c>
      <c r="AI12" s="41">
        <f t="shared" si="8"/>
        <v>25033</v>
      </c>
      <c r="AJ12" s="93">
        <f>IF(AI12&gt;0,SUM(AI$7:AI12)-SUM(AH$7:AH12),0)</f>
        <v>-57440</v>
      </c>
      <c r="AK12" s="60">
        <f t="shared" si="20"/>
        <v>0.73453638497652585</v>
      </c>
      <c r="AM12" s="47">
        <f t="shared" si="21"/>
        <v>40822</v>
      </c>
      <c r="AN12" s="54" t="str">
        <f t="shared" si="9"/>
        <v>seg</v>
      </c>
      <c r="AO12" s="75">
        <v>7730</v>
      </c>
      <c r="AP12" s="75">
        <v>7658</v>
      </c>
      <c r="AQ12" s="75">
        <f>IF(AP12&gt;0,SUM(AP$7:AP12)-SUM(AO$7:AO12),0)</f>
        <v>-8319</v>
      </c>
      <c r="AR12" s="45">
        <f t="shared" si="22"/>
        <v>0.99068564036222506</v>
      </c>
      <c r="AS12" s="75">
        <v>7730</v>
      </c>
      <c r="AT12" s="75">
        <v>7430</v>
      </c>
      <c r="AU12" s="90">
        <f>IF(AT12&gt;0,SUM(AT$7:AT12)-SUM(AS$7:AS12),0)</f>
        <v>-14140</v>
      </c>
      <c r="AV12" s="45">
        <f t="shared" si="23"/>
        <v>0.96119016817593794</v>
      </c>
      <c r="AW12" s="75">
        <v>7730</v>
      </c>
      <c r="AX12" s="75">
        <v>7198</v>
      </c>
      <c r="AY12" s="90">
        <f>IF(AX12&gt;0,SUM(AX$7:AX12)-SUM(AW$7:AW12),0)</f>
        <v>-14260</v>
      </c>
      <c r="AZ12" s="45">
        <f t="shared" si="31"/>
        <v>0.93117723156532983</v>
      </c>
      <c r="BA12" s="35">
        <f t="shared" si="4"/>
        <v>23190</v>
      </c>
      <c r="BB12" s="35">
        <f t="shared" si="10"/>
        <v>22286</v>
      </c>
      <c r="BC12" s="91">
        <f>IF(BB12&gt;0,SUM(BB$7:BB12)-SUM(BA$7:BA12),0)</f>
        <v>-36719</v>
      </c>
      <c r="BD12" s="45">
        <f t="shared" si="24"/>
        <v>0.96101768003449761</v>
      </c>
      <c r="BF12" s="47">
        <f t="shared" si="25"/>
        <v>40822</v>
      </c>
      <c r="BG12" s="54" t="str">
        <f t="shared" si="11"/>
        <v>seg</v>
      </c>
      <c r="BH12" s="75">
        <v>16200</v>
      </c>
      <c r="BI12" s="75">
        <v>13158</v>
      </c>
      <c r="BJ12" s="75">
        <f>IF(BI12&gt;0,SUM(BI$7:BI12)-SUM(BH$7:BH12),0)</f>
        <v>-21501</v>
      </c>
      <c r="BK12" s="45">
        <f t="shared" si="26"/>
        <v>0.81222222222222218</v>
      </c>
      <c r="BL12" s="75">
        <v>7000</v>
      </c>
      <c r="BM12" s="75">
        <v>8935</v>
      </c>
      <c r="BN12" s="90">
        <f>IF(BM12&gt;0,SUM(BM$7:BM12)-SUM(BL$7:BL12),0)</f>
        <v>-15448</v>
      </c>
      <c r="BO12" s="45">
        <f t="shared" si="27"/>
        <v>1.2764285714285715</v>
      </c>
      <c r="BP12" s="75">
        <v>9880</v>
      </c>
      <c r="BQ12" s="75">
        <v>5132</v>
      </c>
      <c r="BR12" s="90">
        <f>IF(BQ12&gt;0,SUM(BQ$7:BQ12)-SUM(BP$7:BP12),0)</f>
        <v>-5368</v>
      </c>
      <c r="BS12" s="45">
        <f t="shared" si="32"/>
        <v>0.51943319838056679</v>
      </c>
      <c r="BT12" s="35">
        <f t="shared" si="5"/>
        <v>33080</v>
      </c>
      <c r="BU12" s="35">
        <f t="shared" si="5"/>
        <v>27225</v>
      </c>
      <c r="BV12" s="91">
        <f>IF(BU12&gt;0,SUM(BU$7:BU12)-SUM(BT$7:BT12),0)</f>
        <v>-42317</v>
      </c>
      <c r="BW12" s="45">
        <f t="shared" si="28"/>
        <v>0.82300483675937119</v>
      </c>
      <c r="BY12" s="47">
        <f t="shared" si="29"/>
        <v>40822</v>
      </c>
      <c r="BZ12" s="54" t="str">
        <f t="shared" si="12"/>
        <v>seg</v>
      </c>
      <c r="CA12" s="75">
        <v>2550</v>
      </c>
      <c r="CB12" s="75">
        <v>4069</v>
      </c>
      <c r="CC12" s="90">
        <f>IF(CB12&gt;0,SUM(CB$7:CB12)-SUM(CA$7:CA12),0)</f>
        <v>6055</v>
      </c>
      <c r="CD12" s="45">
        <f t="shared" si="30"/>
        <v>1.5956862745098039</v>
      </c>
    </row>
    <row r="13" spans="1:82" x14ac:dyDescent="0.25">
      <c r="A13" s="47">
        <f t="shared" si="13"/>
        <v>40823</v>
      </c>
      <c r="B13" s="54" t="s">
        <v>28</v>
      </c>
      <c r="C13" s="75">
        <v>12017</v>
      </c>
      <c r="D13" s="75">
        <v>10775</v>
      </c>
      <c r="E13" s="90">
        <f>IF(D13&gt;0,SUM(D$7:D13)-SUM(C$7:C13),0)</f>
        <v>-42749</v>
      </c>
      <c r="F13" s="45">
        <f t="shared" si="14"/>
        <v>0.89664641757510188</v>
      </c>
      <c r="G13" s="75">
        <v>12017</v>
      </c>
      <c r="H13" s="75">
        <v>11342</v>
      </c>
      <c r="I13" s="75">
        <f>IF(H13&gt;0,SUM(H$7:H13)-SUM(G$7:G13),0)</f>
        <v>-35418</v>
      </c>
      <c r="J13" s="45">
        <f t="shared" si="0"/>
        <v>0.94382957476907714</v>
      </c>
      <c r="K13" s="75">
        <v>12017</v>
      </c>
      <c r="L13" s="75">
        <v>11268</v>
      </c>
      <c r="M13" s="90">
        <f>IF(L13&gt;0,SUM(L$7:L13)-SUM(K$7:K13),0)</f>
        <v>-25018</v>
      </c>
      <c r="N13" s="45">
        <f t="shared" si="1"/>
        <v>0.93767163185487223</v>
      </c>
      <c r="O13" s="35">
        <f t="shared" si="2"/>
        <v>36051</v>
      </c>
      <c r="P13" s="35">
        <f t="shared" si="6"/>
        <v>33385</v>
      </c>
      <c r="Q13" s="91">
        <f>IF(P13&gt;0,SUM(P$7:P13)-SUM(O$7:O13),0)</f>
        <v>-103185</v>
      </c>
      <c r="R13" s="45">
        <f t="shared" si="15"/>
        <v>0.92604920806635049</v>
      </c>
      <c r="T13" s="47">
        <f t="shared" si="16"/>
        <v>40823</v>
      </c>
      <c r="U13" s="54" t="str">
        <f t="shared" si="7"/>
        <v>ter</v>
      </c>
      <c r="V13" s="75">
        <v>11360</v>
      </c>
      <c r="W13" s="75">
        <v>12197</v>
      </c>
      <c r="X13" s="92">
        <f>IF(W13&gt;0,SUM(W$7:W13)-SUM(V$7:V13),0)</f>
        <v>-9147</v>
      </c>
      <c r="Y13" s="60">
        <f t="shared" si="17"/>
        <v>1.0736795774647887</v>
      </c>
      <c r="Z13" s="75">
        <v>11360</v>
      </c>
      <c r="AA13" s="75">
        <v>13466</v>
      </c>
      <c r="AB13" s="92">
        <f>IF(AA13&gt;0,SUM(AA$7:AA13)-SUM(Z$7:Z13),0)</f>
        <v>-16542</v>
      </c>
      <c r="AC13" s="60">
        <f t="shared" si="18"/>
        <v>1.1853873239436619</v>
      </c>
      <c r="AD13" s="75">
        <v>11360</v>
      </c>
      <c r="AE13" s="75">
        <v>6798</v>
      </c>
      <c r="AF13" s="92">
        <f>IF(AE13&gt;0,SUM(AE$7:AE13)-SUM(AD$7:AD13),0)</f>
        <v>-33370</v>
      </c>
      <c r="AG13" s="60">
        <f t="shared" si="19"/>
        <v>0.59841549295774643</v>
      </c>
      <c r="AH13" s="41">
        <f t="shared" si="3"/>
        <v>34080</v>
      </c>
      <c r="AI13" s="41">
        <f t="shared" si="8"/>
        <v>32461</v>
      </c>
      <c r="AJ13" s="93">
        <f>IF(AI13&gt;0,SUM(AI$7:AI13)-SUM(AH$7:AH13),0)</f>
        <v>-59059</v>
      </c>
      <c r="AK13" s="60">
        <f t="shared" si="20"/>
        <v>0.95249413145539907</v>
      </c>
      <c r="AM13" s="47">
        <f t="shared" si="21"/>
        <v>40823</v>
      </c>
      <c r="AN13" s="54" t="str">
        <f t="shared" si="9"/>
        <v>ter</v>
      </c>
      <c r="AO13" s="75">
        <v>7730</v>
      </c>
      <c r="AP13" s="75">
        <v>7898</v>
      </c>
      <c r="AQ13" s="75">
        <f>IF(AP13&gt;0,SUM(AP$7:AP13)-SUM(AO$7:AO13),0)</f>
        <v>-8151</v>
      </c>
      <c r="AR13" s="45">
        <f t="shared" si="22"/>
        <v>1.0217335058214747</v>
      </c>
      <c r="AS13" s="75">
        <v>7730</v>
      </c>
      <c r="AT13" s="75">
        <v>6154</v>
      </c>
      <c r="AU13" s="90">
        <f>IF(AT13&gt;0,SUM(AT$7:AT13)-SUM(AS$7:AS13),0)</f>
        <v>-15716</v>
      </c>
      <c r="AV13" s="45">
        <f t="shared" si="23"/>
        <v>0.79611901681759378</v>
      </c>
      <c r="AW13" s="75">
        <v>7730</v>
      </c>
      <c r="AX13" s="75">
        <v>7141</v>
      </c>
      <c r="AY13" s="90">
        <f>IF(AX13&gt;0,SUM(AX$7:AX13)-SUM(AW$7:AW13),0)</f>
        <v>-14849</v>
      </c>
      <c r="AZ13" s="45">
        <f t="shared" si="31"/>
        <v>0.92380336351875814</v>
      </c>
      <c r="BA13" s="35">
        <f t="shared" si="4"/>
        <v>23190</v>
      </c>
      <c r="BB13" s="35">
        <f t="shared" si="10"/>
        <v>21193</v>
      </c>
      <c r="BC13" s="91">
        <f>IF(BB13&gt;0,SUM(BB$7:BB13)-SUM(BA$7:BA13),0)</f>
        <v>-38716</v>
      </c>
      <c r="BD13" s="45">
        <f t="shared" si="24"/>
        <v>0.91388529538594221</v>
      </c>
      <c r="BF13" s="47">
        <f t="shared" si="25"/>
        <v>40823</v>
      </c>
      <c r="BG13" s="54" t="str">
        <f t="shared" si="11"/>
        <v>ter</v>
      </c>
      <c r="BH13" s="75">
        <v>16200</v>
      </c>
      <c r="BI13" s="75">
        <v>13742</v>
      </c>
      <c r="BJ13" s="75">
        <f>IF(BI13&gt;0,SUM(BI$7:BI13)-SUM(BH$7:BH13),0)</f>
        <v>-23959</v>
      </c>
      <c r="BK13" s="45">
        <f t="shared" si="26"/>
        <v>0.84827160493827158</v>
      </c>
      <c r="BL13" s="75">
        <v>7000</v>
      </c>
      <c r="BM13" s="75">
        <v>7456</v>
      </c>
      <c r="BN13" s="90">
        <f>IF(BM13&gt;0,SUM(BM$7:BM13)-SUM(BL$7:BL13),0)</f>
        <v>-14992</v>
      </c>
      <c r="BO13" s="45">
        <f t="shared" si="27"/>
        <v>1.0651428571428572</v>
      </c>
      <c r="BP13" s="75">
        <v>9880</v>
      </c>
      <c r="BQ13" s="75">
        <v>7499</v>
      </c>
      <c r="BR13" s="90">
        <f>IF(BQ13&gt;0,SUM(BQ$7:BQ13)-SUM(BP$7:BP13),0)</f>
        <v>-7749</v>
      </c>
      <c r="BS13" s="45">
        <f t="shared" si="32"/>
        <v>0.75900809716599194</v>
      </c>
      <c r="BT13" s="35">
        <f t="shared" si="5"/>
        <v>33080</v>
      </c>
      <c r="BU13" s="35">
        <f t="shared" si="5"/>
        <v>28697</v>
      </c>
      <c r="BV13" s="91">
        <f>IF(BU13&gt;0,SUM(BU$7:BU13)-SUM(BT$7:BT13),0)</f>
        <v>-46700</v>
      </c>
      <c r="BW13" s="45">
        <f t="shared" si="28"/>
        <v>0.86750302297460702</v>
      </c>
      <c r="BY13" s="47">
        <f t="shared" si="29"/>
        <v>40823</v>
      </c>
      <c r="BZ13" s="54" t="str">
        <f t="shared" si="12"/>
        <v>ter</v>
      </c>
      <c r="CA13" s="75">
        <v>2550</v>
      </c>
      <c r="CB13" s="75">
        <v>6505</v>
      </c>
      <c r="CC13" s="90">
        <f>IF(CB13&gt;0,SUM(CB$7:CB13)-SUM(CA$7:CA13),0)</f>
        <v>10010</v>
      </c>
      <c r="CD13" s="45">
        <f t="shared" si="30"/>
        <v>2.5509803921568626</v>
      </c>
    </row>
    <row r="14" spans="1:82" x14ac:dyDescent="0.25">
      <c r="A14" s="47">
        <f t="shared" si="13"/>
        <v>40824</v>
      </c>
      <c r="B14" s="54" t="s">
        <v>22</v>
      </c>
      <c r="C14" s="75">
        <v>12017</v>
      </c>
      <c r="D14" s="75">
        <v>9916</v>
      </c>
      <c r="E14" s="90">
        <f>IF(D14&gt;0,SUM(D$7:D14)-SUM(C$7:C14),0)</f>
        <v>-44850</v>
      </c>
      <c r="F14" s="45">
        <f>IF(D14&gt;0,IF(C14&gt;0,D14/C14,0),0)</f>
        <v>0.82516435050345349</v>
      </c>
      <c r="G14" s="75">
        <v>12017</v>
      </c>
      <c r="H14" s="75">
        <v>10475</v>
      </c>
      <c r="I14" s="75">
        <f>IF(H14&gt;0,SUM(H$7:H14)-SUM(G$7:G14),0)</f>
        <v>-36960</v>
      </c>
      <c r="J14" s="45">
        <f t="shared" si="0"/>
        <v>0.87168178413913622</v>
      </c>
      <c r="K14" s="75">
        <v>12017</v>
      </c>
      <c r="L14" s="75">
        <v>8751</v>
      </c>
      <c r="M14" s="90">
        <f>IF(L14&gt;0,SUM(L$7:L14)-SUM(K$7:K14),0)</f>
        <v>-28284</v>
      </c>
      <c r="N14" s="45">
        <f t="shared" si="1"/>
        <v>0.72821835732711993</v>
      </c>
      <c r="O14" s="35">
        <f t="shared" si="2"/>
        <v>36051</v>
      </c>
      <c r="P14" s="35">
        <f t="shared" si="6"/>
        <v>29142</v>
      </c>
      <c r="Q14" s="91">
        <f>IF(P14&gt;0,SUM(P$7:P14)-SUM(O$7:O14),0)</f>
        <v>-110094</v>
      </c>
      <c r="R14" s="45">
        <f t="shared" si="15"/>
        <v>0.80835483065656988</v>
      </c>
      <c r="T14" s="47">
        <f t="shared" si="16"/>
        <v>40824</v>
      </c>
      <c r="U14" s="54" t="str">
        <f t="shared" si="7"/>
        <v>qua</v>
      </c>
      <c r="V14" s="75">
        <v>11360</v>
      </c>
      <c r="W14" s="75">
        <v>8016</v>
      </c>
      <c r="X14" s="92">
        <f>IF(W14&gt;0,SUM(W$7:W14)-SUM(V$7:V14),0)</f>
        <v>-12491</v>
      </c>
      <c r="Y14" s="60">
        <f t="shared" si="17"/>
        <v>0.70563380281690136</v>
      </c>
      <c r="Z14" s="75">
        <v>11360</v>
      </c>
      <c r="AA14" s="75">
        <v>10364</v>
      </c>
      <c r="AB14" s="92">
        <f>IF(AA14&gt;0,SUM(AA$7:AA14)-SUM(Z$7:Z14),0)</f>
        <v>-17538</v>
      </c>
      <c r="AC14" s="60">
        <f t="shared" si="18"/>
        <v>0.91232394366197178</v>
      </c>
      <c r="AD14" s="75">
        <v>11360</v>
      </c>
      <c r="AE14" s="75">
        <v>8836</v>
      </c>
      <c r="AF14" s="92">
        <f>IF(AE14&gt;0,SUM(AE$7:AE14)-SUM(AD$7:AD14),0)</f>
        <v>-35894</v>
      </c>
      <c r="AG14" s="60">
        <f t="shared" si="19"/>
        <v>0.77781690140845072</v>
      </c>
      <c r="AH14" s="41">
        <f t="shared" si="3"/>
        <v>34080</v>
      </c>
      <c r="AI14" s="41">
        <f t="shared" si="8"/>
        <v>27216</v>
      </c>
      <c r="AJ14" s="93">
        <f>IF(AI14&gt;0,SUM(AI$7:AI14)-SUM(AH$7:AH14),0)</f>
        <v>-65923</v>
      </c>
      <c r="AK14" s="60">
        <f t="shared" si="20"/>
        <v>0.79859154929577469</v>
      </c>
      <c r="AM14" s="47">
        <f t="shared" si="21"/>
        <v>40824</v>
      </c>
      <c r="AN14" s="54" t="str">
        <f t="shared" si="9"/>
        <v>qua</v>
      </c>
      <c r="AO14" s="75">
        <v>7730</v>
      </c>
      <c r="AP14" s="75">
        <v>8052</v>
      </c>
      <c r="AQ14" s="75">
        <f>IF(AP14&gt;0,SUM(AP$7:AP15)-SUM(AO$7:AO14),0)</f>
        <v>-1257</v>
      </c>
      <c r="AR14" s="45">
        <f t="shared" si="22"/>
        <v>1.0416558861578267</v>
      </c>
      <c r="AS14" s="75">
        <v>7730</v>
      </c>
      <c r="AT14" s="75">
        <v>8039</v>
      </c>
      <c r="AU14" s="90">
        <f>IF(AT14&gt;0,SUM(AT$7:AT14)-SUM(AS$7:AS14),0)</f>
        <v>-15407</v>
      </c>
      <c r="AV14" s="45">
        <f t="shared" si="23"/>
        <v>1.0399741267787839</v>
      </c>
      <c r="AW14" s="75">
        <v>7730</v>
      </c>
      <c r="AX14" s="75">
        <v>5529</v>
      </c>
      <c r="AY14" s="90">
        <f>IF(AX14&gt;0,SUM(AX$7:AX14)-SUM(AW$7:AW14),0)</f>
        <v>-17050</v>
      </c>
      <c r="AZ14" s="45">
        <f t="shared" si="31"/>
        <v>0.71526520051746445</v>
      </c>
      <c r="BA14" s="35">
        <f t="shared" si="4"/>
        <v>23190</v>
      </c>
      <c r="BB14" s="35">
        <f t="shared" si="10"/>
        <v>21620</v>
      </c>
      <c r="BC14" s="91">
        <f>IF(BB14&gt;0,SUM(BB$7:BB14)-SUM(BA$7:BA14),0)</f>
        <v>-40286</v>
      </c>
      <c r="BD14" s="45">
        <f t="shared" si="24"/>
        <v>0.9322984044846917</v>
      </c>
      <c r="BF14" s="47">
        <f t="shared" si="25"/>
        <v>40824</v>
      </c>
      <c r="BG14" s="54" t="str">
        <f t="shared" si="11"/>
        <v>qua</v>
      </c>
      <c r="BH14" s="75">
        <v>16200</v>
      </c>
      <c r="BI14" s="75">
        <v>13926</v>
      </c>
      <c r="BJ14" s="75">
        <f>IF(BI14&gt;0,SUM(BI$7:BI14)-SUM(BH$7:BH14),0)</f>
        <v>-26233</v>
      </c>
      <c r="BK14" s="45">
        <f t="shared" si="26"/>
        <v>0.85962962962962963</v>
      </c>
      <c r="BL14" s="75">
        <v>7000</v>
      </c>
      <c r="BM14" s="75">
        <v>7695</v>
      </c>
      <c r="BN14" s="90">
        <f>IF(BM14&gt;0,SUM(BM$7:BM14)-SUM(BL$7:BL14),0)</f>
        <v>-14297</v>
      </c>
      <c r="BO14" s="45">
        <f t="shared" si="27"/>
        <v>1.0992857142857142</v>
      </c>
      <c r="BP14" s="75">
        <v>9880</v>
      </c>
      <c r="BQ14" s="75">
        <v>6670</v>
      </c>
      <c r="BR14" s="90">
        <f>IF(BQ14&gt;0,SUM(BQ$7:BQ14)-SUM(BP$7:BP14),0)</f>
        <v>-10959</v>
      </c>
      <c r="BS14" s="45">
        <f t="shared" si="32"/>
        <v>0.6751012145748988</v>
      </c>
      <c r="BT14" s="35">
        <f t="shared" si="5"/>
        <v>33080</v>
      </c>
      <c r="BU14" s="35">
        <f t="shared" si="5"/>
        <v>28291</v>
      </c>
      <c r="BV14" s="91">
        <f>IF(BU14&gt;0,SUM(BU$7:BU14)-SUM(BT$7:BT14),0)</f>
        <v>-51489</v>
      </c>
      <c r="BW14" s="45">
        <f t="shared" si="28"/>
        <v>0.85522974607013302</v>
      </c>
      <c r="BY14" s="47">
        <f t="shared" si="29"/>
        <v>40824</v>
      </c>
      <c r="BZ14" s="54" t="str">
        <f t="shared" si="12"/>
        <v>qua</v>
      </c>
      <c r="CA14" s="75">
        <v>2550</v>
      </c>
      <c r="CB14" s="75">
        <v>4913</v>
      </c>
      <c r="CC14" s="90">
        <f>IF(CB14&gt;0,SUM(CB$7:CB14)-SUM(CA$7:CA14),0)</f>
        <v>12373</v>
      </c>
      <c r="CD14" s="45">
        <f t="shared" si="30"/>
        <v>1.9266666666666667</v>
      </c>
    </row>
    <row r="15" spans="1:82" x14ac:dyDescent="0.25">
      <c r="A15" s="47">
        <f t="shared" si="13"/>
        <v>40825</v>
      </c>
      <c r="B15" s="54" t="s">
        <v>23</v>
      </c>
      <c r="C15" s="75">
        <v>12017</v>
      </c>
      <c r="D15" s="75">
        <v>11346</v>
      </c>
      <c r="E15" s="90">
        <f>IF(D15&gt;0,SUM(D$7:D15)-SUM(C$7:C15),0)</f>
        <v>-45521</v>
      </c>
      <c r="F15" s="45">
        <f t="shared" si="14"/>
        <v>0.9441624365482234</v>
      </c>
      <c r="G15" s="75">
        <v>12017</v>
      </c>
      <c r="H15" s="75">
        <v>11019</v>
      </c>
      <c r="I15" s="75">
        <f>IF(H15&gt;0,SUM(H$7:H15)-SUM(G$7:G15),0)</f>
        <v>-37958</v>
      </c>
      <c r="J15" s="45">
        <f t="shared" ref="J15:J36" si="33">IF(H15&gt;0,IF(K15&gt;0,H15/K15,0),0)</f>
        <v>0.91695098610302073</v>
      </c>
      <c r="K15" s="75">
        <v>12017</v>
      </c>
      <c r="L15" s="75">
        <v>12659</v>
      </c>
      <c r="M15" s="90">
        <f>IF(L15&gt;0,SUM(L$7:L15)-SUM(K$7:K15),0)</f>
        <v>-27642</v>
      </c>
      <c r="N15" s="45">
        <f t="shared" si="1"/>
        <v>1.0534243155529666</v>
      </c>
      <c r="O15" s="35">
        <f t="shared" ref="O15:O36" si="34">IF(SUM(C15,G15,K15)&gt;0,SUM(C15,G15,K15),0)</f>
        <v>36051</v>
      </c>
      <c r="P15" s="35">
        <f t="shared" si="6"/>
        <v>35024</v>
      </c>
      <c r="Q15" s="91">
        <f>IF(P15&gt;0,SUM(P$7:P15)-SUM(O$7:O15),0)</f>
        <v>-111121</v>
      </c>
      <c r="R15" s="45">
        <f t="shared" si="15"/>
        <v>0.97151257940140356</v>
      </c>
      <c r="T15" s="47">
        <f t="shared" si="16"/>
        <v>40825</v>
      </c>
      <c r="U15" s="54" t="str">
        <f t="shared" si="7"/>
        <v>qui</v>
      </c>
      <c r="V15" s="75">
        <v>11360</v>
      </c>
      <c r="W15" s="75">
        <v>11969</v>
      </c>
      <c r="X15" s="92">
        <f>IF(W15&gt;0,SUM(W$7:W15)-SUM(V$7:V15),0)</f>
        <v>-11882</v>
      </c>
      <c r="Y15" s="60">
        <f t="shared" si="17"/>
        <v>1.0536091549295774</v>
      </c>
      <c r="Z15" s="75">
        <v>11360</v>
      </c>
      <c r="AA15" s="75">
        <v>11433</v>
      </c>
      <c r="AB15" s="92">
        <f>IF(AA15&gt;0,SUM(AA$7:AA15)-SUM(Z$7:Z15),0)</f>
        <v>-17465</v>
      </c>
      <c r="AC15" s="60">
        <f t="shared" si="18"/>
        <v>1.0064260563380281</v>
      </c>
      <c r="AD15" s="75">
        <v>11360</v>
      </c>
      <c r="AE15" s="75">
        <v>10147</v>
      </c>
      <c r="AF15" s="92">
        <f>IF(AE15&gt;0,SUM(AE$7:AE15)-SUM(AD$7:AD15),0)</f>
        <v>-37107</v>
      </c>
      <c r="AG15" s="60">
        <f t="shared" si="19"/>
        <v>0.89322183098591545</v>
      </c>
      <c r="AH15" s="41">
        <f t="shared" si="3"/>
        <v>34080</v>
      </c>
      <c r="AI15" s="41">
        <f t="shared" si="8"/>
        <v>33549</v>
      </c>
      <c r="AJ15" s="93">
        <f>IF(AI15&gt;0,SUM(AI$7:AI15)-SUM(AH$7:AH15),0)</f>
        <v>-66454</v>
      </c>
      <c r="AK15" s="60">
        <f t="shared" si="20"/>
        <v>0.98441901408450705</v>
      </c>
      <c r="AM15" s="47">
        <f t="shared" si="21"/>
        <v>40825</v>
      </c>
      <c r="AN15" s="54" t="str">
        <f t="shared" si="9"/>
        <v>qui</v>
      </c>
      <c r="AO15" s="75">
        <v>7730</v>
      </c>
      <c r="AP15" s="75">
        <v>6572</v>
      </c>
      <c r="AQ15" s="75">
        <f>IF(AP15&gt;0,SUM(AP$7:AP15)-SUM(AO$7:AO15),0)</f>
        <v>-8987</v>
      </c>
      <c r="AR15" s="45">
        <f t="shared" si="22"/>
        <v>0.85019404915912034</v>
      </c>
      <c r="AS15" s="75">
        <v>7730</v>
      </c>
      <c r="AT15" s="75">
        <v>8764</v>
      </c>
      <c r="AU15" s="90">
        <f>IF(AT15&gt;0,SUM(AT$7:AT15)-SUM(AS$7:AS15),0)</f>
        <v>-14373</v>
      </c>
      <c r="AV15" s="45">
        <f t="shared" si="23"/>
        <v>1.1337645536869341</v>
      </c>
      <c r="AW15" s="75">
        <v>7730</v>
      </c>
      <c r="AX15" s="75">
        <v>9389</v>
      </c>
      <c r="AY15" s="90">
        <f>IF(AX15&gt;0,SUM(AX$7:AX15)-SUM(AW$7:AW15),0)</f>
        <v>-15391</v>
      </c>
      <c r="AZ15" s="45">
        <f t="shared" si="31"/>
        <v>1.2146183699870634</v>
      </c>
      <c r="BA15" s="35">
        <f t="shared" si="4"/>
        <v>23190</v>
      </c>
      <c r="BB15" s="35">
        <f t="shared" si="10"/>
        <v>24725</v>
      </c>
      <c r="BC15" s="91">
        <f>IF(BB15&gt;0,SUM(BB$7:BB15)-SUM(BA$7:BA15),0)</f>
        <v>-38751</v>
      </c>
      <c r="BD15" s="45">
        <f t="shared" si="24"/>
        <v>1.0661923242777058</v>
      </c>
      <c r="BF15" s="47">
        <f t="shared" si="25"/>
        <v>40825</v>
      </c>
      <c r="BG15" s="54" t="str">
        <f t="shared" si="11"/>
        <v>qui</v>
      </c>
      <c r="BH15" s="75">
        <v>16200</v>
      </c>
      <c r="BI15" s="75">
        <v>18313</v>
      </c>
      <c r="BJ15" s="75">
        <f>IF(BI15&gt;0,SUM(BI$7:BI15)-SUM(BH$7:BH15),0)</f>
        <v>-24120</v>
      </c>
      <c r="BK15" s="45">
        <f t="shared" si="26"/>
        <v>1.1304320987654322</v>
      </c>
      <c r="BL15" s="75">
        <v>7000</v>
      </c>
      <c r="BM15" s="75">
        <v>6416</v>
      </c>
      <c r="BN15" s="90">
        <f>IF(BM15&gt;0,SUM(BM$7:BM15)-SUM(BL$7:BL15),0)</f>
        <v>-14881</v>
      </c>
      <c r="BO15" s="45">
        <f t="shared" si="27"/>
        <v>0.91657142857142859</v>
      </c>
      <c r="BP15" s="75">
        <v>9880</v>
      </c>
      <c r="BQ15" s="75">
        <v>6725</v>
      </c>
      <c r="BR15" s="90">
        <f>IF(BQ15&gt;0,SUM(BQ$7:BQ15)-SUM(BP$7:BP15),0)</f>
        <v>-14114</v>
      </c>
      <c r="BS15" s="45">
        <f t="shared" si="32"/>
        <v>0.68066801619433204</v>
      </c>
      <c r="BT15" s="35">
        <f t="shared" si="5"/>
        <v>33080</v>
      </c>
      <c r="BU15" s="35">
        <f t="shared" si="5"/>
        <v>31454</v>
      </c>
      <c r="BV15" s="91">
        <f>IF(BU15&gt;0,SUM(BU$7:BU15)-SUM(BT$7:BT15),0)</f>
        <v>-53115</v>
      </c>
      <c r="BW15" s="45">
        <f t="shared" si="28"/>
        <v>0.95084643288996373</v>
      </c>
      <c r="BY15" s="47">
        <f t="shared" si="29"/>
        <v>40825</v>
      </c>
      <c r="BZ15" s="54" t="str">
        <f t="shared" si="12"/>
        <v>qui</v>
      </c>
      <c r="CA15" s="75">
        <v>2550</v>
      </c>
      <c r="CB15" s="75">
        <v>1206</v>
      </c>
      <c r="CC15" s="90">
        <f>IF(CB15&gt;0,SUM(CB$7:CB15)-SUM(CA$7:CA15),0)</f>
        <v>11029</v>
      </c>
      <c r="CD15" s="45">
        <f t="shared" si="30"/>
        <v>0.47294117647058825</v>
      </c>
    </row>
    <row r="16" spans="1:82" x14ac:dyDescent="0.25">
      <c r="A16" s="47">
        <f t="shared" si="13"/>
        <v>40826</v>
      </c>
      <c r="B16" s="54" t="s">
        <v>24</v>
      </c>
      <c r="C16" s="75">
        <v>12017</v>
      </c>
      <c r="D16" s="75">
        <v>11641</v>
      </c>
      <c r="E16" s="90">
        <f>IF(D16&gt;0,SUM(D$7:D16)-SUM(C$7:C16),0)</f>
        <v>-45897</v>
      </c>
      <c r="F16" s="45">
        <f>IF(D16&gt;0,IF(C16&gt;0,D16/C16,0),0)</f>
        <v>0.9687109927602563</v>
      </c>
      <c r="G16" s="75">
        <v>12017</v>
      </c>
      <c r="H16" s="75">
        <v>12957</v>
      </c>
      <c r="I16" s="75">
        <f>IF(H16&gt;0,SUM(H$7:H16)-SUM(G$7:G16),0)</f>
        <v>-37018</v>
      </c>
      <c r="J16" s="45">
        <f t="shared" si="33"/>
        <v>1.0782225180993592</v>
      </c>
      <c r="K16" s="75">
        <v>12017</v>
      </c>
      <c r="L16" s="75">
        <v>11873</v>
      </c>
      <c r="M16" s="90">
        <f>IF(L16&gt;0,SUM(L$7:L16)-SUM(K$7:K16),0)</f>
        <v>-27786</v>
      </c>
      <c r="N16" s="45">
        <f t="shared" si="1"/>
        <v>0.98801697595073645</v>
      </c>
      <c r="O16" s="35">
        <f t="shared" si="34"/>
        <v>36051</v>
      </c>
      <c r="P16" s="35">
        <f t="shared" si="6"/>
        <v>36471</v>
      </c>
      <c r="Q16" s="91">
        <f>IF(P16&gt;0,SUM(P$7:P16)-SUM(O$7:O16),0)</f>
        <v>-110701</v>
      </c>
      <c r="R16" s="45">
        <f t="shared" si="15"/>
        <v>1.0116501622701173</v>
      </c>
      <c r="T16" s="47">
        <f t="shared" si="16"/>
        <v>40826</v>
      </c>
      <c r="U16" s="54" t="str">
        <f t="shared" si="7"/>
        <v>sex</v>
      </c>
      <c r="V16" s="75">
        <v>11360</v>
      </c>
      <c r="W16" s="75">
        <v>9760</v>
      </c>
      <c r="X16" s="92">
        <f>IF(W16&gt;0,SUM(W$7:W16)-SUM(V$7:V16),0)</f>
        <v>-13482</v>
      </c>
      <c r="Y16" s="60">
        <f>IF(W16&gt;0,IF(V16&gt;0,W16/V16,0),0)</f>
        <v>0.85915492957746475</v>
      </c>
      <c r="Z16" s="75">
        <v>11360</v>
      </c>
      <c r="AA16" s="75">
        <v>11065</v>
      </c>
      <c r="AB16" s="92">
        <f>IF(AA16&gt;0,SUM(AA$7:AA16)-SUM(Z$7:Z16),0)</f>
        <v>-17760</v>
      </c>
      <c r="AC16" s="60">
        <f>IF(AA16&gt;0,IF(Z16&gt;0,AA16/Z16,0),0)</f>
        <v>0.97403169014084512</v>
      </c>
      <c r="AD16" s="75">
        <v>11360</v>
      </c>
      <c r="AE16" s="75">
        <v>11276</v>
      </c>
      <c r="AF16" s="92">
        <f>IF(AE16&gt;0,SUM(AE$7:AE16)-SUM(AD$7:AD16),0)</f>
        <v>-37191</v>
      </c>
      <c r="AG16" s="60">
        <f>IF(AE16&gt;0,IF(AD16&gt;0,AE16/AD16,0),0)</f>
        <v>0.99260563380281686</v>
      </c>
      <c r="AH16" s="41">
        <f t="shared" si="3"/>
        <v>34080</v>
      </c>
      <c r="AI16" s="41">
        <f t="shared" si="8"/>
        <v>32101</v>
      </c>
      <c r="AJ16" s="93">
        <f>IF(AI16&gt;0,SUM(AI$7:AI16)-SUM(AH$7:AH16),0)</f>
        <v>-68433</v>
      </c>
      <c r="AK16" s="60">
        <f t="shared" si="20"/>
        <v>0.94193075117370895</v>
      </c>
      <c r="AM16" s="47">
        <f t="shared" si="21"/>
        <v>40826</v>
      </c>
      <c r="AN16" s="54" t="str">
        <f t="shared" si="9"/>
        <v>sex</v>
      </c>
      <c r="AO16" s="75">
        <v>7730</v>
      </c>
      <c r="AP16" s="75">
        <v>10636</v>
      </c>
      <c r="AQ16" s="75">
        <f>IF(AP16&gt;0,SUM(AP$7:AP16)-SUM(AO$7:AO16),0)</f>
        <v>-6081</v>
      </c>
      <c r="AR16" s="45">
        <f t="shared" si="22"/>
        <v>1.3759379042690816</v>
      </c>
      <c r="AS16" s="75">
        <v>7730</v>
      </c>
      <c r="AT16" s="75">
        <v>8356</v>
      </c>
      <c r="AU16" s="90">
        <f>IF(AT16&gt;0,SUM(AT$7:AT16)-SUM(AS$7:AS16),0)</f>
        <v>-13747</v>
      </c>
      <c r="AV16" s="45">
        <f t="shared" si="23"/>
        <v>1.0809831824062095</v>
      </c>
      <c r="AW16" s="75">
        <v>7730</v>
      </c>
      <c r="AX16" s="75">
        <v>5622</v>
      </c>
      <c r="AY16" s="90">
        <f>IF(AX16&gt;0,SUM(AX$7:AX16)-SUM(AW$7:AW16),0)</f>
        <v>-17499</v>
      </c>
      <c r="AZ16" s="45">
        <f t="shared" si="31"/>
        <v>0.72729624838292373</v>
      </c>
      <c r="BA16" s="35">
        <f t="shared" si="4"/>
        <v>23190</v>
      </c>
      <c r="BB16" s="35">
        <f t="shared" si="10"/>
        <v>24614</v>
      </c>
      <c r="BC16" s="91">
        <f>IF(BB16&gt;0,SUM(BB$7:BB16)-SUM(BA$7:BA16),0)</f>
        <v>-37327</v>
      </c>
      <c r="BD16" s="45">
        <f t="shared" si="24"/>
        <v>1.0614057783527382</v>
      </c>
      <c r="BF16" s="47">
        <f t="shared" si="25"/>
        <v>40826</v>
      </c>
      <c r="BG16" s="54" t="str">
        <f t="shared" si="11"/>
        <v>sex</v>
      </c>
      <c r="BH16" s="75">
        <v>16200</v>
      </c>
      <c r="BI16" s="75">
        <v>16171</v>
      </c>
      <c r="BJ16" s="75">
        <f>IF(BI16&gt;0,SUM(BI$7:BI16)-SUM(BH$7:BH16),0)</f>
        <v>-24149</v>
      </c>
      <c r="BK16" s="45">
        <f t="shared" si="26"/>
        <v>0.99820987654320992</v>
      </c>
      <c r="BL16" s="75">
        <v>7000</v>
      </c>
      <c r="BM16" s="75">
        <v>8948</v>
      </c>
      <c r="BN16" s="90">
        <f>IF(BM16&gt;0,SUM(BM$7:BM16)-SUM(BL$7:BL16),0)</f>
        <v>-12933</v>
      </c>
      <c r="BO16" s="45">
        <f t="shared" si="27"/>
        <v>1.2782857142857142</v>
      </c>
      <c r="BP16" s="75">
        <v>9880</v>
      </c>
      <c r="BQ16" s="75">
        <v>8842</v>
      </c>
      <c r="BR16" s="90">
        <f>IF(BQ16&gt;0,SUM(BQ$7:BQ16)-SUM(BP$7:BP16),0)</f>
        <v>-15152</v>
      </c>
      <c r="BS16" s="45">
        <f t="shared" si="32"/>
        <v>0.89493927125506068</v>
      </c>
      <c r="BT16" s="35">
        <f t="shared" si="5"/>
        <v>33080</v>
      </c>
      <c r="BU16" s="35">
        <f t="shared" si="5"/>
        <v>33961</v>
      </c>
      <c r="BV16" s="91">
        <f>IF(BU16&gt;0,SUM(BU$7:BU16)-SUM(BT$7:BT16),0)</f>
        <v>-52234</v>
      </c>
      <c r="BW16" s="45">
        <f t="shared" si="28"/>
        <v>1.0266324062877872</v>
      </c>
      <c r="BY16" s="47">
        <f t="shared" si="29"/>
        <v>40826</v>
      </c>
      <c r="BZ16" s="54" t="str">
        <f t="shared" si="12"/>
        <v>sex</v>
      </c>
      <c r="CA16" s="75">
        <v>2550</v>
      </c>
      <c r="CB16" s="75">
        <v>3625</v>
      </c>
      <c r="CC16" s="90">
        <f>IF(CB16&gt;0,SUM(CB$7:CB16)-SUM(CA$7:CA16),0)</f>
        <v>12104</v>
      </c>
      <c r="CD16" s="45">
        <f t="shared" si="30"/>
        <v>1.4215686274509804</v>
      </c>
    </row>
    <row r="17" spans="1:82" x14ac:dyDescent="0.25">
      <c r="A17" s="47">
        <f t="shared" si="13"/>
        <v>40827</v>
      </c>
      <c r="B17" s="54" t="s">
        <v>25</v>
      </c>
      <c r="C17" s="75">
        <v>12017</v>
      </c>
      <c r="D17" s="75">
        <v>12195</v>
      </c>
      <c r="E17" s="90">
        <f>IF(D17&gt;0,SUM(D$7:D17)-SUM(C$7:C17),0)</f>
        <v>-45719</v>
      </c>
      <c r="F17" s="45">
        <f>IF(D17&gt;0,IF(C17&gt;0,D17/C17,0),0)</f>
        <v>1.0148123491720062</v>
      </c>
      <c r="G17" s="75">
        <v>12017</v>
      </c>
      <c r="H17" s="75">
        <v>11687</v>
      </c>
      <c r="I17" s="75">
        <f>IF(H17&gt;0,SUM(H$7:H17)-SUM(G$7:G17),0)</f>
        <v>-37348</v>
      </c>
      <c r="J17" s="45">
        <f t="shared" si="33"/>
        <v>0.97253890322043768</v>
      </c>
      <c r="K17" s="75">
        <v>12017</v>
      </c>
      <c r="L17" s="75">
        <v>10670</v>
      </c>
      <c r="M17" s="90">
        <f>IF(L17&gt;0,SUM(L$7:L17)-SUM(K$7:K17),0)</f>
        <v>-29133</v>
      </c>
      <c r="N17" s="45">
        <f t="shared" si="1"/>
        <v>0.88790879587251392</v>
      </c>
      <c r="O17" s="35">
        <f t="shared" si="34"/>
        <v>36051</v>
      </c>
      <c r="P17" s="35">
        <f t="shared" si="6"/>
        <v>34552</v>
      </c>
      <c r="Q17" s="91">
        <f>IF(P17&gt;0,SUM(P$7:P17)-SUM(O$7:O17),0)</f>
        <v>-112200</v>
      </c>
      <c r="R17" s="45">
        <f t="shared" si="15"/>
        <v>0.95842001608831928</v>
      </c>
      <c r="T17" s="47">
        <f t="shared" si="16"/>
        <v>40827</v>
      </c>
      <c r="U17" s="54" t="str">
        <f t="shared" si="7"/>
        <v>sáb</v>
      </c>
      <c r="V17" s="75">
        <v>11360</v>
      </c>
      <c r="W17" s="75">
        <v>7004</v>
      </c>
      <c r="X17" s="92">
        <f>IF(W17&gt;0,SUM(W$7:W17)-SUM(V$7:V17),0)</f>
        <v>-17838</v>
      </c>
      <c r="Y17" s="60">
        <f>IF(W17&gt;0,IF(V17&gt;0,W17/V17,0),0)</f>
        <v>0.6165492957746479</v>
      </c>
      <c r="Z17" s="75">
        <v>11360</v>
      </c>
      <c r="AA17" s="75">
        <v>9490</v>
      </c>
      <c r="AB17" s="92">
        <f>IF(AA17&gt;0,SUM(AA$7:AA17)-SUM(Z$7:Z17),0)</f>
        <v>-19630</v>
      </c>
      <c r="AC17" s="60">
        <f>IF(AA17&gt;0,IF(Z17&gt;0,AA17/Z17,0),0)</f>
        <v>0.835387323943662</v>
      </c>
      <c r="AD17" s="75">
        <v>11360</v>
      </c>
      <c r="AE17" s="75">
        <v>9490</v>
      </c>
      <c r="AF17" s="92">
        <f>IF(AE17&gt;0,SUM(AE$7:AE17)-SUM(AD$7:AD17),0)</f>
        <v>-39061</v>
      </c>
      <c r="AG17" s="60">
        <f>IF(AE17&gt;0,IF(AD17&gt;0,AE17/AD17,0),0)</f>
        <v>0.835387323943662</v>
      </c>
      <c r="AH17" s="41">
        <f t="shared" si="3"/>
        <v>34080</v>
      </c>
      <c r="AI17" s="41">
        <f t="shared" si="8"/>
        <v>25984</v>
      </c>
      <c r="AJ17" s="93">
        <f>IF(AI17&gt;0,SUM(AI$7:AI17)-SUM(AH$7:AH17),0)</f>
        <v>-76529</v>
      </c>
      <c r="AK17" s="60">
        <f t="shared" si="20"/>
        <v>0.76244131455399056</v>
      </c>
      <c r="AM17" s="47">
        <f t="shared" si="21"/>
        <v>40827</v>
      </c>
      <c r="AN17" s="54" t="str">
        <f t="shared" si="9"/>
        <v>sáb</v>
      </c>
      <c r="AO17" s="75">
        <v>7730</v>
      </c>
      <c r="AP17" s="75">
        <v>6085</v>
      </c>
      <c r="AQ17" s="75">
        <f>IF(AP17&gt;0,SUM(AP$7:AP17)-SUM(AO$7:AO17),0)</f>
        <v>-7726</v>
      </c>
      <c r="AR17" s="45">
        <f t="shared" si="22"/>
        <v>0.78719275549805956</v>
      </c>
      <c r="AS17" s="75">
        <v>7730</v>
      </c>
      <c r="AT17" s="75">
        <v>5350</v>
      </c>
      <c r="AU17" s="90">
        <f>IF(AT17&gt;0,SUM(AT$7:AT17)-SUM(AS$7:AS17),0)</f>
        <v>-16127</v>
      </c>
      <c r="AV17" s="45">
        <f t="shared" si="23"/>
        <v>0.69210866752910738</v>
      </c>
      <c r="AW17" s="75">
        <v>7730</v>
      </c>
      <c r="AX17" s="75">
        <v>7866</v>
      </c>
      <c r="AY17" s="90">
        <f>IF(AX17&gt;0,SUM(AX$7:AX17)-SUM(AW$7:AW17),0)</f>
        <v>-17363</v>
      </c>
      <c r="AZ17" s="45">
        <f t="shared" si="31"/>
        <v>1.0175937904269081</v>
      </c>
      <c r="BA17" s="35">
        <f t="shared" si="4"/>
        <v>23190</v>
      </c>
      <c r="BB17" s="35">
        <f t="shared" si="10"/>
        <v>19301</v>
      </c>
      <c r="BC17" s="91">
        <f>IF(BB17&gt;0,SUM(BB$7:BB17)-SUM(BA$7:BA17),0)</f>
        <v>-41216</v>
      </c>
      <c r="BD17" s="45">
        <f t="shared" si="24"/>
        <v>0.83229840448469172</v>
      </c>
      <c r="BF17" s="47">
        <f t="shared" si="25"/>
        <v>40827</v>
      </c>
      <c r="BG17" s="54" t="str">
        <f t="shared" si="11"/>
        <v>sáb</v>
      </c>
      <c r="BH17" s="75">
        <v>16200</v>
      </c>
      <c r="BI17" s="75">
        <v>12976</v>
      </c>
      <c r="BJ17" s="75">
        <f>IF(BI17&gt;0,SUM(BI$7:BI17)-SUM(BH$7:BH17),0)</f>
        <v>-27373</v>
      </c>
      <c r="BK17" s="45">
        <f t="shared" si="26"/>
        <v>0.80098765432098762</v>
      </c>
      <c r="BL17" s="75">
        <v>7000</v>
      </c>
      <c r="BM17" s="75">
        <v>7998</v>
      </c>
      <c r="BN17" s="90">
        <f>IF(BM17&gt;0,SUM(BM$7:BM17)-SUM(BL$7:BL17),0)</f>
        <v>-11935</v>
      </c>
      <c r="BO17" s="45">
        <f t="shared" si="27"/>
        <v>1.1425714285714286</v>
      </c>
      <c r="BP17" s="75">
        <v>9880</v>
      </c>
      <c r="BQ17" s="75">
        <v>10805</v>
      </c>
      <c r="BR17" s="90">
        <f>IF(BQ17&gt;0,SUM(BQ$7:BQ17)-SUM(BP$7:BP17),0)</f>
        <v>-14227</v>
      </c>
      <c r="BS17" s="45">
        <f t="shared" si="32"/>
        <v>1.0936234817813766</v>
      </c>
      <c r="BT17" s="35">
        <f t="shared" si="5"/>
        <v>33080</v>
      </c>
      <c r="BU17" s="35">
        <f t="shared" si="5"/>
        <v>31779</v>
      </c>
      <c r="BV17" s="91">
        <f>IF(BU17&gt;0,SUM(BU$7:BU17)-SUM(BT$7:BT17),0)</f>
        <v>-53535</v>
      </c>
      <c r="BW17" s="45">
        <f t="shared" si="28"/>
        <v>0.96067110036275694</v>
      </c>
      <c r="BY17" s="47">
        <f t="shared" si="29"/>
        <v>40827</v>
      </c>
      <c r="BZ17" s="54" t="str">
        <f t="shared" si="12"/>
        <v>sáb</v>
      </c>
      <c r="CA17" s="75">
        <v>2550</v>
      </c>
      <c r="CB17" s="75">
        <v>1</v>
      </c>
      <c r="CC17" s="90">
        <f>IF(CB17&gt;0,SUM(CB$7:CB17)-SUM(CA$7:CA17),0)</f>
        <v>9555</v>
      </c>
      <c r="CD17" s="45">
        <f t="shared" si="30"/>
        <v>3.9215686274509802E-4</v>
      </c>
    </row>
    <row r="18" spans="1:82" x14ac:dyDescent="0.25">
      <c r="A18" s="47">
        <f t="shared" si="13"/>
        <v>40828</v>
      </c>
      <c r="B18" s="54" t="s">
        <v>26</v>
      </c>
      <c r="C18" s="75"/>
      <c r="D18" s="75">
        <v>16931</v>
      </c>
      <c r="E18" s="90">
        <f>IF(D18&gt;0,SUM(D$7:D18)-SUM(C$7:C18),0)</f>
        <v>-28788</v>
      </c>
      <c r="F18" s="45">
        <f t="shared" si="14"/>
        <v>0</v>
      </c>
      <c r="G18" s="75"/>
      <c r="H18" s="75"/>
      <c r="I18" s="75">
        <f>IF(H18&gt;0,SUM(H$7:H18)-SUM(G$7:G18),0)</f>
        <v>0</v>
      </c>
      <c r="J18" s="45">
        <f t="shared" si="33"/>
        <v>0</v>
      </c>
      <c r="K18" s="75"/>
      <c r="L18" s="75"/>
      <c r="M18" s="90">
        <f>IF(L18&gt;0,SUM(L$7:L18)-SUM(K$7:K18),0)</f>
        <v>0</v>
      </c>
      <c r="N18" s="45">
        <f t="shared" ref="N18:N38" si="35">IF(L18&gt;0,IF(K18&gt;0,L18/K18,0),0)</f>
        <v>0</v>
      </c>
      <c r="O18" s="35">
        <f t="shared" si="34"/>
        <v>0</v>
      </c>
      <c r="P18" s="35">
        <f t="shared" si="6"/>
        <v>16931</v>
      </c>
      <c r="Q18" s="91">
        <f>IF(P18&gt;0,SUM(P$7:P18)-SUM(O$7:O18),0)</f>
        <v>-95269</v>
      </c>
      <c r="R18" s="45">
        <f t="shared" si="15"/>
        <v>0</v>
      </c>
      <c r="T18" s="47">
        <f t="shared" si="16"/>
        <v>40828</v>
      </c>
      <c r="U18" s="54" t="str">
        <f t="shared" si="7"/>
        <v>dom</v>
      </c>
      <c r="V18" s="75"/>
      <c r="W18" s="75">
        <v>19612</v>
      </c>
      <c r="X18" s="92">
        <f>IF(W18&gt;0,SUM(W$7:W18)-SUM(V$7:V18),0)</f>
        <v>1774</v>
      </c>
      <c r="Y18" s="60">
        <f t="shared" si="17"/>
        <v>0</v>
      </c>
      <c r="Z18" s="75"/>
      <c r="AA18" s="75"/>
      <c r="AB18" s="92">
        <f>IF(AA18&gt;0,SUM(AA$7:AA18)-SUM(Z$7:Z18),0)</f>
        <v>0</v>
      </c>
      <c r="AC18" s="60">
        <f t="shared" si="18"/>
        <v>0</v>
      </c>
      <c r="AD18" s="75"/>
      <c r="AE18" s="75"/>
      <c r="AF18" s="92">
        <f>IF(AE18&gt;0,SUM(AE$7:AE18)-SUM(AD$7:AD18),0)</f>
        <v>0</v>
      </c>
      <c r="AG18" s="60">
        <f t="shared" si="19"/>
        <v>0</v>
      </c>
      <c r="AH18" s="41">
        <f t="shared" si="3"/>
        <v>0</v>
      </c>
      <c r="AI18" s="41">
        <f t="shared" si="8"/>
        <v>19612</v>
      </c>
      <c r="AJ18" s="93">
        <f>IF(AI18&gt;0,SUM(AI$7:AI18)-SUM(AH$7:AH18),0)</f>
        <v>-56917</v>
      </c>
      <c r="AK18" s="60">
        <f t="shared" si="20"/>
        <v>0</v>
      </c>
      <c r="AM18" s="47">
        <f t="shared" si="21"/>
        <v>40828</v>
      </c>
      <c r="AN18" s="54" t="str">
        <f t="shared" si="9"/>
        <v>dom</v>
      </c>
      <c r="AO18" s="75"/>
      <c r="AP18" s="75"/>
      <c r="AQ18" s="75">
        <f>IF(AP18&gt;0,SUM(AP$7:AP18)-SUM(AO$7:AO18),0)</f>
        <v>0</v>
      </c>
      <c r="AR18" s="45">
        <f t="shared" si="22"/>
        <v>0</v>
      </c>
      <c r="AS18" s="75"/>
      <c r="AT18" s="75"/>
      <c r="AU18" s="90">
        <f>IF(AT18&gt;0,SUM(AT$7:AT18)-SUM(AS$7:AS18),0)</f>
        <v>0</v>
      </c>
      <c r="AV18" s="45">
        <f t="shared" si="23"/>
        <v>0</v>
      </c>
      <c r="AW18" s="75"/>
      <c r="AX18" s="75"/>
      <c r="AY18" s="90">
        <f>IF(AX18&gt;0,SUM(AX$7:AX18)-SUM(AW$7:AW18),0)</f>
        <v>0</v>
      </c>
      <c r="AZ18" s="45">
        <f t="shared" si="31"/>
        <v>0</v>
      </c>
      <c r="BA18" s="35">
        <f t="shared" si="4"/>
        <v>0</v>
      </c>
      <c r="BB18" s="35">
        <f t="shared" si="10"/>
        <v>0</v>
      </c>
      <c r="BC18" s="91">
        <f>IF(BB18&gt;0,SUM(BB$7:BB18)-SUM(BA$7:BA18),0)</f>
        <v>0</v>
      </c>
      <c r="BD18" s="45">
        <f t="shared" si="24"/>
        <v>0</v>
      </c>
      <c r="BF18" s="47">
        <f t="shared" si="25"/>
        <v>40828</v>
      </c>
      <c r="BG18" s="54" t="str">
        <f t="shared" si="11"/>
        <v>dom</v>
      </c>
      <c r="BH18" s="75"/>
      <c r="BI18" s="75"/>
      <c r="BJ18" s="75">
        <f>IF(BI18&gt;0,SUM(BI$7:BI18)-SUM(BH$7:BH18),0)</f>
        <v>0</v>
      </c>
      <c r="BK18" s="45">
        <f t="shared" si="26"/>
        <v>0</v>
      </c>
      <c r="BL18" s="75"/>
      <c r="BM18" s="75"/>
      <c r="BN18" s="90">
        <f>IF(BM18&gt;0,SUM(BM$7:BM18)-SUM(BL$7:BL18),0)</f>
        <v>0</v>
      </c>
      <c r="BO18" s="45">
        <f t="shared" si="27"/>
        <v>0</v>
      </c>
      <c r="BP18" s="75"/>
      <c r="BQ18" s="75"/>
      <c r="BR18" s="90">
        <f>IF(BQ18&gt;0,SUM(BQ$7:BQ18)-SUM(BP$7:BP18),0)</f>
        <v>0</v>
      </c>
      <c r="BS18" s="45">
        <f t="shared" si="32"/>
        <v>0</v>
      </c>
      <c r="BT18" s="35">
        <f t="shared" si="5"/>
        <v>0</v>
      </c>
      <c r="BU18" s="35">
        <f t="shared" si="5"/>
        <v>0</v>
      </c>
      <c r="BV18" s="91">
        <f>IF(BU18&gt;0,SUM(BU$7:BU18)-SUM(BT$7:BT18),0)</f>
        <v>0</v>
      </c>
      <c r="BW18" s="45">
        <f t="shared" si="28"/>
        <v>0</v>
      </c>
      <c r="BY18" s="47">
        <f t="shared" si="29"/>
        <v>40828</v>
      </c>
      <c r="BZ18" s="54" t="str">
        <f t="shared" si="12"/>
        <v>dom</v>
      </c>
      <c r="CA18" s="75"/>
      <c r="CB18" s="75"/>
      <c r="CC18" s="90">
        <f>IF(CB18&gt;0,SUM(CB$7:CB18)-SUM(CA$7:CA18),0)</f>
        <v>0</v>
      </c>
      <c r="CD18" s="45">
        <f t="shared" si="30"/>
        <v>0</v>
      </c>
    </row>
    <row r="19" spans="1:82" x14ac:dyDescent="0.25">
      <c r="A19" s="47">
        <f t="shared" si="13"/>
        <v>40829</v>
      </c>
      <c r="B19" s="54" t="s">
        <v>27</v>
      </c>
      <c r="C19" s="75">
        <v>12017</v>
      </c>
      <c r="D19" s="75">
        <v>8171</v>
      </c>
      <c r="E19" s="90">
        <f>IF(D19&gt;0,SUM(D$7:D19)-SUM(C$7:C19),0)</f>
        <v>-32634</v>
      </c>
      <c r="F19" s="45">
        <f t="shared" si="14"/>
        <v>0.67995339935091959</v>
      </c>
      <c r="G19" s="75">
        <v>12017</v>
      </c>
      <c r="H19" s="75">
        <v>11575</v>
      </c>
      <c r="I19" s="75">
        <f>IF(H19&gt;0,SUM(H$7:H19)-SUM(G$7:G19),0)</f>
        <v>-37790</v>
      </c>
      <c r="J19" s="45">
        <f t="shared" si="33"/>
        <v>0.96321877340434381</v>
      </c>
      <c r="K19" s="75">
        <v>12017</v>
      </c>
      <c r="L19" s="75">
        <v>15108</v>
      </c>
      <c r="M19" s="90">
        <f>IF(L19&gt;0,SUM(L$7:L19)-SUM(K$7:K19),0)</f>
        <v>-26042</v>
      </c>
      <c r="N19" s="45">
        <f t="shared" si="35"/>
        <v>1.2572189398352334</v>
      </c>
      <c r="O19" s="35">
        <f t="shared" si="34"/>
        <v>36051</v>
      </c>
      <c r="P19" s="35">
        <f t="shared" si="6"/>
        <v>34854</v>
      </c>
      <c r="Q19" s="91">
        <f>IF(P19&gt;0,SUM(P$7:P19)-SUM(O$7:O19),0)</f>
        <v>-96466</v>
      </c>
      <c r="R19" s="45">
        <f t="shared" si="15"/>
        <v>0.96679703753016555</v>
      </c>
      <c r="T19" s="47">
        <f t="shared" si="16"/>
        <v>40829</v>
      </c>
      <c r="U19" s="54" t="str">
        <f t="shared" si="7"/>
        <v>seg</v>
      </c>
      <c r="V19" s="75">
        <v>11360</v>
      </c>
      <c r="W19" s="75">
        <v>13181</v>
      </c>
      <c r="X19" s="92">
        <f>IF(W19&gt;0,SUM(W$7:W19)-SUM(V$7:V19),0)</f>
        <v>3595</v>
      </c>
      <c r="Y19" s="60">
        <f t="shared" si="17"/>
        <v>1.1602992957746479</v>
      </c>
      <c r="Z19" s="75">
        <v>11360</v>
      </c>
      <c r="AA19" s="75">
        <v>11061</v>
      </c>
      <c r="AB19" s="92">
        <f>IF(AA19&gt;0,SUM(AA$7:AA19)-SUM(Z$7:Z19),0)</f>
        <v>-19929</v>
      </c>
      <c r="AC19" s="60">
        <f t="shared" si="18"/>
        <v>0.97367957746478873</v>
      </c>
      <c r="AD19" s="75">
        <v>11360</v>
      </c>
      <c r="AE19" s="75">
        <v>13708</v>
      </c>
      <c r="AF19" s="92">
        <f>IF(AE19&gt;0,SUM(AE$7:AE19)-SUM(AD$7:AD19),0)</f>
        <v>-36713</v>
      </c>
      <c r="AG19" s="60">
        <f t="shared" si="19"/>
        <v>1.2066901408450703</v>
      </c>
      <c r="AH19" s="41">
        <f t="shared" si="3"/>
        <v>34080</v>
      </c>
      <c r="AI19" s="41">
        <f t="shared" si="8"/>
        <v>37950</v>
      </c>
      <c r="AJ19" s="93">
        <f>IF(AI19&gt;0,SUM(AI$7:AI19)-SUM(AH$7:AH19),0)</f>
        <v>-53047</v>
      </c>
      <c r="AK19" s="60">
        <f t="shared" si="20"/>
        <v>1.113556338028169</v>
      </c>
      <c r="AM19" s="47">
        <f t="shared" si="21"/>
        <v>40829</v>
      </c>
      <c r="AN19" s="54" t="str">
        <f t="shared" si="9"/>
        <v>seg</v>
      </c>
      <c r="AO19" s="75">
        <v>7730</v>
      </c>
      <c r="AP19" s="75">
        <v>8344</v>
      </c>
      <c r="AQ19" s="75">
        <f>IF(AP19&gt;0,SUM(AP$7:AP19)-SUM(AO$7:AO19),0)</f>
        <v>-7112</v>
      </c>
      <c r="AR19" s="45">
        <f t="shared" si="22"/>
        <v>1.0794307891332471</v>
      </c>
      <c r="AS19" s="75">
        <v>7730</v>
      </c>
      <c r="AT19" s="75">
        <v>5989</v>
      </c>
      <c r="AU19" s="90">
        <f>IF(AT19&gt;0,SUM(AT$7:AT19)-SUM(AS$7:AS19),0)</f>
        <v>-17868</v>
      </c>
      <c r="AV19" s="45">
        <f t="shared" si="23"/>
        <v>0.77477360931435968</v>
      </c>
      <c r="AW19" s="75">
        <v>7730</v>
      </c>
      <c r="AX19" s="75">
        <v>5738</v>
      </c>
      <c r="AY19" s="90">
        <f>IF(AX19&gt;0,SUM(AX$7:AX19)-SUM(AW$7:AW19),0)</f>
        <v>-19355</v>
      </c>
      <c r="AZ19" s="45">
        <f t="shared" si="31"/>
        <v>0.74230271668822767</v>
      </c>
      <c r="BA19" s="35">
        <f t="shared" si="4"/>
        <v>23190</v>
      </c>
      <c r="BB19" s="35">
        <f t="shared" si="10"/>
        <v>20071</v>
      </c>
      <c r="BC19" s="91">
        <f>IF(BB19&gt;0,SUM(BB$7:BB19)-SUM(BA$7:BA19),0)</f>
        <v>-44335</v>
      </c>
      <c r="BD19" s="45">
        <f t="shared" si="24"/>
        <v>0.86550237171194477</v>
      </c>
      <c r="BF19" s="47">
        <f t="shared" si="25"/>
        <v>40829</v>
      </c>
      <c r="BG19" s="54" t="str">
        <f t="shared" si="11"/>
        <v>seg</v>
      </c>
      <c r="BH19" s="75">
        <v>16200</v>
      </c>
      <c r="BI19" s="75">
        <v>13162</v>
      </c>
      <c r="BJ19" s="75">
        <f>IF(BI19&gt;0,SUM(BI$7:BI19)-SUM(BH$7:BH19),0)</f>
        <v>-30411</v>
      </c>
      <c r="BK19" s="45">
        <f t="shared" si="26"/>
        <v>0.81246913580246916</v>
      </c>
      <c r="BL19" s="75">
        <v>7000</v>
      </c>
      <c r="BM19" s="75">
        <v>6889</v>
      </c>
      <c r="BN19" s="90">
        <f>IF(BM19&gt;0,SUM(BM$7:BM19)-SUM(BL$7:BL19),0)</f>
        <v>-12046</v>
      </c>
      <c r="BO19" s="45">
        <f t="shared" si="27"/>
        <v>0.9841428571428571</v>
      </c>
      <c r="BP19" s="75">
        <v>9880</v>
      </c>
      <c r="BQ19" s="75">
        <v>16016</v>
      </c>
      <c r="BR19" s="90">
        <f>IF(BQ19&gt;0,SUM(BQ$7:BQ19)-SUM(BP$7:BP19),0)</f>
        <v>-8091</v>
      </c>
      <c r="BS19" s="45">
        <f t="shared" si="32"/>
        <v>1.6210526315789473</v>
      </c>
      <c r="BT19" s="35">
        <f t="shared" si="5"/>
        <v>33080</v>
      </c>
      <c r="BU19" s="35">
        <f t="shared" si="5"/>
        <v>36067</v>
      </c>
      <c r="BV19" s="91">
        <f>IF(BU19&gt;0,SUM(BU$7:BU19)-SUM(BT$7:BT19),0)</f>
        <v>-50548</v>
      </c>
      <c r="BW19" s="45">
        <f t="shared" si="28"/>
        <v>1.0902962515114873</v>
      </c>
      <c r="BY19" s="47">
        <f t="shared" si="29"/>
        <v>40829</v>
      </c>
      <c r="BZ19" s="54" t="str">
        <f t="shared" si="12"/>
        <v>seg</v>
      </c>
      <c r="CA19" s="75">
        <v>2550</v>
      </c>
      <c r="CB19" s="75">
        <v>3232</v>
      </c>
      <c r="CC19" s="90">
        <f>IF(CB19&gt;0,SUM(CB$7:CB19)-SUM(CA$7:CA19),0)</f>
        <v>10237</v>
      </c>
      <c r="CD19" s="45">
        <f t="shared" si="30"/>
        <v>1.2674509803921568</v>
      </c>
    </row>
    <row r="20" spans="1:82" x14ac:dyDescent="0.25">
      <c r="A20" s="47">
        <f t="shared" si="13"/>
        <v>40830</v>
      </c>
      <c r="B20" s="54" t="s">
        <v>28</v>
      </c>
      <c r="C20" s="75">
        <v>12017</v>
      </c>
      <c r="D20" s="75">
        <v>14644</v>
      </c>
      <c r="E20" s="90">
        <f>IF(D20&gt;0,SUM(D$7:D20)-SUM(C$7:C20),0)</f>
        <v>-30007</v>
      </c>
      <c r="F20" s="45">
        <f t="shared" si="14"/>
        <v>1.218606973454273</v>
      </c>
      <c r="G20" s="75">
        <v>12017</v>
      </c>
      <c r="H20" s="75">
        <v>11850</v>
      </c>
      <c r="I20" s="75">
        <f>IF(H20&gt;0,SUM(H$7:H20)-SUM(G$7:G20),0)</f>
        <v>-37957</v>
      </c>
      <c r="J20" s="45">
        <f t="shared" si="33"/>
        <v>0.98610302072064571</v>
      </c>
      <c r="K20" s="75">
        <v>12017</v>
      </c>
      <c r="L20" s="75">
        <v>12684</v>
      </c>
      <c r="M20" s="90">
        <f>IF(L20&gt;0,SUM(L$7:L20)-SUM(K$7:K20),0)</f>
        <v>-25375</v>
      </c>
      <c r="N20" s="45">
        <f t="shared" si="35"/>
        <v>1.0555047016726304</v>
      </c>
      <c r="O20" s="35">
        <f t="shared" si="34"/>
        <v>36051</v>
      </c>
      <c r="P20" s="35">
        <f t="shared" si="6"/>
        <v>39178</v>
      </c>
      <c r="Q20" s="91">
        <f>IF(P20&gt;0,SUM(P$7:P20)-SUM(O$7:O20),0)</f>
        <v>-93339</v>
      </c>
      <c r="R20" s="45">
        <f t="shared" si="15"/>
        <v>1.0867382319491832</v>
      </c>
      <c r="T20" s="47">
        <f t="shared" si="16"/>
        <v>40830</v>
      </c>
      <c r="U20" s="54" t="str">
        <f t="shared" si="7"/>
        <v>ter</v>
      </c>
      <c r="V20" s="75">
        <v>11360</v>
      </c>
      <c r="W20" s="75">
        <v>11638</v>
      </c>
      <c r="X20" s="92">
        <f>IF(W20&gt;0,SUM(W$7:W20)-SUM(V$7:V20),0)</f>
        <v>3873</v>
      </c>
      <c r="Y20" s="60">
        <f t="shared" si="17"/>
        <v>1.0244718309859155</v>
      </c>
      <c r="Z20" s="75">
        <v>11360</v>
      </c>
      <c r="AA20" s="75">
        <v>13310</v>
      </c>
      <c r="AB20" s="92">
        <f>IF(AA20&gt;0,SUM(AA$7:AA20)-SUM(Z$7:Z20),0)</f>
        <v>-17979</v>
      </c>
      <c r="AC20" s="60">
        <f t="shared" si="18"/>
        <v>1.1716549295774648</v>
      </c>
      <c r="AD20" s="75">
        <v>11360</v>
      </c>
      <c r="AE20" s="75">
        <v>14425</v>
      </c>
      <c r="AF20" s="92">
        <f>IF(AE20&gt;0,SUM(AE$7:AE20)-SUM(AD$7:AD20),0)</f>
        <v>-33648</v>
      </c>
      <c r="AG20" s="60">
        <f t="shared" si="19"/>
        <v>1.269806338028169</v>
      </c>
      <c r="AH20" s="41">
        <f t="shared" si="3"/>
        <v>34080</v>
      </c>
      <c r="AI20" s="41">
        <f t="shared" si="8"/>
        <v>39373</v>
      </c>
      <c r="AJ20" s="93">
        <f>IF(AI20&gt;0,SUM(AI$7:AI20)-SUM(AH$7:AH20),0)</f>
        <v>-47754</v>
      </c>
      <c r="AK20" s="60">
        <f t="shared" si="20"/>
        <v>1.1553110328638498</v>
      </c>
      <c r="AM20" s="47">
        <f t="shared" si="21"/>
        <v>40830</v>
      </c>
      <c r="AN20" s="54" t="str">
        <f t="shared" si="9"/>
        <v>ter</v>
      </c>
      <c r="AO20" s="75">
        <v>7730</v>
      </c>
      <c r="AP20" s="75">
        <v>9889</v>
      </c>
      <c r="AQ20" s="75">
        <f>IF(AP20&gt;0,SUM(AP$7:AP20)-SUM(AO$7:AO20),0)</f>
        <v>-4953</v>
      </c>
      <c r="AR20" s="45">
        <f t="shared" si="22"/>
        <v>1.2793014230271669</v>
      </c>
      <c r="AS20" s="75">
        <v>7730</v>
      </c>
      <c r="AT20" s="75">
        <v>10149</v>
      </c>
      <c r="AU20" s="90">
        <f>IF(AT20&gt;0,SUM(AT$7:AT20)-SUM(AS$7:AS20),0)</f>
        <v>-15449</v>
      </c>
      <c r="AV20" s="45">
        <f t="shared" si="23"/>
        <v>1.3129366106080207</v>
      </c>
      <c r="AW20" s="75">
        <v>7730</v>
      </c>
      <c r="AX20" s="75">
        <v>5707</v>
      </c>
      <c r="AY20" s="90">
        <f>IF(AX20&gt;0,SUM(AX$7:AX20)-SUM(AW$7:AW20),0)</f>
        <v>-21378</v>
      </c>
      <c r="AZ20" s="45">
        <f t="shared" si="31"/>
        <v>0.73829236739974125</v>
      </c>
      <c r="BA20" s="35">
        <f t="shared" si="4"/>
        <v>23190</v>
      </c>
      <c r="BB20" s="35">
        <f t="shared" si="10"/>
        <v>25745</v>
      </c>
      <c r="BC20" s="91">
        <f>IF(BB20&gt;0,SUM(BB$7:BB20)-SUM(BA$7:BA20),0)</f>
        <v>-41780</v>
      </c>
      <c r="BD20" s="45">
        <f t="shared" si="24"/>
        <v>1.1101768003449763</v>
      </c>
      <c r="BF20" s="47">
        <f t="shared" si="25"/>
        <v>40830</v>
      </c>
      <c r="BG20" s="54" t="str">
        <f t="shared" si="11"/>
        <v>ter</v>
      </c>
      <c r="BH20" s="75">
        <v>16200</v>
      </c>
      <c r="BI20" s="75">
        <v>19063</v>
      </c>
      <c r="BJ20" s="75">
        <f>IF(BI20&gt;0,SUM(BI$7:BI20)-SUM(BH$7:BH20),0)</f>
        <v>-27548</v>
      </c>
      <c r="BK20" s="45">
        <f t="shared" si="26"/>
        <v>1.1767283950617284</v>
      </c>
      <c r="BL20" s="75">
        <v>7000</v>
      </c>
      <c r="BM20" s="75">
        <v>6688</v>
      </c>
      <c r="BN20" s="90">
        <f>IF(BM20&gt;0,SUM(BM$7:BM20)-SUM(BL$7:BL20),0)</f>
        <v>-12358</v>
      </c>
      <c r="BO20" s="45">
        <f t="shared" si="27"/>
        <v>0.9554285714285714</v>
      </c>
      <c r="BP20" s="75">
        <v>9880</v>
      </c>
      <c r="BQ20" s="75">
        <v>15316</v>
      </c>
      <c r="BR20" s="90">
        <f>IF(BQ20&gt;0,SUM(BQ$7:BQ20)-SUM(BP$7:BP20),0)</f>
        <v>-2655</v>
      </c>
      <c r="BS20" s="45">
        <f t="shared" si="32"/>
        <v>1.5502024291497976</v>
      </c>
      <c r="BT20" s="35">
        <f t="shared" si="5"/>
        <v>33080</v>
      </c>
      <c r="BU20" s="35">
        <f t="shared" si="5"/>
        <v>41067</v>
      </c>
      <c r="BV20" s="91">
        <f>IF(BU20&gt;0,SUM(BU$7:BU20)-SUM(BT$7:BT20),0)</f>
        <v>-42561</v>
      </c>
      <c r="BW20" s="45">
        <f t="shared" si="28"/>
        <v>1.2414449818621525</v>
      </c>
      <c r="BY20" s="47">
        <f t="shared" si="29"/>
        <v>40830</v>
      </c>
      <c r="BZ20" s="54" t="str">
        <f t="shared" si="12"/>
        <v>ter</v>
      </c>
      <c r="CA20" s="75">
        <v>2550</v>
      </c>
      <c r="CB20" s="75">
        <v>3350</v>
      </c>
      <c r="CC20" s="90">
        <f>IF(CB20&gt;0,SUM(CB$7:CB20)-SUM(CA$7:CA20),0)</f>
        <v>11037</v>
      </c>
      <c r="CD20" s="45">
        <f t="shared" si="30"/>
        <v>1.3137254901960784</v>
      </c>
    </row>
    <row r="21" spans="1:82" x14ac:dyDescent="0.25">
      <c r="A21" s="47">
        <f t="shared" si="13"/>
        <v>40831</v>
      </c>
      <c r="B21" s="54" t="s">
        <v>22</v>
      </c>
      <c r="C21" s="75">
        <v>12017</v>
      </c>
      <c r="D21" s="75">
        <v>13951</v>
      </c>
      <c r="E21" s="90">
        <f>IF(D21&gt;0,SUM(D$7:D21)-SUM(C$7:C21),0)</f>
        <v>-28073</v>
      </c>
      <c r="F21" s="45">
        <f t="shared" si="14"/>
        <v>1.1609386702171922</v>
      </c>
      <c r="G21" s="75">
        <v>12017</v>
      </c>
      <c r="H21" s="75">
        <v>15105</v>
      </c>
      <c r="I21" s="75">
        <f>IF(H21&gt;0,SUM(H$7:H21)-SUM(G$7:G21),0)</f>
        <v>-34869</v>
      </c>
      <c r="J21" s="45">
        <f t="shared" si="33"/>
        <v>1.2569692935008738</v>
      </c>
      <c r="K21" s="75">
        <v>12017</v>
      </c>
      <c r="L21" s="75">
        <v>11019</v>
      </c>
      <c r="M21" s="90">
        <f>IF(L21&gt;0,SUM(L$7:L21)-SUM(K$7:K21),0)</f>
        <v>-26373</v>
      </c>
      <c r="N21" s="45">
        <f t="shared" si="35"/>
        <v>0.91695098610302073</v>
      </c>
      <c r="O21" s="35">
        <f t="shared" si="34"/>
        <v>36051</v>
      </c>
      <c r="P21" s="35">
        <f t="shared" si="6"/>
        <v>40075</v>
      </c>
      <c r="Q21" s="91">
        <f>IF(P21&gt;0,SUM(P$7:P21)-SUM(O$7:O21),0)</f>
        <v>-89315</v>
      </c>
      <c r="R21" s="45">
        <f t="shared" si="15"/>
        <v>1.1116196499403623</v>
      </c>
      <c r="T21" s="47">
        <f t="shared" si="16"/>
        <v>40831</v>
      </c>
      <c r="U21" s="54" t="str">
        <f t="shared" si="7"/>
        <v>qua</v>
      </c>
      <c r="V21" s="75">
        <v>11360</v>
      </c>
      <c r="W21" s="75">
        <v>14110</v>
      </c>
      <c r="X21" s="92">
        <f>IF(W21&gt;0,SUM(W$7:W21)-SUM(V$7:V21),0)</f>
        <v>6623</v>
      </c>
      <c r="Y21" s="60">
        <f t="shared" si="17"/>
        <v>1.2420774647887325</v>
      </c>
      <c r="Z21" s="75">
        <v>11360</v>
      </c>
      <c r="AA21" s="75">
        <v>13220</v>
      </c>
      <c r="AB21" s="92">
        <f>IF(AA21&gt;0,SUM(AA$7:AA21)-SUM(Z$7:Z21),0)</f>
        <v>-16119</v>
      </c>
      <c r="AC21" s="60">
        <f t="shared" si="18"/>
        <v>1.1637323943661972</v>
      </c>
      <c r="AD21" s="75">
        <v>11360</v>
      </c>
      <c r="AE21" s="75">
        <v>18055</v>
      </c>
      <c r="AF21" s="92">
        <f>IF(AE21&gt;0,SUM(AE$7:AE21)-SUM(AD$7:AD21),0)</f>
        <v>-26953</v>
      </c>
      <c r="AG21" s="60">
        <f t="shared" si="19"/>
        <v>1.5893485915492958</v>
      </c>
      <c r="AH21" s="41">
        <f t="shared" si="3"/>
        <v>34080</v>
      </c>
      <c r="AI21" s="41">
        <f t="shared" si="8"/>
        <v>45385</v>
      </c>
      <c r="AJ21" s="93">
        <f>IF(AI21&gt;0,SUM(AI$7:AI21)-SUM(AH$7:AH21),0)</f>
        <v>-36449</v>
      </c>
      <c r="AK21" s="60">
        <f t="shared" si="20"/>
        <v>1.331719483568075</v>
      </c>
      <c r="AM21" s="47">
        <f t="shared" si="21"/>
        <v>40831</v>
      </c>
      <c r="AN21" s="54" t="str">
        <f t="shared" si="9"/>
        <v>qua</v>
      </c>
      <c r="AO21" s="75">
        <v>7730</v>
      </c>
      <c r="AP21" s="75">
        <v>10214</v>
      </c>
      <c r="AQ21" s="75">
        <f>IF(AP21&gt;0,SUM(AP$7:AP21)-SUM(AO$7:AO21),0)</f>
        <v>-2469</v>
      </c>
      <c r="AR21" s="45">
        <f t="shared" si="22"/>
        <v>1.3213454075032343</v>
      </c>
      <c r="AS21" s="75">
        <v>7730</v>
      </c>
      <c r="AT21" s="75">
        <v>7290</v>
      </c>
      <c r="AU21" s="90">
        <f>IF(AT21&gt;0,SUM(AT$7:AT21)-SUM(AS$7:AS21),0)</f>
        <v>-15889</v>
      </c>
      <c r="AV21" s="45">
        <f t="shared" si="23"/>
        <v>0.94307891332470895</v>
      </c>
      <c r="AW21" s="75">
        <v>7730</v>
      </c>
      <c r="AX21" s="75">
        <v>6293</v>
      </c>
      <c r="AY21" s="90">
        <f>IF(AX21&gt;0,SUM(AX$7:AX21)-SUM(AW$7:AW21),0)</f>
        <v>-22815</v>
      </c>
      <c r="AZ21" s="45">
        <f t="shared" si="31"/>
        <v>0.81410090556274262</v>
      </c>
      <c r="BA21" s="35">
        <f t="shared" si="4"/>
        <v>23190</v>
      </c>
      <c r="BB21" s="35">
        <f t="shared" si="10"/>
        <v>23797</v>
      </c>
      <c r="BC21" s="91">
        <f>IF(BB21&gt;0,SUM(BB$7:BB21)-SUM(BA$7:BA21),0)</f>
        <v>-41173</v>
      </c>
      <c r="BD21" s="45">
        <f t="shared" si="24"/>
        <v>1.0261750754635619</v>
      </c>
      <c r="BF21" s="47">
        <f t="shared" si="25"/>
        <v>40831</v>
      </c>
      <c r="BG21" s="54" t="str">
        <f t="shared" si="11"/>
        <v>qua</v>
      </c>
      <c r="BH21" s="75">
        <v>16200</v>
      </c>
      <c r="BI21" s="75">
        <v>19266</v>
      </c>
      <c r="BJ21" s="75">
        <f>IF(BI21&gt;0,SUM(BI$7:BI21)-SUM(BH$7:BH21),0)</f>
        <v>-24482</v>
      </c>
      <c r="BK21" s="45">
        <f t="shared" si="26"/>
        <v>1.1892592592592592</v>
      </c>
      <c r="BL21" s="75">
        <v>7000</v>
      </c>
      <c r="BM21" s="75">
        <v>4535</v>
      </c>
      <c r="BN21" s="90">
        <f>IF(BM21&gt;0,SUM(BM$7:BM21)-SUM(BL$7:BL21),0)</f>
        <v>-14823</v>
      </c>
      <c r="BO21" s="45">
        <f t="shared" si="27"/>
        <v>0.64785714285714291</v>
      </c>
      <c r="BP21" s="75">
        <v>9880</v>
      </c>
      <c r="BQ21" s="75">
        <v>16579</v>
      </c>
      <c r="BR21" s="90">
        <f>IF(BQ21&gt;0,SUM(BQ$7:BQ21)-SUM(BP$7:BP21),0)</f>
        <v>4044</v>
      </c>
      <c r="BS21" s="45">
        <f t="shared" si="32"/>
        <v>1.6780364372469636</v>
      </c>
      <c r="BT21" s="35">
        <f t="shared" si="5"/>
        <v>33080</v>
      </c>
      <c r="BU21" s="35">
        <f t="shared" si="5"/>
        <v>40380</v>
      </c>
      <c r="BV21" s="91">
        <f>IF(BU21&gt;0,SUM(BU$7:BU21)-SUM(BT$7:BT21),0)</f>
        <v>-35261</v>
      </c>
      <c r="BW21" s="45">
        <f t="shared" si="28"/>
        <v>1.220677146311971</v>
      </c>
      <c r="BY21" s="47">
        <f t="shared" si="29"/>
        <v>40831</v>
      </c>
      <c r="BZ21" s="54" t="str">
        <f t="shared" si="12"/>
        <v>qua</v>
      </c>
      <c r="CA21" s="75">
        <v>2550</v>
      </c>
      <c r="CB21" s="75">
        <v>1</v>
      </c>
      <c r="CC21" s="90">
        <f>IF(CB21&gt;0,SUM(CB$7:CB21)-SUM(CA$7:CA21),0)</f>
        <v>8488</v>
      </c>
      <c r="CD21" s="45">
        <f t="shared" si="30"/>
        <v>3.9215686274509802E-4</v>
      </c>
    </row>
    <row r="22" spans="1:82" x14ac:dyDescent="0.25">
      <c r="A22" s="47">
        <f t="shared" si="13"/>
        <v>40832</v>
      </c>
      <c r="B22" s="54" t="s">
        <v>23</v>
      </c>
      <c r="C22" s="75">
        <v>12017</v>
      </c>
      <c r="D22" s="75">
        <v>11225</v>
      </c>
      <c r="E22" s="90">
        <f>IF(D22&gt;0,SUM(D$7:D22)-SUM(C$7:C22),0)</f>
        <v>-28865</v>
      </c>
      <c r="F22" s="45">
        <f t="shared" si="14"/>
        <v>0.93409336772905049</v>
      </c>
      <c r="G22" s="75">
        <v>12017</v>
      </c>
      <c r="H22" s="75">
        <v>10881</v>
      </c>
      <c r="I22" s="75">
        <f>IF(H22&gt;0,SUM(H$7:H22)-SUM(G$7:G22),0)</f>
        <v>-36005</v>
      </c>
      <c r="J22" s="45">
        <f t="shared" si="33"/>
        <v>0.90546725472247647</v>
      </c>
      <c r="K22" s="75">
        <v>12017</v>
      </c>
      <c r="L22" s="75">
        <v>12243</v>
      </c>
      <c r="M22" s="90">
        <f>IF(L22&gt;0,SUM(L$7:L22)-SUM(K$7:K22),0)</f>
        <v>-26147</v>
      </c>
      <c r="N22" s="45">
        <f t="shared" si="35"/>
        <v>1.0188066905217608</v>
      </c>
      <c r="O22" s="35">
        <f t="shared" si="34"/>
        <v>36051</v>
      </c>
      <c r="P22" s="35">
        <f t="shared" si="6"/>
        <v>34349</v>
      </c>
      <c r="Q22" s="91">
        <f>IF(P22&gt;0,SUM(P$7:P22)-SUM(O$7:O22),0)</f>
        <v>-91017</v>
      </c>
      <c r="R22" s="45">
        <f t="shared" si="15"/>
        <v>0.95278910432442931</v>
      </c>
      <c r="T22" s="47">
        <f t="shared" si="16"/>
        <v>40832</v>
      </c>
      <c r="U22" s="54" t="str">
        <f t="shared" si="7"/>
        <v>qui</v>
      </c>
      <c r="V22" s="75">
        <v>11360</v>
      </c>
      <c r="W22" s="75">
        <v>12852</v>
      </c>
      <c r="X22" s="92">
        <f>IF(W22&gt;0,SUM(W$7:W22)-SUM(V$7:V22),0)</f>
        <v>8115</v>
      </c>
      <c r="Y22" s="60">
        <f t="shared" si="17"/>
        <v>1.1313380281690142</v>
      </c>
      <c r="Z22" s="75">
        <v>11360</v>
      </c>
      <c r="AA22" s="75">
        <v>11638</v>
      </c>
      <c r="AB22" s="92">
        <f>IF(AA22&gt;0,SUM(AA$7:AA22)-SUM(Z$7:Z22),0)</f>
        <v>-15841</v>
      </c>
      <c r="AC22" s="60">
        <f t="shared" si="18"/>
        <v>1.0244718309859155</v>
      </c>
      <c r="AD22" s="75">
        <v>11360</v>
      </c>
      <c r="AE22" s="75">
        <v>16645</v>
      </c>
      <c r="AF22" s="92">
        <f>IF(AE22&gt;0,SUM(AE$7:AE22)-SUM(AD$7:AD22),0)</f>
        <v>-21668</v>
      </c>
      <c r="AG22" s="60">
        <f t="shared" si="19"/>
        <v>1.4652288732394365</v>
      </c>
      <c r="AH22" s="41">
        <f t="shared" si="3"/>
        <v>34080</v>
      </c>
      <c r="AI22" s="41">
        <f t="shared" si="8"/>
        <v>41135</v>
      </c>
      <c r="AJ22" s="93">
        <f>IF(AI22&gt;0,SUM(AI$7:AI22)-SUM(AH$7:AH22),0)</f>
        <v>-29394</v>
      </c>
      <c r="AK22" s="60">
        <f t="shared" si="20"/>
        <v>1.207012910798122</v>
      </c>
      <c r="AM22" s="47">
        <f t="shared" si="21"/>
        <v>40832</v>
      </c>
      <c r="AN22" s="54" t="str">
        <f t="shared" si="9"/>
        <v>qui</v>
      </c>
      <c r="AO22" s="75">
        <v>7730</v>
      </c>
      <c r="AP22" s="75">
        <v>8664</v>
      </c>
      <c r="AQ22" s="75">
        <f>IF(AP22&gt;0,SUM(AP$7:AP22)-SUM(AO$7:AO22),0)</f>
        <v>-1535</v>
      </c>
      <c r="AR22" s="45">
        <f t="shared" si="22"/>
        <v>1.1208279430789134</v>
      </c>
      <c r="AS22" s="75">
        <v>7730</v>
      </c>
      <c r="AT22" s="75">
        <v>8684</v>
      </c>
      <c r="AU22" s="90">
        <f>IF(AT22&gt;0,SUM(AT$7:AT22)-SUM(AS$7:AS22),0)</f>
        <v>-14935</v>
      </c>
      <c r="AV22" s="45">
        <f t="shared" si="23"/>
        <v>1.1234152652005174</v>
      </c>
      <c r="AW22" s="75">
        <v>7730</v>
      </c>
      <c r="AX22" s="75">
        <v>7589</v>
      </c>
      <c r="AY22" s="90">
        <f>IF(AX22&gt;0,SUM(AX$7:AX22)-SUM(AW$7:AW22),0)</f>
        <v>-22956</v>
      </c>
      <c r="AZ22" s="45">
        <f t="shared" si="31"/>
        <v>0.98175937904269084</v>
      </c>
      <c r="BA22" s="35">
        <f t="shared" si="4"/>
        <v>23190</v>
      </c>
      <c r="BB22" s="35">
        <f t="shared" si="10"/>
        <v>24937</v>
      </c>
      <c r="BC22" s="91">
        <f>IF(BB22&gt;0,SUM(BB$7:BB22)-SUM(BA$7:BA22),0)</f>
        <v>-39426</v>
      </c>
      <c r="BD22" s="45">
        <f t="shared" si="24"/>
        <v>1.0753341957740405</v>
      </c>
      <c r="BF22" s="47">
        <f t="shared" si="25"/>
        <v>40832</v>
      </c>
      <c r="BG22" s="54" t="str">
        <f t="shared" si="11"/>
        <v>qui</v>
      </c>
      <c r="BH22" s="75">
        <v>16200</v>
      </c>
      <c r="BI22" s="75">
        <v>20223</v>
      </c>
      <c r="BJ22" s="75">
        <f>IF(BI22&gt;0,SUM(BI$7:BI22)-SUM(BH$7:BH22),0)</f>
        <v>-20459</v>
      </c>
      <c r="BK22" s="45">
        <f t="shared" si="26"/>
        <v>1.2483333333333333</v>
      </c>
      <c r="BL22" s="75">
        <v>7000</v>
      </c>
      <c r="BM22" s="75">
        <v>4715</v>
      </c>
      <c r="BN22" s="90">
        <f>IF(BM22&gt;0,SUM(BM$7:BM22)-SUM(BL$7:BL22),0)</f>
        <v>-17108</v>
      </c>
      <c r="BO22" s="45">
        <f t="shared" si="27"/>
        <v>0.6735714285714286</v>
      </c>
      <c r="BP22" s="75">
        <v>9880</v>
      </c>
      <c r="BQ22" s="75">
        <v>9052</v>
      </c>
      <c r="BR22" s="90">
        <f>IF(BQ22&gt;0,SUM(BQ$7:BQ22)-SUM(BP$7:BP22),0)</f>
        <v>3216</v>
      </c>
      <c r="BS22" s="45">
        <f t="shared" si="32"/>
        <v>0.91619433198380562</v>
      </c>
      <c r="BT22" s="35">
        <f t="shared" si="5"/>
        <v>33080</v>
      </c>
      <c r="BU22" s="35">
        <f t="shared" si="5"/>
        <v>33990</v>
      </c>
      <c r="BV22" s="91">
        <f>IF(BU22&gt;0,SUM(BU$7:BU22)-SUM(BT$7:BT22),0)</f>
        <v>-34351</v>
      </c>
      <c r="BW22" s="45">
        <f t="shared" si="28"/>
        <v>1.0275090689238211</v>
      </c>
      <c r="BY22" s="47">
        <f t="shared" si="29"/>
        <v>40832</v>
      </c>
      <c r="BZ22" s="54" t="str">
        <f t="shared" si="12"/>
        <v>qui</v>
      </c>
      <c r="CA22" s="75">
        <v>2550</v>
      </c>
      <c r="CB22" s="75">
        <v>1</v>
      </c>
      <c r="CC22" s="90">
        <f>IF(CB22&gt;0,SUM(CB$7:CB22)-SUM(CA$7:CA22),0)</f>
        <v>5939</v>
      </c>
      <c r="CD22" s="45">
        <f t="shared" si="30"/>
        <v>3.9215686274509802E-4</v>
      </c>
    </row>
    <row r="23" spans="1:82" x14ac:dyDescent="0.25">
      <c r="A23" s="47">
        <f t="shared" si="13"/>
        <v>40833</v>
      </c>
      <c r="B23" s="54" t="s">
        <v>24</v>
      </c>
      <c r="C23" s="75">
        <v>12017</v>
      </c>
      <c r="D23" s="75">
        <v>13838</v>
      </c>
      <c r="E23" s="90">
        <f>IF(D23&gt;0,SUM(D$7:D23)-SUM(C$7:C23),0)</f>
        <v>-27044</v>
      </c>
      <c r="F23" s="45">
        <f t="shared" si="14"/>
        <v>1.1515353249563118</v>
      </c>
      <c r="G23" s="75">
        <v>12017</v>
      </c>
      <c r="H23" s="75">
        <v>14992</v>
      </c>
      <c r="I23" s="75">
        <f>IF(H23&gt;0,SUM(H$7:H23)-SUM(G$7:G23),0)</f>
        <v>-33030</v>
      </c>
      <c r="J23" s="45">
        <f t="shared" si="33"/>
        <v>1.2475659482399934</v>
      </c>
      <c r="K23" s="75">
        <v>12017</v>
      </c>
      <c r="L23" s="75">
        <v>14945</v>
      </c>
      <c r="M23" s="90">
        <f>IF(L23&gt;0,SUM(L$7:L23)-SUM(K$7:K23),0)</f>
        <v>-23219</v>
      </c>
      <c r="N23" s="45">
        <f t="shared" si="35"/>
        <v>1.2436548223350254</v>
      </c>
      <c r="O23" s="35">
        <f t="shared" si="34"/>
        <v>36051</v>
      </c>
      <c r="P23" s="35">
        <f t="shared" si="6"/>
        <v>43775</v>
      </c>
      <c r="Q23" s="91">
        <f>IF(P23&gt;0,SUM(P$7:P23)-SUM(O$7:O23),0)</f>
        <v>-83293</v>
      </c>
      <c r="R23" s="45">
        <f t="shared" si="15"/>
        <v>1.2142520318437768</v>
      </c>
      <c r="T23" s="47">
        <f t="shared" si="16"/>
        <v>40833</v>
      </c>
      <c r="U23" s="54" t="str">
        <f t="shared" si="7"/>
        <v>sex</v>
      </c>
      <c r="V23" s="75">
        <v>11360</v>
      </c>
      <c r="W23" s="75">
        <v>12896</v>
      </c>
      <c r="X23" s="92">
        <f>IF(W23&gt;0,SUM(W$7:W23)-SUM(V$7:V23),0)</f>
        <v>9651</v>
      </c>
      <c r="Y23" s="60">
        <f t="shared" si="17"/>
        <v>1.1352112676056338</v>
      </c>
      <c r="Z23" s="75">
        <v>11360</v>
      </c>
      <c r="AA23" s="75">
        <v>13245</v>
      </c>
      <c r="AB23" s="92">
        <f>IF(AA23&gt;0,SUM(AA$7:AA23)-SUM(Z$7:Z23),0)</f>
        <v>-13956</v>
      </c>
      <c r="AC23" s="60">
        <f t="shared" si="18"/>
        <v>1.1659330985915493</v>
      </c>
      <c r="AD23" s="75">
        <v>11360</v>
      </c>
      <c r="AE23" s="75">
        <v>15740</v>
      </c>
      <c r="AF23" s="92">
        <f>IF(AE23&gt;0,SUM(AE$7:AE23)-SUM(AD$7:AD23),0)</f>
        <v>-17288</v>
      </c>
      <c r="AG23" s="60">
        <f t="shared" si="19"/>
        <v>1.3855633802816902</v>
      </c>
      <c r="AH23" s="41">
        <f t="shared" si="3"/>
        <v>34080</v>
      </c>
      <c r="AI23" s="41">
        <f t="shared" si="8"/>
        <v>41881</v>
      </c>
      <c r="AJ23" s="93">
        <f>IF(AI23&gt;0,SUM(AI$7:AI23)-SUM(AH$7:AH23),0)</f>
        <v>-21593</v>
      </c>
      <c r="AK23" s="60">
        <f t="shared" si="20"/>
        <v>1.2289025821596244</v>
      </c>
      <c r="AM23" s="47">
        <f t="shared" si="21"/>
        <v>40833</v>
      </c>
      <c r="AN23" s="54" t="str">
        <f t="shared" si="9"/>
        <v>sex</v>
      </c>
      <c r="AO23" s="75">
        <v>7730</v>
      </c>
      <c r="AP23" s="75">
        <v>11214</v>
      </c>
      <c r="AQ23" s="75">
        <f>IF(AP23&gt;0,SUM(AP$7:AP23)-SUM(AO$7:AO22),0)</f>
        <v>9679</v>
      </c>
      <c r="AR23" s="45">
        <f>IF(AP23&gt;0,IF(AO18&gt;0,AP23/AO18,0),0)</f>
        <v>0</v>
      </c>
      <c r="AS23" s="75">
        <v>7730</v>
      </c>
      <c r="AT23" s="75">
        <v>6524</v>
      </c>
      <c r="AU23" s="90">
        <f>IF(AT23&gt;0,SUM(AT$7:AT23)-SUM(AS$7:AS23),0)</f>
        <v>-16141</v>
      </c>
      <c r="AV23" s="45">
        <f t="shared" si="23"/>
        <v>0.84398447606727034</v>
      </c>
      <c r="AW23" s="75">
        <v>7730</v>
      </c>
      <c r="AX23" s="75">
        <v>5722</v>
      </c>
      <c r="AY23" s="90">
        <f>IF(AX23&gt;0,SUM(AX$7:AX23)-SUM(AW$7:AW23),0)</f>
        <v>-24964</v>
      </c>
      <c r="AZ23" s="45">
        <f t="shared" si="31"/>
        <v>0.74023285899094438</v>
      </c>
      <c r="BA23" s="35">
        <f t="shared" si="4"/>
        <v>23190</v>
      </c>
      <c r="BB23" s="35">
        <f t="shared" si="10"/>
        <v>23460</v>
      </c>
      <c r="BC23" s="91">
        <f>IF(BB23&gt;0,SUM(BB$7:BB23)-SUM(BA$7:BA23),0)</f>
        <v>-39156</v>
      </c>
      <c r="BD23" s="45">
        <f t="shared" si="24"/>
        <v>1.0116429495472186</v>
      </c>
      <c r="BF23" s="47">
        <f t="shared" si="25"/>
        <v>40833</v>
      </c>
      <c r="BG23" s="54" t="str">
        <f t="shared" si="11"/>
        <v>sex</v>
      </c>
      <c r="BH23" s="75">
        <v>16200</v>
      </c>
      <c r="BI23" s="75">
        <v>22129</v>
      </c>
      <c r="BJ23" s="75">
        <f>IF(BI23&gt;0,SUM(BI$7:BI23)-SUM(BH$7:BH23),0)</f>
        <v>-14530</v>
      </c>
      <c r="BK23" s="45">
        <f t="shared" si="26"/>
        <v>1.3659876543209877</v>
      </c>
      <c r="BL23" s="75">
        <v>7000</v>
      </c>
      <c r="BM23" s="75">
        <v>6802</v>
      </c>
      <c r="BN23" s="90">
        <f>IF(BM23&gt;0,SUM(BM$7:BM23)-SUM(BL$7:BL23),0)</f>
        <v>-17306</v>
      </c>
      <c r="BO23" s="45">
        <f t="shared" si="27"/>
        <v>0.97171428571428575</v>
      </c>
      <c r="BP23" s="75">
        <v>9880</v>
      </c>
      <c r="BQ23" s="75">
        <v>11781</v>
      </c>
      <c r="BR23" s="90">
        <f>IF(BQ23&gt;0,SUM(BQ$7:BQ23)-SUM(BP$7:BP23),0)</f>
        <v>5117</v>
      </c>
      <c r="BS23" s="45">
        <f t="shared" si="32"/>
        <v>1.1924089068825912</v>
      </c>
      <c r="BT23" s="35">
        <f t="shared" si="5"/>
        <v>33080</v>
      </c>
      <c r="BU23" s="35">
        <f t="shared" si="5"/>
        <v>40712</v>
      </c>
      <c r="BV23" s="91">
        <f>IF(BU23&gt;0,SUM(BU$7:BU23)-SUM(BT$7:BT23),0)</f>
        <v>-26719</v>
      </c>
      <c r="BW23" s="45">
        <f t="shared" si="28"/>
        <v>1.2307134220072551</v>
      </c>
      <c r="BY23" s="47">
        <f t="shared" si="29"/>
        <v>40833</v>
      </c>
      <c r="BZ23" s="54" t="str">
        <f t="shared" si="12"/>
        <v>sex</v>
      </c>
      <c r="CA23" s="75">
        <v>2550</v>
      </c>
      <c r="CB23" s="75">
        <v>1</v>
      </c>
      <c r="CC23" s="90">
        <f>IF(CB23&gt;0,SUM(CB$7:CB23)-SUM(CA$7:CA23),0)</f>
        <v>3390</v>
      </c>
      <c r="CD23" s="45">
        <f t="shared" si="30"/>
        <v>3.9215686274509802E-4</v>
      </c>
    </row>
    <row r="24" spans="1:82" x14ac:dyDescent="0.25">
      <c r="A24" s="47">
        <f t="shared" si="13"/>
        <v>40834</v>
      </c>
      <c r="B24" s="54" t="s">
        <v>25</v>
      </c>
      <c r="C24" s="75"/>
      <c r="D24" s="75">
        <v>20027</v>
      </c>
      <c r="E24" s="90">
        <f>IF(D24&gt;0,SUM(D$7:D24)-SUM(C$7:C24),0)</f>
        <v>-7017</v>
      </c>
      <c r="F24" s="45">
        <f t="shared" si="14"/>
        <v>0</v>
      </c>
      <c r="G24" s="75"/>
      <c r="H24" s="75">
        <v>20027</v>
      </c>
      <c r="I24" s="75">
        <f>IF(H24&gt;0,SUM(H$7:H24)-SUM(G$7:G24),0)</f>
        <v>-13003</v>
      </c>
      <c r="J24" s="45">
        <f t="shared" si="33"/>
        <v>0</v>
      </c>
      <c r="K24" s="75"/>
      <c r="L24" s="75">
        <v>20027</v>
      </c>
      <c r="M24" s="90">
        <f>IF(L24&gt;0,SUM(L$7:L24)-SUM(K$7:K24),0)</f>
        <v>-3192</v>
      </c>
      <c r="N24" s="45">
        <f t="shared" si="35"/>
        <v>0</v>
      </c>
      <c r="O24" s="35">
        <f t="shared" si="34"/>
        <v>0</v>
      </c>
      <c r="P24" s="35">
        <f t="shared" si="6"/>
        <v>60081</v>
      </c>
      <c r="Q24" s="91">
        <f>IF(P24&gt;0,SUM(P$7:P24)-SUM(O$7:O24),0)</f>
        <v>-23212</v>
      </c>
      <c r="R24" s="45">
        <f t="shared" si="15"/>
        <v>0</v>
      </c>
      <c r="T24" s="47">
        <f t="shared" si="16"/>
        <v>40834</v>
      </c>
      <c r="U24" s="54" t="str">
        <f t="shared" si="7"/>
        <v>sáb</v>
      </c>
      <c r="V24" s="75"/>
      <c r="W24" s="75">
        <v>26436</v>
      </c>
      <c r="X24" s="92">
        <f>IF(W24&gt;0,SUM(W$7:W24)-SUM(V$7:V24),0)</f>
        <v>36087</v>
      </c>
      <c r="Y24" s="60">
        <f t="shared" si="17"/>
        <v>0</v>
      </c>
      <c r="Z24" s="75"/>
      <c r="AA24" s="75">
        <v>13980</v>
      </c>
      <c r="AB24" s="92">
        <f>IF(AA24&gt;0,SUM(AA$7:AA24)-SUM(Z$7:Z24),0)</f>
        <v>24</v>
      </c>
      <c r="AC24" s="60">
        <f t="shared" si="18"/>
        <v>0</v>
      </c>
      <c r="AD24" s="75"/>
      <c r="AE24" s="75">
        <v>17388</v>
      </c>
      <c r="AF24" s="92">
        <f>IF(AE24&gt;0,SUM(AE$7:AE24)-SUM(AD$7:AD24),0)</f>
        <v>100</v>
      </c>
      <c r="AG24" s="60">
        <f t="shared" si="19"/>
        <v>0</v>
      </c>
      <c r="AH24" s="41">
        <f t="shared" si="3"/>
        <v>0</v>
      </c>
      <c r="AI24" s="41">
        <f t="shared" si="8"/>
        <v>57804</v>
      </c>
      <c r="AJ24" s="93">
        <f>IF(AI24&gt;0,SUM(AI$7:AI24)-SUM(AH$7:AH24),0)</f>
        <v>36211</v>
      </c>
      <c r="AK24" s="60">
        <f t="shared" si="20"/>
        <v>0</v>
      </c>
      <c r="AM24" s="47">
        <f t="shared" si="21"/>
        <v>40834</v>
      </c>
      <c r="AN24" s="54" t="str">
        <f t="shared" si="9"/>
        <v>sáb</v>
      </c>
      <c r="AO24" s="75"/>
      <c r="AP24" s="75"/>
      <c r="AQ24" s="75">
        <f>IF(AP24&gt;0,SUM(AP$7:AP24)-SUM(AO$7:AO24),0)</f>
        <v>0</v>
      </c>
      <c r="AR24" s="45">
        <f t="shared" si="22"/>
        <v>0</v>
      </c>
      <c r="AS24" s="75"/>
      <c r="AT24" s="75"/>
      <c r="AU24" s="90">
        <f>IF(AT24&gt;0,SUM(AT$7:AT24)-SUM(AS$7:AS24),0)</f>
        <v>0</v>
      </c>
      <c r="AV24" s="45">
        <f t="shared" si="23"/>
        <v>0</v>
      </c>
      <c r="AW24" s="75"/>
      <c r="AX24" s="75"/>
      <c r="AY24" s="90">
        <f>IF(AX24&gt;0,SUM(AX$7:AX24)-SUM(AW$7:AW24),0)</f>
        <v>0</v>
      </c>
      <c r="AZ24" s="45">
        <f t="shared" si="31"/>
        <v>0</v>
      </c>
      <c r="BA24" s="35">
        <f t="shared" si="4"/>
        <v>0</v>
      </c>
      <c r="BB24" s="35">
        <f t="shared" si="10"/>
        <v>0</v>
      </c>
      <c r="BC24" s="91">
        <f>IF(BB24&gt;0,SUM(BB$7:BB24)-SUM(BA$7:BA24),0)</f>
        <v>0</v>
      </c>
      <c r="BD24" s="45">
        <f t="shared" si="24"/>
        <v>0</v>
      </c>
      <c r="BF24" s="47">
        <f t="shared" si="25"/>
        <v>40834</v>
      </c>
      <c r="BG24" s="54" t="str">
        <f t="shared" si="11"/>
        <v>sáb</v>
      </c>
      <c r="BH24" s="75"/>
      <c r="BI24" s="75"/>
      <c r="BJ24" s="75">
        <f>IF(BI24&gt;0,SUM(BI$7:BI24)-SUM(BH$7:BH24),0)</f>
        <v>0</v>
      </c>
      <c r="BK24" s="45">
        <f t="shared" si="26"/>
        <v>0</v>
      </c>
      <c r="BL24" s="75"/>
      <c r="BM24" s="75"/>
      <c r="BN24" s="90">
        <f>IF(BM24&gt;0,SUM(BM$7:BM24)-SUM(BL$7:BL24),0)</f>
        <v>0</v>
      </c>
      <c r="BO24" s="45">
        <f t="shared" si="27"/>
        <v>0</v>
      </c>
      <c r="BP24" s="75"/>
      <c r="BQ24" s="75"/>
      <c r="BR24" s="90">
        <f>IF(BQ24&gt;0,SUM(BQ$7:BQ24)-SUM(BP$7:BP24),0)</f>
        <v>0</v>
      </c>
      <c r="BS24" s="45">
        <f t="shared" si="32"/>
        <v>0</v>
      </c>
      <c r="BT24" s="35">
        <f t="shared" si="5"/>
        <v>0</v>
      </c>
      <c r="BU24" s="35">
        <f t="shared" si="5"/>
        <v>0</v>
      </c>
      <c r="BV24" s="91">
        <f>IF(BU24&gt;0,SUM(BU$7:BU24)-SUM(BT$7:BT24),0)</f>
        <v>0</v>
      </c>
      <c r="BW24" s="45">
        <f t="shared" si="28"/>
        <v>0</v>
      </c>
      <c r="BY24" s="47">
        <f t="shared" si="29"/>
        <v>40834</v>
      </c>
      <c r="BZ24" s="54" t="str">
        <f t="shared" si="12"/>
        <v>sáb</v>
      </c>
      <c r="CA24" s="75"/>
      <c r="CB24" s="75"/>
      <c r="CC24" s="90">
        <f>IF(CB24&gt;0,SUM(CB$7:CB24)-SUM(CA$7:CA24),0)</f>
        <v>0</v>
      </c>
      <c r="CD24" s="45">
        <f t="shared" si="30"/>
        <v>0</v>
      </c>
    </row>
    <row r="25" spans="1:82" x14ac:dyDescent="0.25">
      <c r="A25" s="47">
        <f t="shared" si="13"/>
        <v>40835</v>
      </c>
      <c r="B25" s="54" t="s">
        <v>26</v>
      </c>
      <c r="C25" s="75"/>
      <c r="D25" s="75"/>
      <c r="E25" s="90">
        <f>IF(D25&gt;0,SUM(D$7:D25)-SUM(C$7:C25),0)</f>
        <v>0</v>
      </c>
      <c r="F25" s="45">
        <f t="shared" si="14"/>
        <v>0</v>
      </c>
      <c r="G25" s="75"/>
      <c r="H25" s="75"/>
      <c r="I25" s="75">
        <f>IF(H25&gt;0,SUM(H$7:H25)-SUM(G$7:G25),0)</f>
        <v>0</v>
      </c>
      <c r="J25" s="45">
        <f t="shared" si="33"/>
        <v>0</v>
      </c>
      <c r="K25" s="75"/>
      <c r="L25" s="75"/>
      <c r="M25" s="90">
        <f>IF(L25&gt;0,SUM(L$7:L25)-SUM(K$7:K25),0)</f>
        <v>0</v>
      </c>
      <c r="N25" s="45">
        <f t="shared" si="35"/>
        <v>0</v>
      </c>
      <c r="O25" s="35">
        <f t="shared" si="34"/>
        <v>0</v>
      </c>
      <c r="P25" s="35">
        <f t="shared" si="6"/>
        <v>0</v>
      </c>
      <c r="Q25" s="91">
        <f>IF(P25&gt;0,SUM(P$7:P25)-SUM(O$7:O25),0)</f>
        <v>0</v>
      </c>
      <c r="R25" s="45">
        <f t="shared" si="15"/>
        <v>0</v>
      </c>
      <c r="T25" s="47">
        <f t="shared" si="16"/>
        <v>40835</v>
      </c>
      <c r="U25" s="54" t="str">
        <f t="shared" si="7"/>
        <v>dom</v>
      </c>
      <c r="V25" s="75"/>
      <c r="W25" s="75"/>
      <c r="X25" s="92">
        <f>IF(W25&gt;0,SUM(W$7:W25)-SUM(V$7:V25),0)</f>
        <v>0</v>
      </c>
      <c r="Y25" s="60">
        <f t="shared" si="17"/>
        <v>0</v>
      </c>
      <c r="Z25" s="75"/>
      <c r="AA25" s="75"/>
      <c r="AB25" s="92">
        <f>IF(AA25&gt;0,SUM(AA$7:AA25)-SUM(Z$7:Z25),0)</f>
        <v>0</v>
      </c>
      <c r="AC25" s="60">
        <f t="shared" si="18"/>
        <v>0</v>
      </c>
      <c r="AD25" s="75"/>
      <c r="AE25" s="75"/>
      <c r="AF25" s="92">
        <f>IF(AE25&gt;0,SUM(AE$7:AE25)-SUM(AD$7:AD25),0)</f>
        <v>0</v>
      </c>
      <c r="AG25" s="60">
        <f t="shared" si="19"/>
        <v>0</v>
      </c>
      <c r="AH25" s="41">
        <f t="shared" si="3"/>
        <v>0</v>
      </c>
      <c r="AI25" s="41">
        <f t="shared" si="8"/>
        <v>0</v>
      </c>
      <c r="AJ25" s="93">
        <f>IF(AI25&gt;0,SUM(AI$7:AI25)-SUM(AH$7:AH25),0)</f>
        <v>0</v>
      </c>
      <c r="AK25" s="60">
        <f t="shared" si="20"/>
        <v>0</v>
      </c>
      <c r="AM25" s="47">
        <f t="shared" si="21"/>
        <v>40835</v>
      </c>
      <c r="AN25" s="54" t="str">
        <f t="shared" si="9"/>
        <v>dom</v>
      </c>
      <c r="AO25" s="75"/>
      <c r="AP25" s="75"/>
      <c r="AQ25" s="75">
        <f>IF(AP25&gt;0,SUM(AP$7:AP25)-SUM(AO$7:AO25),0)</f>
        <v>0</v>
      </c>
      <c r="AR25" s="45">
        <f t="shared" si="22"/>
        <v>0</v>
      </c>
      <c r="AS25" s="75"/>
      <c r="AT25" s="75"/>
      <c r="AU25" s="90">
        <f>IF(AT25&gt;0,SUM(AT$7:AT25)-SUM(AS$7:AS25),0)</f>
        <v>0</v>
      </c>
      <c r="AV25" s="45">
        <f t="shared" si="23"/>
        <v>0</v>
      </c>
      <c r="AW25" s="75"/>
      <c r="AX25" s="75"/>
      <c r="AY25" s="90">
        <f>IF(AX25&gt;0,SUM(AX$7:AX25)-SUM(AW$7:AW25),0)</f>
        <v>0</v>
      </c>
      <c r="AZ25" s="45">
        <f t="shared" si="31"/>
        <v>0</v>
      </c>
      <c r="BA25" s="35">
        <f t="shared" si="4"/>
        <v>0</v>
      </c>
      <c r="BB25" s="35">
        <f t="shared" si="10"/>
        <v>0</v>
      </c>
      <c r="BC25" s="91">
        <f>IF(BB25&gt;0,SUM(BB$7:BB25)-SUM(BA$7:BA25),0)</f>
        <v>0</v>
      </c>
      <c r="BD25" s="45">
        <f t="shared" si="24"/>
        <v>0</v>
      </c>
      <c r="BF25" s="47">
        <f t="shared" si="25"/>
        <v>40835</v>
      </c>
      <c r="BG25" s="54" t="str">
        <f t="shared" si="11"/>
        <v>dom</v>
      </c>
      <c r="BH25" s="75"/>
      <c r="BI25" s="75"/>
      <c r="BJ25" s="75">
        <f>IF(BI25&gt;0,SUM(BI$7:BI25)-SUM(BH$7:BH25),0)</f>
        <v>0</v>
      </c>
      <c r="BK25" s="45">
        <f t="shared" si="26"/>
        <v>0</v>
      </c>
      <c r="BL25" s="75"/>
      <c r="BM25" s="75"/>
      <c r="BN25" s="90">
        <f>IF(BM25&gt;0,SUM(BM$7:BM25)-SUM(BL$7:BL25),0)</f>
        <v>0</v>
      </c>
      <c r="BO25" s="45">
        <f t="shared" si="27"/>
        <v>0</v>
      </c>
      <c r="BP25" s="75"/>
      <c r="BQ25" s="75"/>
      <c r="BR25" s="90">
        <f>IF(BQ25&gt;0,SUM(BQ$7:BQ25)-SUM(BP$7:BP25),0)</f>
        <v>0</v>
      </c>
      <c r="BS25" s="45">
        <f t="shared" si="32"/>
        <v>0</v>
      </c>
      <c r="BT25" s="35">
        <f t="shared" si="5"/>
        <v>0</v>
      </c>
      <c r="BU25" s="35">
        <f t="shared" si="5"/>
        <v>0</v>
      </c>
      <c r="BV25" s="91">
        <f>IF(BU25&gt;0,SUM(BU$7:BU25)-SUM(BT$7:BT25),0)</f>
        <v>0</v>
      </c>
      <c r="BW25" s="45">
        <f t="shared" si="28"/>
        <v>0</v>
      </c>
      <c r="BY25" s="47">
        <f t="shared" si="29"/>
        <v>40835</v>
      </c>
      <c r="BZ25" s="54" t="str">
        <f t="shared" si="12"/>
        <v>dom</v>
      </c>
      <c r="CA25" s="75"/>
      <c r="CB25" s="75"/>
      <c r="CC25" s="90">
        <f>IF(CB25&gt;0,SUM(CB$7:CB25)-SUM(CA$7:CA25),0)</f>
        <v>0</v>
      </c>
      <c r="CD25" s="45">
        <f t="shared" si="30"/>
        <v>0</v>
      </c>
    </row>
    <row r="26" spans="1:82" x14ac:dyDescent="0.25">
      <c r="A26" s="47">
        <f t="shared" si="13"/>
        <v>40836</v>
      </c>
      <c r="B26" s="54" t="s">
        <v>27</v>
      </c>
      <c r="C26" s="75"/>
      <c r="D26" s="75"/>
      <c r="E26" s="90">
        <f>IF(D26&gt;0,SUM(D$7:D26)-SUM(C$7:C26),0)</f>
        <v>0</v>
      </c>
      <c r="F26" s="45">
        <f t="shared" si="14"/>
        <v>0</v>
      </c>
      <c r="G26" s="75"/>
      <c r="H26" s="75"/>
      <c r="I26" s="75">
        <f>IF(H26&gt;0,SUM(H$7:H26)-SUM(G$7:G26),0)</f>
        <v>0</v>
      </c>
      <c r="J26" s="45">
        <f t="shared" si="33"/>
        <v>0</v>
      </c>
      <c r="K26" s="75"/>
      <c r="L26" s="75"/>
      <c r="M26" s="90">
        <f>IF(L26&gt;0,SUM(L$7:L26)-SUM(K$7:K26),0)</f>
        <v>0</v>
      </c>
      <c r="N26" s="45">
        <f t="shared" si="35"/>
        <v>0</v>
      </c>
      <c r="O26" s="35">
        <f t="shared" si="34"/>
        <v>0</v>
      </c>
      <c r="P26" s="35">
        <f t="shared" si="6"/>
        <v>0</v>
      </c>
      <c r="Q26" s="91">
        <f>IF(P26&gt;0,SUM(P$7:P26)-SUM(O$7:O26),0)</f>
        <v>0</v>
      </c>
      <c r="R26" s="45">
        <f t="shared" si="15"/>
        <v>0</v>
      </c>
      <c r="T26" s="47">
        <f t="shared" si="16"/>
        <v>40836</v>
      </c>
      <c r="U26" s="54" t="str">
        <f t="shared" si="7"/>
        <v>seg</v>
      </c>
      <c r="V26" s="75"/>
      <c r="W26" s="75"/>
      <c r="X26" s="92">
        <f>IF(W26&gt;0,SUM(W$7:W26)-SUM(V$7:V26),0)</f>
        <v>0</v>
      </c>
      <c r="Y26" s="60">
        <f t="shared" si="17"/>
        <v>0</v>
      </c>
      <c r="Z26" s="75"/>
      <c r="AA26" s="75"/>
      <c r="AB26" s="92">
        <f>IF(AA26&gt;0,SUM(AA$7:AA26)-SUM(Z$7:Z26),0)</f>
        <v>0</v>
      </c>
      <c r="AC26" s="60">
        <f t="shared" si="18"/>
        <v>0</v>
      </c>
      <c r="AD26" s="75"/>
      <c r="AE26" s="75"/>
      <c r="AF26" s="92">
        <f>IF(AE26&gt;0,SUM(AE$7:AE26)-SUM(AD$7:AD26),0)</f>
        <v>0</v>
      </c>
      <c r="AG26" s="60">
        <f t="shared" si="19"/>
        <v>0</v>
      </c>
      <c r="AH26" s="41">
        <f t="shared" si="3"/>
        <v>0</v>
      </c>
      <c r="AI26" s="41">
        <f t="shared" si="8"/>
        <v>0</v>
      </c>
      <c r="AJ26" s="93">
        <f>IF(AI26&gt;0,SUM(AI$7:AI26)-SUM(AH$7:AH26),0)</f>
        <v>0</v>
      </c>
      <c r="AK26" s="60">
        <f t="shared" si="20"/>
        <v>0</v>
      </c>
      <c r="AM26" s="47">
        <f t="shared" si="21"/>
        <v>40836</v>
      </c>
      <c r="AN26" s="54" t="str">
        <f t="shared" si="9"/>
        <v>seg</v>
      </c>
      <c r="AO26" s="75"/>
      <c r="AP26" s="75"/>
      <c r="AQ26" s="75">
        <f>IF(AP26&gt;0,SUM(AP$7:AP26)-SUM(AO$7:AO26),0)</f>
        <v>0</v>
      </c>
      <c r="AR26" s="45">
        <f t="shared" si="22"/>
        <v>0</v>
      </c>
      <c r="AS26" s="75"/>
      <c r="AT26" s="75"/>
      <c r="AU26" s="90">
        <f>IF(AT26&gt;0,SUM(AT$7:AT26)-SUM(AS$7:AS26),0)</f>
        <v>0</v>
      </c>
      <c r="AV26" s="45">
        <f t="shared" si="23"/>
        <v>0</v>
      </c>
      <c r="AW26" s="75"/>
      <c r="AX26" s="75"/>
      <c r="AY26" s="90">
        <f>IF(AX26&gt;0,SUM(AX$7:AX26)-SUM(AW$7:AW26),0)</f>
        <v>0</v>
      </c>
      <c r="AZ26" s="45">
        <f t="shared" si="31"/>
        <v>0</v>
      </c>
      <c r="BA26" s="35">
        <f t="shared" si="4"/>
        <v>0</v>
      </c>
      <c r="BB26" s="35">
        <f t="shared" si="10"/>
        <v>0</v>
      </c>
      <c r="BC26" s="91">
        <f>IF(BB26&gt;0,SUM(BB$7:BB26)-SUM(BA$7:BA26),0)</f>
        <v>0</v>
      </c>
      <c r="BD26" s="45">
        <f t="shared" si="24"/>
        <v>0</v>
      </c>
      <c r="BF26" s="47">
        <f t="shared" si="25"/>
        <v>40836</v>
      </c>
      <c r="BG26" s="54" t="str">
        <f t="shared" si="11"/>
        <v>seg</v>
      </c>
      <c r="BH26" s="75"/>
      <c r="BI26" s="75"/>
      <c r="BJ26" s="75">
        <f>IF(BI26&gt;0,SUM(BI$7:BI26)-SUM(BH$7:BH26),0)</f>
        <v>0</v>
      </c>
      <c r="BK26" s="45">
        <f t="shared" si="26"/>
        <v>0</v>
      </c>
      <c r="BL26" s="75"/>
      <c r="BM26" s="75"/>
      <c r="BN26" s="90">
        <f>IF(BM26&gt;0,SUM(BM$7:BM26)-SUM(BL$7:BL26),0)</f>
        <v>0</v>
      </c>
      <c r="BO26" s="45">
        <f t="shared" si="27"/>
        <v>0</v>
      </c>
      <c r="BP26" s="75"/>
      <c r="BQ26" s="75"/>
      <c r="BR26" s="90">
        <f>IF(BQ26&gt;0,SUM(BQ$7:BQ26)-SUM(BP$7:BP26),0)</f>
        <v>0</v>
      </c>
      <c r="BS26" s="45">
        <f t="shared" si="32"/>
        <v>0</v>
      </c>
      <c r="BT26" s="35">
        <f t="shared" si="5"/>
        <v>0</v>
      </c>
      <c r="BU26" s="35">
        <f t="shared" si="5"/>
        <v>0</v>
      </c>
      <c r="BV26" s="91">
        <f>IF(BU26&gt;0,SUM(BU$7:BU26)-SUM(BT$7:BT26),0)</f>
        <v>0</v>
      </c>
      <c r="BW26" s="45">
        <f t="shared" si="28"/>
        <v>0</v>
      </c>
      <c r="BY26" s="47">
        <f t="shared" si="29"/>
        <v>40836</v>
      </c>
      <c r="BZ26" s="54" t="str">
        <f t="shared" si="12"/>
        <v>seg</v>
      </c>
      <c r="CA26" s="75"/>
      <c r="CB26" s="75"/>
      <c r="CC26" s="90">
        <f>IF(CB26&gt;0,SUM(CB$7:CB26)-SUM(CA$7:CA26),0)</f>
        <v>0</v>
      </c>
      <c r="CD26" s="45">
        <f t="shared" si="30"/>
        <v>0</v>
      </c>
    </row>
    <row r="27" spans="1:82" x14ac:dyDescent="0.25">
      <c r="A27" s="47">
        <f t="shared" si="13"/>
        <v>40837</v>
      </c>
      <c r="B27" s="54" t="s">
        <v>28</v>
      </c>
      <c r="C27" s="75">
        <v>12017</v>
      </c>
      <c r="D27" s="75">
        <v>8286</v>
      </c>
      <c r="E27" s="90">
        <f>IF(D27&gt;0,SUM(D$7:D27)-SUM(C$7:C27),0)</f>
        <v>-10748</v>
      </c>
      <c r="F27" s="45">
        <f t="shared" si="14"/>
        <v>0.6895231755013731</v>
      </c>
      <c r="G27" s="75">
        <v>12017</v>
      </c>
      <c r="H27" s="75">
        <v>12151</v>
      </c>
      <c r="I27" s="75">
        <f>IF(H27&gt;0,SUM(H$7:H27)-SUM(G$7:G27),0)</f>
        <v>-12869</v>
      </c>
      <c r="J27" s="45">
        <f t="shared" si="33"/>
        <v>1.011150869601398</v>
      </c>
      <c r="K27" s="75">
        <v>12017</v>
      </c>
      <c r="L27" s="75">
        <v>10829</v>
      </c>
      <c r="M27" s="90">
        <f>IF(L27&gt;0,SUM(L$7:L27)-SUM(K$7:K27),0)</f>
        <v>-4380</v>
      </c>
      <c r="N27" s="45">
        <f t="shared" si="35"/>
        <v>0.9011400515935758</v>
      </c>
      <c r="O27" s="35">
        <f t="shared" si="34"/>
        <v>36051</v>
      </c>
      <c r="P27" s="35">
        <f t="shared" si="6"/>
        <v>31266</v>
      </c>
      <c r="Q27" s="91">
        <f>IF(P27&gt;0,SUM(P$7:P27)-SUM(O$7:O27),0)</f>
        <v>-27997</v>
      </c>
      <c r="R27" s="45">
        <f t="shared" si="15"/>
        <v>0.86727136556544893</v>
      </c>
      <c r="T27" s="47">
        <f t="shared" si="16"/>
        <v>40837</v>
      </c>
      <c r="U27" s="54" t="str">
        <f t="shared" si="7"/>
        <v>ter</v>
      </c>
      <c r="V27" s="75">
        <v>11360</v>
      </c>
      <c r="W27" s="75">
        <v>9840</v>
      </c>
      <c r="X27" s="92">
        <f>IF(W27&gt;0,SUM(W$7:W27)-SUM(V$7:V27),0)</f>
        <v>34567</v>
      </c>
      <c r="Y27" s="60">
        <f t="shared" si="17"/>
        <v>0.86619718309859151</v>
      </c>
      <c r="Z27" s="75">
        <v>11360</v>
      </c>
      <c r="AA27" s="75">
        <v>8285</v>
      </c>
      <c r="AB27" s="92">
        <f>IF(AA27&gt;0,SUM(AA$7:AA27)-SUM(Z$7:Z27),0)</f>
        <v>-3051</v>
      </c>
      <c r="AC27" s="60">
        <f t="shared" si="18"/>
        <v>0.72931338028169013</v>
      </c>
      <c r="AD27" s="75">
        <v>11360</v>
      </c>
      <c r="AE27" s="75">
        <v>6520</v>
      </c>
      <c r="AF27" s="92">
        <f>IF(AE27&gt;0,SUM(AE$7:AE27)-SUM(AD$7:AD27),0)</f>
        <v>-4740</v>
      </c>
      <c r="AG27" s="60">
        <f t="shared" si="19"/>
        <v>0.573943661971831</v>
      </c>
      <c r="AH27" s="41">
        <f t="shared" si="3"/>
        <v>34080</v>
      </c>
      <c r="AI27" s="41">
        <f t="shared" si="8"/>
        <v>24645</v>
      </c>
      <c r="AJ27" s="93">
        <f>IF(AI27&gt;0,SUM(AI$7:AI27)-SUM(AH$7:AH27),0)</f>
        <v>26776</v>
      </c>
      <c r="AK27" s="60">
        <f t="shared" si="20"/>
        <v>0.72315140845070425</v>
      </c>
      <c r="AM27" s="47">
        <f t="shared" si="21"/>
        <v>40837</v>
      </c>
      <c r="AN27" s="54" t="str">
        <f t="shared" si="9"/>
        <v>ter</v>
      </c>
      <c r="AO27" s="75">
        <v>7730</v>
      </c>
      <c r="AP27" s="75">
        <v>2600</v>
      </c>
      <c r="AQ27" s="75">
        <f>IF(AP27&gt;0,SUM(AP$7:AP27)-SUM(AO$7:AO27),0)</f>
        <v>-3181</v>
      </c>
      <c r="AR27" s="45">
        <f t="shared" si="22"/>
        <v>0.33635187580853815</v>
      </c>
      <c r="AS27" s="75">
        <v>7730</v>
      </c>
      <c r="AT27" s="75">
        <v>5180</v>
      </c>
      <c r="AU27" s="90">
        <f>IF(AT27&gt;0,SUM(AT$7:AT27)-SUM(AS$7:AS27),0)</f>
        <v>-18691</v>
      </c>
      <c r="AV27" s="45">
        <f t="shared" si="23"/>
        <v>0.67011642949547223</v>
      </c>
      <c r="AW27" s="75">
        <v>7730</v>
      </c>
      <c r="AX27" s="75">
        <v>4959</v>
      </c>
      <c r="AY27" s="90">
        <f>IF(AX27&gt;0,SUM(AX$7:AX27)-SUM(AW$7:AW27),0)</f>
        <v>-27735</v>
      </c>
      <c r="AZ27" s="45">
        <f t="shared" si="31"/>
        <v>0.64152652005174648</v>
      </c>
      <c r="BA27" s="35">
        <f t="shared" si="4"/>
        <v>23190</v>
      </c>
      <c r="BB27" s="35">
        <f t="shared" si="10"/>
        <v>12739</v>
      </c>
      <c r="BC27" s="91">
        <f>IF(BB27&gt;0,SUM(BB$7:BB27)-SUM(BA$7:BA27),0)</f>
        <v>-49607</v>
      </c>
      <c r="BD27" s="45">
        <f t="shared" si="24"/>
        <v>0.54933160845191897</v>
      </c>
      <c r="BF27" s="47">
        <f t="shared" si="25"/>
        <v>40837</v>
      </c>
      <c r="BG27" s="54" t="str">
        <f t="shared" si="11"/>
        <v>ter</v>
      </c>
      <c r="BH27" s="75">
        <v>16200</v>
      </c>
      <c r="BI27" s="75">
        <v>10876</v>
      </c>
      <c r="BJ27" s="75">
        <f>IF(BI27&gt;0,SUM(BI$7:BI27)-SUM(BH$7:BH27),0)</f>
        <v>-19854</v>
      </c>
      <c r="BK27" s="45">
        <f t="shared" si="26"/>
        <v>0.67135802469135808</v>
      </c>
      <c r="BL27" s="75">
        <v>7000</v>
      </c>
      <c r="BM27" s="75">
        <v>1867</v>
      </c>
      <c r="BN27" s="90">
        <f>IF(BM27&gt;0,SUM(BM$7:BM27)-SUM(BL$7:BL27),0)</f>
        <v>-22439</v>
      </c>
      <c r="BO27" s="45">
        <f t="shared" si="27"/>
        <v>0.26671428571428574</v>
      </c>
      <c r="BP27" s="75">
        <v>9880</v>
      </c>
      <c r="BQ27" s="75">
        <v>20362</v>
      </c>
      <c r="BR27" s="90">
        <f>IF(BQ27&gt;0,SUM(BQ$7:BQ27)-SUM(BP$7:BP27),0)</f>
        <v>15599</v>
      </c>
      <c r="BS27" s="45">
        <f t="shared" si="32"/>
        <v>2.060931174089069</v>
      </c>
      <c r="BT27" s="35">
        <f t="shared" si="5"/>
        <v>33080</v>
      </c>
      <c r="BU27" s="35">
        <f t="shared" si="5"/>
        <v>33105</v>
      </c>
      <c r="BV27" s="91">
        <f>IF(BU27&gt;0,SUM(BU$7:BU27)-SUM(BT$7:BT27),0)</f>
        <v>-26694</v>
      </c>
      <c r="BW27" s="45">
        <f t="shared" si="28"/>
        <v>1.0007557436517533</v>
      </c>
      <c r="BY27" s="47">
        <f t="shared" si="29"/>
        <v>40837</v>
      </c>
      <c r="BZ27" s="54" t="str">
        <f t="shared" si="12"/>
        <v>ter</v>
      </c>
      <c r="CA27" s="75">
        <v>2550</v>
      </c>
      <c r="CB27" s="75">
        <v>4598</v>
      </c>
      <c r="CC27" s="90">
        <f>IF(CB27&gt;0,SUM(CB$7:CB27)-SUM(CA$7:CA27),0)</f>
        <v>5438</v>
      </c>
      <c r="CD27" s="45">
        <f t="shared" si="30"/>
        <v>1.8031372549019609</v>
      </c>
    </row>
    <row r="28" spans="1:82" x14ac:dyDescent="0.25">
      <c r="A28" s="47">
        <f t="shared" si="13"/>
        <v>40838</v>
      </c>
      <c r="B28" s="54" t="s">
        <v>22</v>
      </c>
      <c r="C28" s="75">
        <v>12017</v>
      </c>
      <c r="D28" s="75">
        <v>12444</v>
      </c>
      <c r="E28" s="90">
        <f>IF(D28&gt;0,SUM(D$7:D28)-SUM(C$7:C28),0)</f>
        <v>-10321</v>
      </c>
      <c r="F28" s="45">
        <f t="shared" si="14"/>
        <v>1.0355329949238579</v>
      </c>
      <c r="G28" s="75">
        <v>12017</v>
      </c>
      <c r="H28" s="75">
        <v>9763</v>
      </c>
      <c r="I28" s="75">
        <f>IF(H28&gt;0,SUM(H$7:H28)-SUM(G$7:G28),0)</f>
        <v>-15123</v>
      </c>
      <c r="J28" s="45">
        <f t="shared" si="33"/>
        <v>0.8124323874511109</v>
      </c>
      <c r="K28" s="75">
        <v>12017</v>
      </c>
      <c r="L28" s="75">
        <v>10830</v>
      </c>
      <c r="M28" s="90">
        <f>IF(L28&gt;0,SUM(L$7:L28)-SUM(K$7:K28),0)</f>
        <v>-5567</v>
      </c>
      <c r="N28" s="45" t="s">
        <v>46</v>
      </c>
      <c r="O28" s="35">
        <f t="shared" si="34"/>
        <v>36051</v>
      </c>
      <c r="P28" s="35">
        <f t="shared" si="6"/>
        <v>33037</v>
      </c>
      <c r="Q28" s="91">
        <f>IF(P28&gt;0,SUM(P$7:P28)-SUM(O$7:O28),0)</f>
        <v>-31011</v>
      </c>
      <c r="R28" s="45">
        <f t="shared" si="15"/>
        <v>0.91639621647111036</v>
      </c>
      <c r="T28" s="47">
        <f t="shared" si="16"/>
        <v>40838</v>
      </c>
      <c r="U28" s="54" t="str">
        <f t="shared" si="7"/>
        <v>qua</v>
      </c>
      <c r="V28" s="75">
        <v>11360</v>
      </c>
      <c r="W28" s="75">
        <v>11945</v>
      </c>
      <c r="X28" s="92">
        <f>IF(W28&gt;0,SUM(W$7:W28)-SUM(V$7:V28),0)</f>
        <v>35152</v>
      </c>
      <c r="Y28" s="60">
        <f t="shared" si="17"/>
        <v>1.0514964788732395</v>
      </c>
      <c r="Z28" s="75">
        <v>11360</v>
      </c>
      <c r="AA28" s="75">
        <v>12956</v>
      </c>
      <c r="AB28" s="92">
        <f>IF(AA28&gt;0,SUM(AA$7:AA28)-SUM(Z$7:Z28),0)</f>
        <v>-1455</v>
      </c>
      <c r="AC28" s="60">
        <f t="shared" si="18"/>
        <v>1.1404929577464789</v>
      </c>
      <c r="AD28" s="75">
        <v>11360</v>
      </c>
      <c r="AE28" s="75">
        <v>12956</v>
      </c>
      <c r="AF28" s="92">
        <f>IF(AE28&gt;0,SUM(AE$7:AE28)-SUM(AD$7:AD28),0)</f>
        <v>-3144</v>
      </c>
      <c r="AG28" s="60">
        <f t="shared" si="19"/>
        <v>1.1404929577464789</v>
      </c>
      <c r="AH28" s="41">
        <f t="shared" si="3"/>
        <v>34080</v>
      </c>
      <c r="AI28" s="41">
        <f t="shared" si="8"/>
        <v>37857</v>
      </c>
      <c r="AJ28" s="93">
        <f>IF(AI28&gt;0,SUM(AI$7:AI28)-SUM(AH$7:AH28),0)</f>
        <v>30553</v>
      </c>
      <c r="AK28" s="60">
        <f t="shared" si="20"/>
        <v>1.1108274647887324</v>
      </c>
      <c r="AM28" s="47">
        <f t="shared" si="21"/>
        <v>40838</v>
      </c>
      <c r="AN28" s="54" t="str">
        <f t="shared" si="9"/>
        <v>qua</v>
      </c>
      <c r="AO28" s="75">
        <v>7730</v>
      </c>
      <c r="AP28" s="75">
        <v>10388</v>
      </c>
      <c r="AQ28" s="75">
        <f>IF(AP28&gt;0,SUM(AP$7:AP28)-SUM(AO$7:AO28),0)</f>
        <v>-523</v>
      </c>
      <c r="AR28" s="45">
        <f t="shared" si="22"/>
        <v>1.3438551099611902</v>
      </c>
      <c r="AS28" s="75">
        <v>7730</v>
      </c>
      <c r="AT28" s="75">
        <v>7564</v>
      </c>
      <c r="AU28" s="90">
        <f>IF(AT28&gt;0,SUM(AT$7:AT28)-SUM(AS$7:AS28),0)</f>
        <v>-18857</v>
      </c>
      <c r="AV28" s="45">
        <f t="shared" si="23"/>
        <v>0.97852522639068562</v>
      </c>
      <c r="AW28" s="75">
        <v>7730</v>
      </c>
      <c r="AX28" s="75">
        <v>6376</v>
      </c>
      <c r="AY28" s="90">
        <f>IF(AX28&gt;0,SUM(AX$7:AX28)-SUM(AW$7:AW28),0)</f>
        <v>-29089</v>
      </c>
      <c r="AZ28" s="45">
        <f t="shared" si="31"/>
        <v>0.82483829236739969</v>
      </c>
      <c r="BA28" s="35">
        <f t="shared" si="4"/>
        <v>23190</v>
      </c>
      <c r="BB28" s="35">
        <f t="shared" si="10"/>
        <v>24328</v>
      </c>
      <c r="BC28" s="91">
        <f>IF(BB28&gt;0,SUM(BB$7:BB28)-SUM(BA$7:BA28),0)</f>
        <v>-48469</v>
      </c>
      <c r="BD28" s="45">
        <f t="shared" si="24"/>
        <v>1.0490728762397585</v>
      </c>
      <c r="BF28" s="47">
        <f t="shared" si="25"/>
        <v>40838</v>
      </c>
      <c r="BG28" s="54" t="str">
        <f t="shared" si="11"/>
        <v>qua</v>
      </c>
      <c r="BH28" s="75">
        <v>16200</v>
      </c>
      <c r="BI28" s="75">
        <v>17765</v>
      </c>
      <c r="BJ28" s="75">
        <f>IF(BI28&gt;0,SUM(BI$7:BI28)-SUM(BH$7:BH28),0)</f>
        <v>-18289</v>
      </c>
      <c r="BK28" s="45">
        <f t="shared" si="26"/>
        <v>1.096604938271605</v>
      </c>
      <c r="BL28" s="75">
        <v>7000</v>
      </c>
      <c r="BM28" s="75">
        <v>6508</v>
      </c>
      <c r="BN28" s="90">
        <f>IF(BM28&gt;0,SUM(BM$7:BM28)-SUM(BL$7:BL28),0)</f>
        <v>-22931</v>
      </c>
      <c r="BO28" s="45">
        <f t="shared" si="27"/>
        <v>0.92971428571428572</v>
      </c>
      <c r="BP28" s="75">
        <v>9880</v>
      </c>
      <c r="BQ28" s="75">
        <v>21047</v>
      </c>
      <c r="BR28" s="90">
        <f>IF(BQ28&gt;0,SUM(BQ$7:BQ28)-SUM(BP$7:BP28),0)</f>
        <v>26766</v>
      </c>
      <c r="BS28" s="45">
        <f t="shared" si="32"/>
        <v>2.1302631578947366</v>
      </c>
      <c r="BT28" s="35">
        <f t="shared" si="5"/>
        <v>33080</v>
      </c>
      <c r="BU28" s="35">
        <f t="shared" si="5"/>
        <v>45320</v>
      </c>
      <c r="BV28" s="91">
        <f>IF(BU28&gt;0,SUM(BU$7:BU28)-SUM(BT$7:BT28),0)</f>
        <v>-14454</v>
      </c>
      <c r="BW28" s="45">
        <f t="shared" si="28"/>
        <v>1.370012091898428</v>
      </c>
      <c r="BY28" s="47">
        <f t="shared" si="29"/>
        <v>40838</v>
      </c>
      <c r="BZ28" s="54" t="str">
        <f t="shared" si="12"/>
        <v>qua</v>
      </c>
      <c r="CA28" s="75">
        <v>2550</v>
      </c>
      <c r="CB28" s="75">
        <v>6520</v>
      </c>
      <c r="CC28" s="90">
        <f>IF(CB28&gt;0,SUM(CB$7:CB28)-SUM(CA$7:CA28),0)</f>
        <v>9408</v>
      </c>
      <c r="CD28" s="45">
        <f t="shared" si="30"/>
        <v>2.556862745098039</v>
      </c>
    </row>
    <row r="29" spans="1:82" x14ac:dyDescent="0.25">
      <c r="A29" s="47">
        <f t="shared" si="13"/>
        <v>40839</v>
      </c>
      <c r="B29" s="54" t="s">
        <v>23</v>
      </c>
      <c r="C29" s="75">
        <v>12017</v>
      </c>
      <c r="D29" s="75">
        <v>13324</v>
      </c>
      <c r="E29" s="90">
        <f>IF(D29&gt;0,SUM(D$7:D29)-SUM(C$7:C29),0)</f>
        <v>-9014</v>
      </c>
      <c r="F29" s="45">
        <f t="shared" si="14"/>
        <v>1.108762586336024</v>
      </c>
      <c r="G29" s="75">
        <v>12017</v>
      </c>
      <c r="H29" s="75">
        <v>18457</v>
      </c>
      <c r="I29" s="75">
        <f>IF(H29&gt;0,SUM(H$7:H29)-SUM(G$7:G29),0)</f>
        <v>-8683</v>
      </c>
      <c r="J29" s="45">
        <f t="shared" si="33"/>
        <v>1.5359074644253974</v>
      </c>
      <c r="K29" s="75">
        <v>12017</v>
      </c>
      <c r="L29" s="75">
        <v>16611</v>
      </c>
      <c r="M29" s="90">
        <f>IF(L29&gt;0,SUM(L$7:L29)-SUM(K$7:K29),0)</f>
        <v>-973</v>
      </c>
      <c r="N29" s="45">
        <f t="shared" si="35"/>
        <v>1.3822917533494217</v>
      </c>
      <c r="O29" s="35">
        <f t="shared" si="34"/>
        <v>36051</v>
      </c>
      <c r="P29" s="35">
        <f t="shared" si="6"/>
        <v>48392</v>
      </c>
      <c r="Q29" s="91">
        <f>IF(P29&gt;0,SUM(P$7:P29)-SUM(O$7:O29),0)</f>
        <v>-18670</v>
      </c>
      <c r="R29" s="45">
        <f t="shared" si="15"/>
        <v>1.3423206013702811</v>
      </c>
      <c r="T29" s="47">
        <f t="shared" si="16"/>
        <v>40839</v>
      </c>
      <c r="U29" s="54" t="str">
        <f t="shared" si="7"/>
        <v>qui</v>
      </c>
      <c r="V29" s="75">
        <v>11360</v>
      </c>
      <c r="W29" s="75">
        <v>12540</v>
      </c>
      <c r="X29" s="92">
        <f>IF(W29&gt;0,SUM(W$7:W29)-SUM(V$7:V29),0)</f>
        <v>36332</v>
      </c>
      <c r="Y29" s="60">
        <f t="shared" si="17"/>
        <v>1.1038732394366197</v>
      </c>
      <c r="Z29" s="75">
        <v>11360</v>
      </c>
      <c r="AA29" s="75">
        <v>11758</v>
      </c>
      <c r="AB29" s="92">
        <f>IF(AA29&gt;0,SUM(AA$7:AA29)-SUM(Z$7:Z29),0)</f>
        <v>-1057</v>
      </c>
      <c r="AC29" s="60">
        <f t="shared" si="18"/>
        <v>1.0350352112676056</v>
      </c>
      <c r="AD29" s="75">
        <v>11360</v>
      </c>
      <c r="AE29" s="75">
        <v>11459</v>
      </c>
      <c r="AF29" s="92">
        <f>IF(AE29&gt;0,SUM(AE$7:AE29)-SUM(AD$7:AD29),0)</f>
        <v>-3045</v>
      </c>
      <c r="AG29" s="60">
        <f t="shared" si="19"/>
        <v>1.0087147887323944</v>
      </c>
      <c r="AH29" s="41">
        <f t="shared" si="3"/>
        <v>34080</v>
      </c>
      <c r="AI29" s="41">
        <f t="shared" si="8"/>
        <v>35757</v>
      </c>
      <c r="AJ29" s="93">
        <f>IF(AI29&gt;0,SUM(AI$7:AI29)-SUM(AH$7:AH29),0)</f>
        <v>32230</v>
      </c>
      <c r="AK29" s="60">
        <f t="shared" si="20"/>
        <v>1.0492077464788732</v>
      </c>
      <c r="AM29" s="47">
        <f t="shared" si="21"/>
        <v>40839</v>
      </c>
      <c r="AN29" s="54" t="str">
        <f t="shared" si="9"/>
        <v>qui</v>
      </c>
      <c r="AO29" s="75">
        <v>7730</v>
      </c>
      <c r="AP29" s="75">
        <v>11219</v>
      </c>
      <c r="AQ29" s="75">
        <f>IF(AP29&gt;0,SUM(AP$7:AP29)-SUM(AO$7:AO29),0)</f>
        <v>2966</v>
      </c>
      <c r="AR29" s="45">
        <f t="shared" si="22"/>
        <v>1.4513583441138422</v>
      </c>
      <c r="AS29" s="75">
        <v>7730</v>
      </c>
      <c r="AT29" s="75">
        <v>8684</v>
      </c>
      <c r="AU29" s="90">
        <f>IF(AT29&gt;0,SUM(AT$7:AT29)-SUM(AS$7:AS29),0)</f>
        <v>-17903</v>
      </c>
      <c r="AV29" s="45">
        <f t="shared" si="23"/>
        <v>1.1234152652005174</v>
      </c>
      <c r="AW29" s="75">
        <v>7730</v>
      </c>
      <c r="AX29" s="75">
        <v>8007</v>
      </c>
      <c r="AY29" s="90">
        <f>IF(AX29&gt;0,SUM(AX$7:AX29)-SUM(AW$7:AW29),0)</f>
        <v>-28812</v>
      </c>
      <c r="AZ29" s="45">
        <f t="shared" si="31"/>
        <v>1.0358344113842173</v>
      </c>
      <c r="BA29" s="35">
        <f t="shared" si="4"/>
        <v>23190</v>
      </c>
      <c r="BB29" s="35">
        <f t="shared" si="10"/>
        <v>27910</v>
      </c>
      <c r="BC29" s="91">
        <f>IF(BB29&gt;0,SUM(BB$7:BB29)-SUM(BA$7:BA29),0)</f>
        <v>-43749</v>
      </c>
      <c r="BD29" s="45">
        <f t="shared" si="24"/>
        <v>1.2035360068995256</v>
      </c>
      <c r="BF29" s="47">
        <f t="shared" si="25"/>
        <v>40839</v>
      </c>
      <c r="BG29" s="54" t="str">
        <f t="shared" si="11"/>
        <v>qui</v>
      </c>
      <c r="BH29" s="75">
        <v>16200</v>
      </c>
      <c r="BI29" s="75">
        <v>19841</v>
      </c>
      <c r="BJ29" s="75">
        <f>IF(BI29&gt;0,SUM(BI$7:BI29)-SUM(BH$7:BH29),0)</f>
        <v>-14648</v>
      </c>
      <c r="BK29" s="45">
        <f t="shared" si="26"/>
        <v>1.2247530864197531</v>
      </c>
      <c r="BL29" s="75">
        <v>7000</v>
      </c>
      <c r="BM29" s="75">
        <v>8066</v>
      </c>
      <c r="BN29" s="90">
        <f>IF(BM29&gt;0,SUM(BM$7:BM29)-SUM(BL$7:BL29),0)</f>
        <v>-21865</v>
      </c>
      <c r="BO29" s="45">
        <f t="shared" si="27"/>
        <v>1.1522857142857144</v>
      </c>
      <c r="BP29" s="75">
        <v>9880</v>
      </c>
      <c r="BQ29" s="75">
        <v>25083</v>
      </c>
      <c r="BR29" s="90">
        <f>IF(BQ29&gt;0,SUM(BQ$7:BQ29)-SUM(BP$7:BP29),0)</f>
        <v>41969</v>
      </c>
      <c r="BS29" s="45">
        <f t="shared" si="32"/>
        <v>2.5387651821862347</v>
      </c>
      <c r="BT29" s="35">
        <f t="shared" si="5"/>
        <v>33080</v>
      </c>
      <c r="BU29" s="35">
        <f t="shared" si="5"/>
        <v>52990</v>
      </c>
      <c r="BV29" s="91">
        <f>IF(BU29&gt;0,SUM(BU$7:BU29)-SUM(BT$7:BT29),0)</f>
        <v>5456</v>
      </c>
      <c r="BW29" s="45">
        <f t="shared" si="28"/>
        <v>1.6018742442563483</v>
      </c>
      <c r="BY29" s="47">
        <f t="shared" si="29"/>
        <v>40839</v>
      </c>
      <c r="BZ29" s="54" t="str">
        <f t="shared" si="12"/>
        <v>qui</v>
      </c>
      <c r="CA29" s="75">
        <v>2550</v>
      </c>
      <c r="CB29" s="75">
        <v>1198</v>
      </c>
      <c r="CC29" s="90">
        <f>IF(CB29&gt;0,SUM(CB$7:CB29)-SUM(CA$7:CA29),0)</f>
        <v>8056</v>
      </c>
      <c r="CD29" s="45">
        <f t="shared" si="30"/>
        <v>0.46980392156862744</v>
      </c>
    </row>
    <row r="30" spans="1:82" x14ac:dyDescent="0.25">
      <c r="A30" s="47">
        <f t="shared" si="13"/>
        <v>40840</v>
      </c>
      <c r="B30" s="54" t="s">
        <v>24</v>
      </c>
      <c r="C30" s="75">
        <v>12017</v>
      </c>
      <c r="D30" s="75">
        <v>19405</v>
      </c>
      <c r="E30" s="90">
        <f>IF(D30&gt;0,SUM(D$7:D30)-SUM(C$7:C30),0)</f>
        <v>-1626</v>
      </c>
      <c r="F30" s="45">
        <f t="shared" si="14"/>
        <v>1.6147957060830491</v>
      </c>
      <c r="G30" s="75">
        <v>12017</v>
      </c>
      <c r="H30" s="75">
        <v>12467</v>
      </c>
      <c r="I30" s="75">
        <f>IF(H30&gt;0,SUM(H$7:H30)-SUM(G$7:G30),0)</f>
        <v>-8233</v>
      </c>
      <c r="J30" s="45">
        <f t="shared" si="33"/>
        <v>1.0374469501539485</v>
      </c>
      <c r="K30" s="75">
        <v>12017</v>
      </c>
      <c r="L30" s="75">
        <v>12958</v>
      </c>
      <c r="M30" s="90">
        <f>IF(L30&gt;0,SUM(L$7:L30)-SUM(K$7:K30),0)</f>
        <v>-32</v>
      </c>
      <c r="N30" s="45">
        <f t="shared" si="35"/>
        <v>1.0783057335441457</v>
      </c>
      <c r="O30" s="35">
        <f t="shared" si="34"/>
        <v>36051</v>
      </c>
      <c r="P30" s="35">
        <f t="shared" si="6"/>
        <v>44830</v>
      </c>
      <c r="Q30" s="91">
        <f>IF(P30&gt;0,SUM(P$7:P30)-SUM(O$7:O30),0)</f>
        <v>-9891</v>
      </c>
      <c r="R30" s="45">
        <f t="shared" si="15"/>
        <v>1.2435161299270479</v>
      </c>
      <c r="T30" s="47">
        <f t="shared" si="16"/>
        <v>40840</v>
      </c>
      <c r="U30" s="54" t="str">
        <f t="shared" si="7"/>
        <v>sex</v>
      </c>
      <c r="V30" s="75">
        <v>11360</v>
      </c>
      <c r="W30" s="75">
        <v>11889</v>
      </c>
      <c r="X30" s="92">
        <f>IF(W30&gt;0,SUM(W$7:W30)-SUM(V$7:V30),0)</f>
        <v>36861</v>
      </c>
      <c r="Y30" s="60">
        <f t="shared" si="17"/>
        <v>1.0465669014084507</v>
      </c>
      <c r="Z30" s="75">
        <v>11360</v>
      </c>
      <c r="AA30" s="75">
        <v>11992</v>
      </c>
      <c r="AB30" s="92">
        <f>IF(AA30&gt;0,SUM(AA$7:AA30)-SUM(Z$7:Z30),0)</f>
        <v>-425</v>
      </c>
      <c r="AC30" s="60">
        <f t="shared" si="18"/>
        <v>1.0556338028169014</v>
      </c>
      <c r="AD30" s="75">
        <v>11360</v>
      </c>
      <c r="AE30" s="75">
        <v>10960</v>
      </c>
      <c r="AF30" s="92">
        <f>IF(AE30&gt;0,SUM(AE$7:AE30)-SUM(AD$7:AD30),0)</f>
        <v>-3445</v>
      </c>
      <c r="AG30" s="60">
        <f t="shared" si="19"/>
        <v>0.96478873239436624</v>
      </c>
      <c r="AH30" s="41">
        <f t="shared" si="3"/>
        <v>34080</v>
      </c>
      <c r="AI30" s="41">
        <f t="shared" si="8"/>
        <v>34841</v>
      </c>
      <c r="AJ30" s="93">
        <f>IF(AI30&gt;0,SUM(AI$7:AI30)-SUM(AH$7:AH30),0)</f>
        <v>32991</v>
      </c>
      <c r="AK30" s="60">
        <f t="shared" si="20"/>
        <v>1.0223298122065727</v>
      </c>
      <c r="AM30" s="47">
        <f t="shared" si="21"/>
        <v>40840</v>
      </c>
      <c r="AN30" s="54" t="str">
        <f t="shared" si="9"/>
        <v>sex</v>
      </c>
      <c r="AO30" s="75">
        <v>7730</v>
      </c>
      <c r="AP30" s="75">
        <v>10389</v>
      </c>
      <c r="AQ30" s="75">
        <f>IF(AP30&gt;0,SUM(AP$7:AP30)-SUM(AO$7:AO30),0)</f>
        <v>5625</v>
      </c>
      <c r="AR30" s="45">
        <f t="shared" si="22"/>
        <v>1.3439844760672703</v>
      </c>
      <c r="AS30" s="75">
        <v>7730</v>
      </c>
      <c r="AT30" s="75">
        <v>7145</v>
      </c>
      <c r="AU30" s="90">
        <f>IF(AT30&gt;0,SUM(AT$7:AT30)-SUM(AS$7:AS30),0)</f>
        <v>-18488</v>
      </c>
      <c r="AV30" s="45">
        <f t="shared" si="23"/>
        <v>0.9243208279430789</v>
      </c>
      <c r="AW30" s="75">
        <v>7730</v>
      </c>
      <c r="AX30" s="75">
        <v>6289</v>
      </c>
      <c r="AY30" s="90">
        <f>IF(AX30&gt;0,SUM(AX$7:AX30)-SUM(AW$7:AW30),0)</f>
        <v>-30253</v>
      </c>
      <c r="AZ30" s="45">
        <f t="shared" si="31"/>
        <v>0.81358344113842174</v>
      </c>
      <c r="BA30" s="35">
        <f t="shared" si="4"/>
        <v>23190</v>
      </c>
      <c r="BB30" s="35">
        <f t="shared" si="10"/>
        <v>23823</v>
      </c>
      <c r="BC30" s="91">
        <f>IF(BB30&gt;0,SUM(BB$7:BB30)-SUM(BA$7:BA30),0)</f>
        <v>-43116</v>
      </c>
      <c r="BD30" s="45">
        <f t="shared" si="24"/>
        <v>1.0272962483829238</v>
      </c>
      <c r="BF30" s="47">
        <f t="shared" si="25"/>
        <v>40840</v>
      </c>
      <c r="BG30" s="54" t="str">
        <f t="shared" si="11"/>
        <v>sex</v>
      </c>
      <c r="BH30" s="75">
        <v>16200</v>
      </c>
      <c r="BI30" s="75">
        <v>15261</v>
      </c>
      <c r="BJ30" s="75">
        <f>IF(BI30&gt;0,SUM(BI$7:BI30)-SUM(BH$7:BH30),0)</f>
        <v>-15587</v>
      </c>
      <c r="BK30" s="45">
        <f t="shared" si="26"/>
        <v>0.94203703703703701</v>
      </c>
      <c r="BL30" s="75">
        <v>7000</v>
      </c>
      <c r="BM30" s="75">
        <v>8068</v>
      </c>
      <c r="BN30" s="90">
        <f>IF(BM30&gt;0,SUM(BM$7:BM30)-SUM(BL$7:BL30),0)</f>
        <v>-20797</v>
      </c>
      <c r="BO30" s="45">
        <f t="shared" si="27"/>
        <v>1.1525714285714286</v>
      </c>
      <c r="BP30" s="75">
        <v>9880</v>
      </c>
      <c r="BQ30" s="75">
        <v>23518</v>
      </c>
      <c r="BR30" s="90">
        <f>IF(BQ30&gt;0,SUM(BQ$7:BQ30)-SUM(BP$7:BP30),0)</f>
        <v>55607</v>
      </c>
      <c r="BS30" s="45">
        <f t="shared" si="32"/>
        <v>2.3803643724696357</v>
      </c>
      <c r="BT30" s="35">
        <f t="shared" si="5"/>
        <v>33080</v>
      </c>
      <c r="BU30" s="35">
        <f t="shared" si="5"/>
        <v>46847</v>
      </c>
      <c r="BV30" s="91">
        <f>IF(BU30&gt;0,SUM(BU$7:BU30)-SUM(BT$7:BT30),0)</f>
        <v>19223</v>
      </c>
      <c r="BW30" s="45">
        <f t="shared" si="28"/>
        <v>1.4161729141475212</v>
      </c>
      <c r="BY30" s="47">
        <f t="shared" si="29"/>
        <v>40840</v>
      </c>
      <c r="BZ30" s="54" t="str">
        <f t="shared" si="12"/>
        <v>sex</v>
      </c>
      <c r="CA30" s="75">
        <v>2550</v>
      </c>
      <c r="CB30" s="75">
        <v>1</v>
      </c>
      <c r="CC30" s="90">
        <f>IF(CB30&gt;0,SUM(CB$7:CB30)-SUM(CA$7:CA30),0)</f>
        <v>5507</v>
      </c>
      <c r="CD30" s="45">
        <f t="shared" si="30"/>
        <v>3.9215686274509802E-4</v>
      </c>
    </row>
    <row r="31" spans="1:82" x14ac:dyDescent="0.25">
      <c r="A31" s="47">
        <f t="shared" si="13"/>
        <v>40841</v>
      </c>
      <c r="B31" s="54" t="s">
        <v>25</v>
      </c>
      <c r="C31" s="75">
        <v>12017</v>
      </c>
      <c r="D31" s="75">
        <v>8730</v>
      </c>
      <c r="E31" s="90">
        <f>IF(D31&gt;0,SUM(D$7:D31)-SUM(C$7:C31),0)</f>
        <v>-4913</v>
      </c>
      <c r="F31" s="45">
        <f t="shared" si="14"/>
        <v>0.72647083298660231</v>
      </c>
      <c r="G31" s="75">
        <v>12017</v>
      </c>
      <c r="H31" s="75">
        <v>9215</v>
      </c>
      <c r="I31" s="75">
        <f>IF(H31&gt;0,SUM(H$7:H31)-SUM(G$7:G31),0)</f>
        <v>-11035</v>
      </c>
      <c r="J31" s="45">
        <f t="shared" si="33"/>
        <v>0.76683032370808024</v>
      </c>
      <c r="K31" s="75">
        <v>12017</v>
      </c>
      <c r="L31" s="75">
        <v>9817</v>
      </c>
      <c r="M31" s="90">
        <f>IF(L31&gt;0,SUM(L$7:L31)-SUM(K$7:K31),0)</f>
        <v>-2232</v>
      </c>
      <c r="N31" s="45">
        <f t="shared" si="35"/>
        <v>0.81692602146958471</v>
      </c>
      <c r="O31" s="35">
        <f t="shared" si="34"/>
        <v>36051</v>
      </c>
      <c r="P31" s="35">
        <f t="shared" si="6"/>
        <v>27762</v>
      </c>
      <c r="Q31" s="91">
        <f>IF(P31&gt;0,SUM(P$7:P31)-SUM(O$7:O31),0)</f>
        <v>-18180</v>
      </c>
      <c r="R31" s="45">
        <f t="shared" si="15"/>
        <v>0.77007572605475572</v>
      </c>
      <c r="T31" s="47">
        <f t="shared" si="16"/>
        <v>40841</v>
      </c>
      <c r="U31" s="54" t="str">
        <f t="shared" si="7"/>
        <v>sáb</v>
      </c>
      <c r="V31" s="75">
        <v>11360</v>
      </c>
      <c r="W31" s="75">
        <v>14457</v>
      </c>
      <c r="X31" s="92">
        <f>IF(W31&gt;0,SUM(W$7:W31)-SUM(V$7:V31),0)</f>
        <v>39958</v>
      </c>
      <c r="Y31" s="60">
        <f t="shared" si="17"/>
        <v>1.2726232394366197</v>
      </c>
      <c r="Z31" s="75">
        <v>11360</v>
      </c>
      <c r="AA31" s="75">
        <v>14603</v>
      </c>
      <c r="AB31" s="92">
        <f>IF(AA31&gt;0,SUM(AA$7:AA31)-SUM(Z$7:Z31),0)</f>
        <v>2818</v>
      </c>
      <c r="AC31" s="60">
        <f t="shared" si="18"/>
        <v>1.2854753521126761</v>
      </c>
      <c r="AD31" s="75">
        <v>11360</v>
      </c>
      <c r="AE31" s="75">
        <v>11460</v>
      </c>
      <c r="AF31" s="92">
        <f>IF(AE31&gt;0,SUM(AE$7:AE31)-SUM(AD$7:AD31),0)</f>
        <v>-3345</v>
      </c>
      <c r="AG31" s="60">
        <f t="shared" si="19"/>
        <v>1.0088028169014085</v>
      </c>
      <c r="AH31" s="41">
        <f t="shared" si="3"/>
        <v>34080</v>
      </c>
      <c r="AI31" s="41">
        <f t="shared" si="8"/>
        <v>40520</v>
      </c>
      <c r="AJ31" s="93">
        <f>IF(AI31&gt;0,SUM(AI$7:AI31)-SUM(AH$7:AH31),0)</f>
        <v>39431</v>
      </c>
      <c r="AK31" s="60">
        <f t="shared" si="20"/>
        <v>1.1889671361502347</v>
      </c>
      <c r="AM31" s="47">
        <f t="shared" si="21"/>
        <v>40841</v>
      </c>
      <c r="AN31" s="54" t="str">
        <f t="shared" si="9"/>
        <v>sáb</v>
      </c>
      <c r="AO31" s="75">
        <v>7730</v>
      </c>
      <c r="AP31" s="75">
        <v>8692</v>
      </c>
      <c r="AQ31" s="75">
        <f>IF(AP31&gt;0,SUM(AP$7:AP31)-SUM(AO$7:AO31),0)</f>
        <v>6587</v>
      </c>
      <c r="AR31" s="45">
        <f t="shared" si="22"/>
        <v>1.1244501940491591</v>
      </c>
      <c r="AS31" s="75">
        <v>7730</v>
      </c>
      <c r="AT31" s="75">
        <v>5370</v>
      </c>
      <c r="AU31" s="90">
        <f>IF(AT31&gt;0,SUM(AT$7:AT31)-SUM(AS$7:AS31),0)</f>
        <v>-20848</v>
      </c>
      <c r="AV31" s="45">
        <f t="shared" si="23"/>
        <v>0.69469598965071155</v>
      </c>
      <c r="AW31" s="75">
        <v>7730</v>
      </c>
      <c r="AX31" s="75">
        <v>5149</v>
      </c>
      <c r="AY31" s="90">
        <f>IF(AX31&gt;0,SUM(AX$7:AX31)-SUM(AW$7:AW31),0)</f>
        <v>-32834</v>
      </c>
      <c r="AZ31" s="45">
        <f t="shared" si="31"/>
        <v>0.66610608020698581</v>
      </c>
      <c r="BA31" s="35">
        <f t="shared" si="4"/>
        <v>23190</v>
      </c>
      <c r="BB31" s="35">
        <f t="shared" si="10"/>
        <v>19211</v>
      </c>
      <c r="BC31" s="91">
        <f>IF(BB31&gt;0,SUM(BB$7:BB31)-SUM(BA$7:BA31),0)</f>
        <v>-47095</v>
      </c>
      <c r="BD31" s="45">
        <f t="shared" si="24"/>
        <v>0.82841742130228546</v>
      </c>
      <c r="BF31" s="47">
        <f t="shared" si="25"/>
        <v>40841</v>
      </c>
      <c r="BG31" s="54" t="str">
        <f t="shared" si="11"/>
        <v>sáb</v>
      </c>
      <c r="BH31" s="75">
        <v>16200</v>
      </c>
      <c r="BI31" s="75">
        <v>24035</v>
      </c>
      <c r="BJ31" s="75">
        <f>IF(BI31&gt;0,SUM(BI$7:BI31)-SUM(BH$7:BH31),0)</f>
        <v>-7752</v>
      </c>
      <c r="BK31" s="45">
        <f t="shared" si="26"/>
        <v>1.4836419753086421</v>
      </c>
      <c r="BL31" s="75">
        <v>7000</v>
      </c>
      <c r="BM31" s="75">
        <v>8358</v>
      </c>
      <c r="BN31" s="90">
        <f>IF(BM31&gt;0,SUM(BM$7:BM31)-SUM(BL$7:BL31),0)</f>
        <v>-19439</v>
      </c>
      <c r="BO31" s="45">
        <f t="shared" si="27"/>
        <v>1.194</v>
      </c>
      <c r="BP31" s="75">
        <v>9880</v>
      </c>
      <c r="BQ31" s="75">
        <v>28629</v>
      </c>
      <c r="BR31" s="90">
        <f>IF(BQ31&gt;0,SUM(BQ$7:BQ31)-SUM(BP$7:BP31),0)</f>
        <v>74356</v>
      </c>
      <c r="BS31" s="45">
        <f t="shared" si="32"/>
        <v>2.897672064777328</v>
      </c>
      <c r="BT31" s="35">
        <f t="shared" si="5"/>
        <v>33080</v>
      </c>
      <c r="BU31" s="35">
        <f t="shared" si="5"/>
        <v>61022</v>
      </c>
      <c r="BV31" s="91">
        <f>IF(BU31&gt;0,SUM(BU$7:BU31)-SUM(BT$7:BT31),0)</f>
        <v>47165</v>
      </c>
      <c r="BW31" s="45">
        <f t="shared" si="28"/>
        <v>1.8446795646916565</v>
      </c>
      <c r="BY31" s="47">
        <f t="shared" si="29"/>
        <v>40841</v>
      </c>
      <c r="BZ31" s="54" t="str">
        <f t="shared" si="12"/>
        <v>sáb</v>
      </c>
      <c r="CA31" s="75">
        <v>2550</v>
      </c>
      <c r="CB31" s="75">
        <v>5128</v>
      </c>
      <c r="CC31" s="90">
        <f>IF(CB31&gt;0,SUM(CB$7:CB31)-SUM(CA$7:CA31),0)</f>
        <v>8085</v>
      </c>
      <c r="CD31" s="45">
        <f t="shared" si="30"/>
        <v>2.0109803921568625</v>
      </c>
    </row>
    <row r="32" spans="1:82" x14ac:dyDescent="0.25">
      <c r="A32" s="47">
        <f t="shared" si="13"/>
        <v>40842</v>
      </c>
      <c r="B32" s="54" t="s">
        <v>26</v>
      </c>
      <c r="C32" s="75"/>
      <c r="D32" s="75">
        <v>19288</v>
      </c>
      <c r="E32" s="90">
        <f>IF(D32&gt;0,SUM(D$7:D32)-SUM(C$7:C32),0)</f>
        <v>14375</v>
      </c>
      <c r="F32" s="45">
        <f t="shared" si="14"/>
        <v>0</v>
      </c>
      <c r="G32" s="75"/>
      <c r="H32" s="75"/>
      <c r="I32" s="75">
        <f>IF(H32&gt;0,SUM(H$7:H32)-SUM(G$7:G32),0)</f>
        <v>0</v>
      </c>
      <c r="J32" s="45">
        <f t="shared" si="33"/>
        <v>0</v>
      </c>
      <c r="K32" s="75"/>
      <c r="L32" s="75"/>
      <c r="M32" s="90">
        <f>IF(L32&gt;0,SUM(L$7:L32)-SUM(K$7:K32),0)</f>
        <v>0</v>
      </c>
      <c r="N32" s="45">
        <f t="shared" si="35"/>
        <v>0</v>
      </c>
      <c r="O32" s="35">
        <f t="shared" si="34"/>
        <v>0</v>
      </c>
      <c r="P32" s="35">
        <f t="shared" si="6"/>
        <v>19288</v>
      </c>
      <c r="Q32" s="91">
        <f>IF(P32&gt;0,SUM(P$7:P32)-SUM(O$7:O32),0)</f>
        <v>1108</v>
      </c>
      <c r="R32" s="45">
        <f t="shared" si="15"/>
        <v>0</v>
      </c>
      <c r="T32" s="47">
        <f t="shared" si="16"/>
        <v>40842</v>
      </c>
      <c r="U32" s="54" t="str">
        <f t="shared" si="7"/>
        <v>dom</v>
      </c>
      <c r="V32" s="75"/>
      <c r="W32" s="75">
        <v>18184</v>
      </c>
      <c r="X32" s="92">
        <f>IF(W32&gt;0,SUM(W$7:W32)-SUM(V$7:V32),0)</f>
        <v>58142</v>
      </c>
      <c r="Y32" s="60">
        <f t="shared" si="17"/>
        <v>0</v>
      </c>
      <c r="Z32" s="75"/>
      <c r="AA32" s="75"/>
      <c r="AB32" s="92">
        <f>IF(AA32&gt;0,SUM(AA$7:AA32)-SUM(Z$7:Z32),0)</f>
        <v>0</v>
      </c>
      <c r="AC32" s="60">
        <f t="shared" si="18"/>
        <v>0</v>
      </c>
      <c r="AD32" s="75"/>
      <c r="AE32" s="75"/>
      <c r="AF32" s="92">
        <f>IF(AE32&gt;0,SUM(AE$7:AE32)-SUM(AD$7:AD32),0)</f>
        <v>0</v>
      </c>
      <c r="AG32" s="60">
        <f t="shared" si="19"/>
        <v>0</v>
      </c>
      <c r="AH32" s="41">
        <f t="shared" si="3"/>
        <v>0</v>
      </c>
      <c r="AI32" s="41">
        <f t="shared" si="8"/>
        <v>18184</v>
      </c>
      <c r="AJ32" s="93">
        <f>IF(AI32&gt;0,SUM(AI$7:AI32)-SUM(AH$7:AH32),0)</f>
        <v>57615</v>
      </c>
      <c r="AK32" s="60">
        <f t="shared" si="20"/>
        <v>0</v>
      </c>
      <c r="AM32" s="47">
        <f t="shared" si="21"/>
        <v>40842</v>
      </c>
      <c r="AN32" s="54" t="str">
        <f t="shared" si="9"/>
        <v>dom</v>
      </c>
      <c r="AO32" s="75"/>
      <c r="AP32" s="75">
        <v>13178</v>
      </c>
      <c r="AQ32" s="75">
        <f>IF(AP32&gt;0,SUM(AP$7:AP32)-SUM(AO$7:AO32),0)</f>
        <v>19765</v>
      </c>
      <c r="AR32" s="45">
        <f t="shared" si="22"/>
        <v>0</v>
      </c>
      <c r="AS32" s="75"/>
      <c r="AT32" s="75"/>
      <c r="AU32" s="90">
        <f>IF(AT32&gt;0,SUM(AT$7:AT32)-SUM(AS$7:AS32),0)</f>
        <v>0</v>
      </c>
      <c r="AV32" s="45">
        <f t="shared" si="23"/>
        <v>0</v>
      </c>
      <c r="AW32" s="75"/>
      <c r="AX32" s="75"/>
      <c r="AY32" s="90">
        <f>IF(AX32&gt;0,SUM(AX$7:AX32)-SUM(AW$7:AW32),0)</f>
        <v>0</v>
      </c>
      <c r="AZ32" s="45">
        <f t="shared" si="31"/>
        <v>0</v>
      </c>
      <c r="BA32" s="35">
        <f t="shared" si="4"/>
        <v>0</v>
      </c>
      <c r="BB32" s="35">
        <f t="shared" si="10"/>
        <v>13178</v>
      </c>
      <c r="BC32" s="91">
        <f>IF(BB32&gt;0,SUM(BB$7:BB32)-SUM(BA$7:BA32),0)</f>
        <v>-33917</v>
      </c>
      <c r="BD32" s="45">
        <f t="shared" si="24"/>
        <v>0</v>
      </c>
      <c r="BF32" s="47">
        <f t="shared" si="25"/>
        <v>40842</v>
      </c>
      <c r="BG32" s="54" t="str">
        <f t="shared" si="11"/>
        <v>dom</v>
      </c>
      <c r="BH32" s="75"/>
      <c r="BI32" s="75"/>
      <c r="BJ32" s="75">
        <f>IF(BI32&gt;0,SUM(BI$7:BI32)-SUM(BH$7:BH32),0)</f>
        <v>0</v>
      </c>
      <c r="BK32" s="45">
        <f t="shared" si="26"/>
        <v>0</v>
      </c>
      <c r="BL32" s="75"/>
      <c r="BM32" s="75"/>
      <c r="BN32" s="90">
        <f>IF(BM32&gt;0,SUM(BM$7:BM32)-SUM(BL$7:BL32),0)</f>
        <v>0</v>
      </c>
      <c r="BO32" s="45">
        <f t="shared" si="27"/>
        <v>0</v>
      </c>
      <c r="BP32" s="75"/>
      <c r="BQ32" s="75"/>
      <c r="BR32" s="90">
        <f>IF(BQ32&gt;0,SUM(BQ$7:BQ32)-SUM(BP$7:BP32),0)</f>
        <v>0</v>
      </c>
      <c r="BS32" s="45">
        <f t="shared" si="32"/>
        <v>0</v>
      </c>
      <c r="BT32" s="35">
        <f t="shared" si="5"/>
        <v>0</v>
      </c>
      <c r="BU32" s="35">
        <f t="shared" si="5"/>
        <v>0</v>
      </c>
      <c r="BV32" s="91">
        <f>IF(BU32&gt;0,SUM(BU$7:BU32)-SUM(BT$7:BT32),0)</f>
        <v>0</v>
      </c>
      <c r="BW32" s="45">
        <f t="shared" si="28"/>
        <v>0</v>
      </c>
      <c r="BY32" s="47">
        <f t="shared" si="29"/>
        <v>40842</v>
      </c>
      <c r="BZ32" s="54" t="str">
        <f t="shared" si="12"/>
        <v>dom</v>
      </c>
      <c r="CA32" s="75"/>
      <c r="CB32" s="75"/>
      <c r="CC32" s="90">
        <f>IF(CB32&gt;0,SUM(CB$7:CB32)-SUM(CA$7:CA32),0)</f>
        <v>0</v>
      </c>
      <c r="CD32" s="45">
        <f t="shared" si="30"/>
        <v>0</v>
      </c>
    </row>
    <row r="33" spans="1:82" x14ac:dyDescent="0.25">
      <c r="A33" s="47">
        <f t="shared" si="13"/>
        <v>40843</v>
      </c>
      <c r="B33" s="54" t="s">
        <v>27</v>
      </c>
      <c r="C33" s="75">
        <v>12017</v>
      </c>
      <c r="D33" s="75">
        <v>7338</v>
      </c>
      <c r="E33" s="90">
        <f>IF(D33&gt;0,SUM(D$7:D33)-SUM(C$7:C33),0)</f>
        <v>9696</v>
      </c>
      <c r="F33" s="45">
        <f t="shared" si="14"/>
        <v>0.61063493384372136</v>
      </c>
      <c r="G33" s="75">
        <v>12017</v>
      </c>
      <c r="H33" s="75">
        <v>6238</v>
      </c>
      <c r="I33" s="75">
        <f>IF(H33&gt;0,SUM(H$7:H33)-SUM(G$7:G33),0)</f>
        <v>-16814</v>
      </c>
      <c r="J33" s="45">
        <f t="shared" si="33"/>
        <v>0.51909794457851377</v>
      </c>
      <c r="K33" s="75">
        <v>12017</v>
      </c>
      <c r="L33" s="75">
        <v>6806</v>
      </c>
      <c r="M33" s="90">
        <f>IF(L33&gt;0,SUM(L$7:L33)-SUM(K$7:K33),0)</f>
        <v>-7443</v>
      </c>
      <c r="N33" s="45">
        <f t="shared" si="35"/>
        <v>0.56636431721727554</v>
      </c>
      <c r="O33" s="35">
        <f t="shared" si="34"/>
        <v>36051</v>
      </c>
      <c r="P33" s="35">
        <f t="shared" si="6"/>
        <v>20382</v>
      </c>
      <c r="Q33" s="91">
        <f>IF(P33&gt;0,SUM(P$7:P33)-SUM(O$7:O33),0)</f>
        <v>-14561</v>
      </c>
      <c r="R33" s="45">
        <f t="shared" si="15"/>
        <v>0.56536573187983685</v>
      </c>
      <c r="T33" s="47">
        <f t="shared" si="16"/>
        <v>40843</v>
      </c>
      <c r="U33" s="54" t="str">
        <f t="shared" si="7"/>
        <v>seg</v>
      </c>
      <c r="V33" s="75">
        <v>11360</v>
      </c>
      <c r="W33" s="75">
        <v>10944</v>
      </c>
      <c r="X33" s="92">
        <f>IF(W33&gt;0,SUM(W$7:W33)-SUM(V$7:V33),0)</f>
        <v>57726</v>
      </c>
      <c r="Y33" s="60">
        <f t="shared" si="17"/>
        <v>0.96338028169014089</v>
      </c>
      <c r="Z33" s="75">
        <v>11360</v>
      </c>
      <c r="AA33" s="75">
        <v>10726</v>
      </c>
      <c r="AB33" s="92">
        <f>IF(AA33&gt;0,SUM(AA$7:AA33)-SUM(Z$7:Z33),0)</f>
        <v>2184</v>
      </c>
      <c r="AC33" s="60">
        <f t="shared" si="18"/>
        <v>0.94419014084507047</v>
      </c>
      <c r="AD33" s="75">
        <v>11360</v>
      </c>
      <c r="AE33" s="75">
        <v>10334</v>
      </c>
      <c r="AF33" s="92">
        <f>IF(AE33&gt;0,SUM(AE$7:AE33)-SUM(AD$7:AD33),0)</f>
        <v>-4371</v>
      </c>
      <c r="AG33" s="60">
        <f t="shared" si="19"/>
        <v>0.90968309859154928</v>
      </c>
      <c r="AH33" s="41">
        <f t="shared" si="3"/>
        <v>34080</v>
      </c>
      <c r="AI33" s="41">
        <f t="shared" si="8"/>
        <v>32004</v>
      </c>
      <c r="AJ33" s="93">
        <f>IF(AI33&gt;0,SUM(AI$7:AI33)-SUM(AH$7:AH33),0)</f>
        <v>55539</v>
      </c>
      <c r="AK33" s="60">
        <f t="shared" si="20"/>
        <v>0.93908450704225355</v>
      </c>
      <c r="AM33" s="47">
        <f t="shared" si="21"/>
        <v>40843</v>
      </c>
      <c r="AN33" s="54" t="str">
        <f t="shared" si="9"/>
        <v>seg</v>
      </c>
      <c r="AO33" s="75">
        <v>7730</v>
      </c>
      <c r="AP33" s="75">
        <v>8773</v>
      </c>
      <c r="AQ33" s="75">
        <f>IF(AP33&gt;0,SUM(AP$7:AP33)-SUM(AO$7:AO33),0)</f>
        <v>20808</v>
      </c>
      <c r="AR33" s="45">
        <f t="shared" si="22"/>
        <v>1.134928848641656</v>
      </c>
      <c r="AS33" s="75">
        <v>7730</v>
      </c>
      <c r="AT33" s="75">
        <v>7500</v>
      </c>
      <c r="AU33" s="90">
        <f>IF(AT33&gt;0,SUM(AT$7:AT33)-SUM(AS$7:AS33),0)</f>
        <v>-21078</v>
      </c>
      <c r="AV33" s="45">
        <f t="shared" si="23"/>
        <v>0.97024579560155244</v>
      </c>
      <c r="AW33" s="75">
        <v>7730</v>
      </c>
      <c r="AX33" s="75">
        <v>5074</v>
      </c>
      <c r="AY33" s="90">
        <f>IF(AX33&gt;0,SUM(AX$7:AX33)-SUM(AW$7:AW33),0)</f>
        <v>-35490</v>
      </c>
      <c r="AZ33" s="45">
        <f t="shared" si="31"/>
        <v>0.65640362225097026</v>
      </c>
      <c r="BA33" s="35">
        <f t="shared" si="4"/>
        <v>23190</v>
      </c>
      <c r="BB33" s="35">
        <f t="shared" si="10"/>
        <v>21347</v>
      </c>
      <c r="BC33" s="91">
        <f>IF(BB33&gt;0,SUM(BB$7:BB33)-SUM(BA$7:BA33),0)</f>
        <v>-35760</v>
      </c>
      <c r="BD33" s="45">
        <f t="shared" si="24"/>
        <v>0.92052608883139286</v>
      </c>
      <c r="BF33" s="47">
        <f t="shared" si="25"/>
        <v>40843</v>
      </c>
      <c r="BG33" s="54" t="str">
        <f t="shared" si="11"/>
        <v>seg</v>
      </c>
      <c r="BH33" s="75">
        <v>16200</v>
      </c>
      <c r="BI33" s="75">
        <v>14514</v>
      </c>
      <c r="BJ33" s="75">
        <f>IF(BI33&gt;0,SUM(BI$7:BI33)-SUM(BH$7:BH33),0)</f>
        <v>-9438</v>
      </c>
      <c r="BK33" s="45">
        <f t="shared" si="26"/>
        <v>0.8959259259259259</v>
      </c>
      <c r="BL33" s="75">
        <v>7000</v>
      </c>
      <c r="BM33" s="75">
        <v>6835</v>
      </c>
      <c r="BN33" s="90">
        <f>IF(BM33&gt;0,SUM(BM$7:BM33)-SUM(BL$7:BL33),0)</f>
        <v>-19604</v>
      </c>
      <c r="BO33" s="45">
        <f t="shared" si="27"/>
        <v>0.97642857142857142</v>
      </c>
      <c r="BP33" s="75">
        <v>9880</v>
      </c>
      <c r="BQ33" s="75">
        <v>17988</v>
      </c>
      <c r="BR33" s="90">
        <f>IF(BQ33&gt;0,SUM(BQ$7:BQ33)-SUM(BP$7:BP33),0)</f>
        <v>82464</v>
      </c>
      <c r="BS33" s="45">
        <f t="shared" si="32"/>
        <v>1.8206477732793522</v>
      </c>
      <c r="BT33" s="35">
        <f t="shared" si="5"/>
        <v>33080</v>
      </c>
      <c r="BU33" s="35">
        <f t="shared" si="5"/>
        <v>39337</v>
      </c>
      <c r="BV33" s="91">
        <f>IF(BU33&gt;0,SUM(BU$7:BU33)-SUM(BT$7:BT33),0)</f>
        <v>53422</v>
      </c>
      <c r="BW33" s="45">
        <f t="shared" si="28"/>
        <v>1.1891475211608222</v>
      </c>
      <c r="BY33" s="47">
        <f t="shared" si="29"/>
        <v>40843</v>
      </c>
      <c r="BZ33" s="54" t="str">
        <f t="shared" si="12"/>
        <v>seg</v>
      </c>
      <c r="CA33" s="75">
        <v>2550</v>
      </c>
      <c r="CB33" s="75">
        <v>6970</v>
      </c>
      <c r="CC33" s="90">
        <f>IF(CB33&gt;0,SUM(CB$7:CB33)-SUM(CA$7:CA33),0)</f>
        <v>12505</v>
      </c>
      <c r="CD33" s="45">
        <f t="shared" si="30"/>
        <v>2.7333333333333334</v>
      </c>
    </row>
    <row r="34" spans="1:82" x14ac:dyDescent="0.25">
      <c r="A34" s="47">
        <f t="shared" si="13"/>
        <v>40844</v>
      </c>
      <c r="B34" s="54" t="s">
        <v>28</v>
      </c>
      <c r="C34" s="75">
        <v>12017</v>
      </c>
      <c r="D34" s="75">
        <v>6903</v>
      </c>
      <c r="E34" s="90">
        <f>IF(D34&gt;0,SUM(D$7:D34)-SUM(C$7:C34),0)</f>
        <v>4582</v>
      </c>
      <c r="F34" s="45">
        <f t="shared" si="14"/>
        <v>0.57443621536157108</v>
      </c>
      <c r="G34" s="75">
        <v>12017</v>
      </c>
      <c r="H34" s="75">
        <v>8454</v>
      </c>
      <c r="I34" s="75">
        <f>IF(H34&gt;0,SUM(H$7:H34)-SUM(G$7:G34),0)</f>
        <v>-20377</v>
      </c>
      <c r="J34" s="45">
        <f t="shared" si="33"/>
        <v>0.7035033702255139</v>
      </c>
      <c r="K34" s="75">
        <v>12017</v>
      </c>
      <c r="L34" s="75">
        <v>6674</v>
      </c>
      <c r="M34" s="90">
        <f>IF(L34&gt;0,SUM(L$7:L34)-SUM(K$7:K34),0)</f>
        <v>-12786</v>
      </c>
      <c r="N34" s="45">
        <f t="shared" si="35"/>
        <v>0.55537987850545056</v>
      </c>
      <c r="O34" s="35">
        <f t="shared" si="34"/>
        <v>36051</v>
      </c>
      <c r="P34" s="35">
        <f t="shared" si="6"/>
        <v>22031</v>
      </c>
      <c r="Q34" s="91">
        <f>IF(P34&gt;0,SUM(P$7:P34)-SUM(O$7:O34),0)</f>
        <v>-28581</v>
      </c>
      <c r="R34" s="45">
        <f t="shared" si="15"/>
        <v>0.61110648803084522</v>
      </c>
      <c r="T34" s="47">
        <f t="shared" si="16"/>
        <v>40844</v>
      </c>
      <c r="U34" s="54" t="str">
        <f t="shared" si="7"/>
        <v>ter</v>
      </c>
      <c r="V34" s="75">
        <v>11360</v>
      </c>
      <c r="W34" s="75">
        <v>10514</v>
      </c>
      <c r="X34" s="92">
        <f>IF(W34&gt;0,SUM(W$7:W34)-SUM(V$7:V34),0)</f>
        <v>56880</v>
      </c>
      <c r="Y34" s="60">
        <f t="shared" si="17"/>
        <v>0.92552816901408452</v>
      </c>
      <c r="Z34" s="75">
        <v>11360</v>
      </c>
      <c r="AA34" s="75">
        <v>7042</v>
      </c>
      <c r="AB34" s="92">
        <f>IF(AA34&gt;0,SUM(AA$7:AA34)-SUM(Z$7:Z34),0)</f>
        <v>-2134</v>
      </c>
      <c r="AC34" s="60">
        <f t="shared" si="18"/>
        <v>0.61989436619718308</v>
      </c>
      <c r="AD34" s="75">
        <v>11360</v>
      </c>
      <c r="AE34" s="75">
        <v>8590</v>
      </c>
      <c r="AF34" s="92">
        <f>IF(AE34&gt;0,SUM(AE$7:AE34)-SUM(AD$7:AD34),0)</f>
        <v>-7141</v>
      </c>
      <c r="AG34" s="60">
        <f t="shared" si="19"/>
        <v>0.75616197183098588</v>
      </c>
      <c r="AH34" s="41">
        <f t="shared" si="3"/>
        <v>34080</v>
      </c>
      <c r="AI34" s="41">
        <f t="shared" si="8"/>
        <v>26146</v>
      </c>
      <c r="AJ34" s="93">
        <f>IF(AI34&gt;0,SUM(AI$7:AI34)-SUM(AH$7:AH34),0)</f>
        <v>47605</v>
      </c>
      <c r="AK34" s="60">
        <f t="shared" si="20"/>
        <v>0.7671948356807512</v>
      </c>
      <c r="AM34" s="47">
        <f t="shared" si="21"/>
        <v>40844</v>
      </c>
      <c r="AN34" s="54" t="str">
        <f t="shared" si="9"/>
        <v>ter</v>
      </c>
      <c r="AO34" s="75">
        <v>7730</v>
      </c>
      <c r="AP34" s="75">
        <v>8068</v>
      </c>
      <c r="AQ34" s="75">
        <f>IF(AP34&gt;0,SUM(AP$7:AP34)-SUM(AO$7:AO34),0)</f>
        <v>21146</v>
      </c>
      <c r="AR34" s="45">
        <f t="shared" si="22"/>
        <v>1.04372574385511</v>
      </c>
      <c r="AS34" s="75">
        <v>7730</v>
      </c>
      <c r="AT34" s="75">
        <v>7909</v>
      </c>
      <c r="AU34" s="90">
        <f>IF(AT34&gt;0,SUM(AT$7:AT34)-SUM(AS$7:AS34),0)</f>
        <v>-20899</v>
      </c>
      <c r="AV34" s="45">
        <f t="shared" si="23"/>
        <v>1.023156532988357</v>
      </c>
      <c r="AW34" s="75">
        <v>7730</v>
      </c>
      <c r="AX34" s="75">
        <v>5468</v>
      </c>
      <c r="AY34" s="90">
        <f>IF(AX34&gt;0,SUM(AX$7:AX34)-SUM(AW$7:AW34),0)</f>
        <v>-37752</v>
      </c>
      <c r="AZ34" s="45">
        <f t="shared" si="31"/>
        <v>0.70737386804657176</v>
      </c>
      <c r="BA34" s="35">
        <f t="shared" si="4"/>
        <v>23190</v>
      </c>
      <c r="BB34" s="35">
        <f t="shared" si="10"/>
        <v>21445</v>
      </c>
      <c r="BC34" s="91">
        <f>IF(BB34&gt;0,SUM(BB$7:BB34)-SUM(BA$7:BA34),0)</f>
        <v>-37505</v>
      </c>
      <c r="BD34" s="45">
        <f t="shared" si="24"/>
        <v>0.92475204829667956</v>
      </c>
      <c r="BF34" s="47">
        <f t="shared" si="25"/>
        <v>40844</v>
      </c>
      <c r="BG34" s="54" t="str">
        <f t="shared" si="11"/>
        <v>ter</v>
      </c>
      <c r="BH34" s="75">
        <v>16200</v>
      </c>
      <c r="BI34" s="75">
        <v>14445</v>
      </c>
      <c r="BJ34" s="75">
        <f>IF(BI34&gt;0,SUM(BI$7:BI34)-SUM(BH$7:BH34),0)</f>
        <v>-11193</v>
      </c>
      <c r="BK34" s="45">
        <f t="shared" si="26"/>
        <v>0.89166666666666672</v>
      </c>
      <c r="BL34" s="75">
        <v>7000</v>
      </c>
      <c r="BM34" s="75">
        <v>7119</v>
      </c>
      <c r="BN34" s="90">
        <f>IF(BM34&gt;0,SUM(BM$7:BM34)-SUM(BL$7:BL34),0)</f>
        <v>-19485</v>
      </c>
      <c r="BO34" s="45">
        <f t="shared" si="27"/>
        <v>1.0169999999999999</v>
      </c>
      <c r="BP34" s="75">
        <v>9880</v>
      </c>
      <c r="BQ34" s="75">
        <v>13577</v>
      </c>
      <c r="BR34" s="90">
        <f>IF(BQ34&gt;0,SUM(BQ$7:BQ34)-SUM(BP$7:BP34),0)</f>
        <v>86161</v>
      </c>
      <c r="BS34" s="45">
        <f t="shared" si="32"/>
        <v>1.3741902834008097</v>
      </c>
      <c r="BT34" s="35">
        <f t="shared" si="5"/>
        <v>33080</v>
      </c>
      <c r="BU34" s="35">
        <f t="shared" si="5"/>
        <v>35141</v>
      </c>
      <c r="BV34" s="91">
        <f>IF(BU34&gt;0,SUM(BU$7:BU34)-SUM(BT$7:BT34),0)</f>
        <v>55483</v>
      </c>
      <c r="BW34" s="45">
        <f t="shared" si="28"/>
        <v>1.0623035066505442</v>
      </c>
      <c r="BY34" s="47">
        <f t="shared" si="29"/>
        <v>40844</v>
      </c>
      <c r="BZ34" s="54" t="str">
        <f t="shared" si="12"/>
        <v>ter</v>
      </c>
      <c r="CA34" s="75">
        <v>2550</v>
      </c>
      <c r="CB34" s="75">
        <v>3134</v>
      </c>
      <c r="CC34" s="90">
        <f>IF(CB34&gt;0,SUM(CB$7:CB34)-SUM(CA$7:CA34),0)</f>
        <v>13089</v>
      </c>
      <c r="CD34" s="45">
        <f t="shared" si="30"/>
        <v>1.2290196078431372</v>
      </c>
    </row>
    <row r="35" spans="1:82" x14ac:dyDescent="0.25">
      <c r="A35" s="47">
        <f t="shared" si="13"/>
        <v>40845</v>
      </c>
      <c r="B35" s="54" t="s">
        <v>22</v>
      </c>
      <c r="C35" s="75">
        <v>12017</v>
      </c>
      <c r="D35" s="75">
        <v>6772</v>
      </c>
      <c r="E35" s="90">
        <f>IF(D35&gt;0,SUM(D$7:D35)-SUM(C$7:C35),0)</f>
        <v>-663</v>
      </c>
      <c r="F35" s="45">
        <f t="shared" si="14"/>
        <v>0.56353499209453273</v>
      </c>
      <c r="G35" s="75">
        <v>12017</v>
      </c>
      <c r="H35" s="75">
        <v>3993</v>
      </c>
      <c r="I35" s="75">
        <f>IF(H35&gt;0,SUM(H$7:H35)-SUM(G$7:G35),0)</f>
        <v>-28401</v>
      </c>
      <c r="J35" s="45">
        <f t="shared" si="33"/>
        <v>0.33227927103270366</v>
      </c>
      <c r="K35" s="75">
        <v>12017</v>
      </c>
      <c r="L35" s="75">
        <v>2077</v>
      </c>
      <c r="M35" s="90">
        <f>IF(L35&gt;0,SUM(L$7:L35)-SUM(K$7:K35),0)</f>
        <v>-22726</v>
      </c>
      <c r="N35" s="45">
        <f t="shared" si="35"/>
        <v>0.17283847882166931</v>
      </c>
      <c r="O35" s="35">
        <f t="shared" si="34"/>
        <v>36051</v>
      </c>
      <c r="P35" s="35">
        <f t="shared" si="6"/>
        <v>12842</v>
      </c>
      <c r="Q35" s="91">
        <f>IF(P35&gt;0,SUM(P$7:P35)-SUM(O$7:O35),0)</f>
        <v>-51790</v>
      </c>
      <c r="R35" s="45">
        <f t="shared" si="15"/>
        <v>0.35621758064963521</v>
      </c>
      <c r="T35" s="47">
        <f t="shared" si="16"/>
        <v>40845</v>
      </c>
      <c r="U35" s="54" t="str">
        <f t="shared" si="7"/>
        <v>qua</v>
      </c>
      <c r="V35" s="75">
        <v>11360</v>
      </c>
      <c r="W35" s="75">
        <v>11576</v>
      </c>
      <c r="X35" s="92">
        <f>IF(W35&gt;0,SUM(W$7:W35)-SUM(V$7:V35),0)</f>
        <v>57096</v>
      </c>
      <c r="Y35" s="60">
        <f t="shared" si="17"/>
        <v>1.0190140845070423</v>
      </c>
      <c r="Z35" s="75">
        <v>11360</v>
      </c>
      <c r="AA35" s="75">
        <v>6388</v>
      </c>
      <c r="AB35" s="92">
        <f>IF(AA35&gt;0,SUM(AA$7:AA35)-SUM(Z$7:Z35),0)</f>
        <v>-7106</v>
      </c>
      <c r="AC35" s="60">
        <f t="shared" si="18"/>
        <v>0.5623239436619718</v>
      </c>
      <c r="AD35" s="75">
        <v>11360</v>
      </c>
      <c r="AE35" s="75">
        <v>8061</v>
      </c>
      <c r="AF35" s="92">
        <f>IF(AE35&gt;0,SUM(AE$7:AE35)-SUM(AD$7:AD35),0)</f>
        <v>-10440</v>
      </c>
      <c r="AG35" s="60">
        <f t="shared" si="19"/>
        <v>0.70959507042253522</v>
      </c>
      <c r="AH35" s="41">
        <f t="shared" si="3"/>
        <v>34080</v>
      </c>
      <c r="AI35" s="41">
        <f t="shared" si="8"/>
        <v>26025</v>
      </c>
      <c r="AJ35" s="93">
        <f>IF(AI35&gt;0,SUM(AI$7:AI35)-SUM(AH$7:AH35),0)</f>
        <v>39550</v>
      </c>
      <c r="AK35" s="60">
        <f t="shared" si="20"/>
        <v>0.76364436619718312</v>
      </c>
      <c r="AM35" s="47">
        <f t="shared" si="21"/>
        <v>40845</v>
      </c>
      <c r="AN35" s="54" t="str">
        <f t="shared" si="9"/>
        <v>qua</v>
      </c>
      <c r="AO35" s="75">
        <v>7730</v>
      </c>
      <c r="AP35" s="75">
        <v>6985</v>
      </c>
      <c r="AQ35" s="75">
        <f>IF(AP35&gt;0,SUM(AP$7:AP35)-SUM(AO$7:AO35),0)</f>
        <v>20401</v>
      </c>
      <c r="AR35" s="45">
        <f t="shared" si="22"/>
        <v>0.90362225097024584</v>
      </c>
      <c r="AS35" s="75">
        <v>7730</v>
      </c>
      <c r="AT35" s="75">
        <v>5928</v>
      </c>
      <c r="AU35" s="90">
        <f>IF(AT35&gt;0,SUM(AT$7:AT35)-SUM(AS$7:AS35),0)</f>
        <v>-22701</v>
      </c>
      <c r="AV35" s="45">
        <f t="shared" si="23"/>
        <v>0.76688227684346699</v>
      </c>
      <c r="AW35" s="75">
        <v>7730</v>
      </c>
      <c r="AX35" s="75">
        <v>6268</v>
      </c>
      <c r="AY35" s="90">
        <f>IF(AX35&gt;0,SUM(AX$7:AX35)-SUM(AW$7:AW35),0)</f>
        <v>-39214</v>
      </c>
      <c r="AZ35" s="45">
        <f t="shared" si="31"/>
        <v>0.8108667529107374</v>
      </c>
      <c r="BA35" s="35">
        <f t="shared" si="4"/>
        <v>23190</v>
      </c>
      <c r="BB35" s="35">
        <f t="shared" si="10"/>
        <v>19181</v>
      </c>
      <c r="BC35" s="91">
        <f>IF(BB35&gt;0,SUM(BB$7:BB35)-SUM(BA$7:BA35),0)</f>
        <v>-41514</v>
      </c>
      <c r="BD35" s="45">
        <f t="shared" si="24"/>
        <v>0.82712376024148337</v>
      </c>
      <c r="BF35" s="47">
        <f t="shared" si="25"/>
        <v>40845</v>
      </c>
      <c r="BG35" s="54" t="str">
        <f t="shared" si="11"/>
        <v>qua</v>
      </c>
      <c r="BH35" s="75">
        <v>16200</v>
      </c>
      <c r="BI35" s="75">
        <v>12436</v>
      </c>
      <c r="BJ35" s="75">
        <f>IF(BI35&gt;0,SUM(BI$7:BI35)-SUM(BH$7:BH35),0)</f>
        <v>-14957</v>
      </c>
      <c r="BK35" s="45">
        <f t="shared" si="26"/>
        <v>0.76765432098765429</v>
      </c>
      <c r="BL35" s="75">
        <v>7000</v>
      </c>
      <c r="BM35" s="75">
        <v>6746</v>
      </c>
      <c r="BN35" s="90">
        <f>IF(BM35&gt;0,SUM(BM$7:BM35)-SUM(BL$7:BL35),0)</f>
        <v>-19739</v>
      </c>
      <c r="BO35" s="45">
        <f t="shared" si="27"/>
        <v>0.96371428571428575</v>
      </c>
      <c r="BP35" s="75">
        <v>9880</v>
      </c>
      <c r="BQ35" s="75">
        <v>12400</v>
      </c>
      <c r="BR35" s="90">
        <f>IF(BQ35&gt;0,SUM(BQ$7:BQ35)-SUM(BP$7:BP35),0)</f>
        <v>88681</v>
      </c>
      <c r="BS35" s="45">
        <f t="shared" si="32"/>
        <v>1.2550607287449393</v>
      </c>
      <c r="BT35" s="35">
        <f t="shared" si="5"/>
        <v>33080</v>
      </c>
      <c r="BU35" s="35">
        <f t="shared" si="5"/>
        <v>31582</v>
      </c>
      <c r="BV35" s="91">
        <f>IF(BU35&gt;0,SUM(BU$7:BU35)-SUM(BT$7:BT35),0)</f>
        <v>53985</v>
      </c>
      <c r="BW35" s="45">
        <f t="shared" si="28"/>
        <v>0.95471584038694079</v>
      </c>
      <c r="BY35" s="47">
        <f t="shared" si="29"/>
        <v>40845</v>
      </c>
      <c r="BZ35" s="54" t="str">
        <f t="shared" si="12"/>
        <v>qua</v>
      </c>
      <c r="CA35" s="75">
        <v>2550</v>
      </c>
      <c r="CB35" s="75">
        <v>3510</v>
      </c>
      <c r="CC35" s="90">
        <f>IF(CB35&gt;0,SUM(CB$7:CB35)-SUM(CA$7:CA35),0)</f>
        <v>14049</v>
      </c>
      <c r="CD35" s="45">
        <f t="shared" si="30"/>
        <v>1.3764705882352941</v>
      </c>
    </row>
    <row r="36" spans="1:82" x14ac:dyDescent="0.25">
      <c r="A36" s="47">
        <f t="shared" si="13"/>
        <v>40846</v>
      </c>
      <c r="B36" s="54" t="s">
        <v>23</v>
      </c>
      <c r="C36" s="75">
        <v>12017</v>
      </c>
      <c r="D36" s="75">
        <v>8501</v>
      </c>
      <c r="E36" s="90">
        <f>IF(D36&gt;0,SUM(D$7:D36)-SUM(C$7:C36),0)</f>
        <v>-4179</v>
      </c>
      <c r="F36" s="45">
        <f t="shared" si="14"/>
        <v>0.7074144961304818</v>
      </c>
      <c r="G36" s="75">
        <v>12017</v>
      </c>
      <c r="H36" s="75">
        <v>12104</v>
      </c>
      <c r="I36" s="75">
        <f>IF(H36&gt;0,SUM(H$7:H36)-SUM(G$7:G36),0)</f>
        <v>-28314</v>
      </c>
      <c r="J36" s="45">
        <f t="shared" si="33"/>
        <v>1.00723974369643</v>
      </c>
      <c r="K36" s="75">
        <v>12017</v>
      </c>
      <c r="L36" s="75">
        <v>5185</v>
      </c>
      <c r="M36" s="90">
        <f>IF(L36&gt;0,SUM(L$7:L36)-SUM(K$7:K36),0)</f>
        <v>-29558</v>
      </c>
      <c r="N36" s="45">
        <f t="shared" si="35"/>
        <v>0.43147208121827413</v>
      </c>
      <c r="O36" s="35">
        <f t="shared" si="34"/>
        <v>36051</v>
      </c>
      <c r="P36" s="35">
        <f t="shared" si="6"/>
        <v>25790</v>
      </c>
      <c r="Q36" s="91">
        <f>IF(P36&gt;0,SUM(P$7:P36)-SUM(O$7:O36),0)</f>
        <v>-62051</v>
      </c>
      <c r="R36" s="45">
        <f t="shared" si="15"/>
        <v>0.71537544034839529</v>
      </c>
      <c r="T36" s="47">
        <f t="shared" si="16"/>
        <v>40846</v>
      </c>
      <c r="U36" s="54" t="str">
        <f t="shared" si="7"/>
        <v>qui</v>
      </c>
      <c r="V36" s="75">
        <v>11360</v>
      </c>
      <c r="W36" s="75">
        <v>8880</v>
      </c>
      <c r="X36" s="92">
        <f>IF(W36&gt;0,SUM(W$7:W36)-SUM(V$7:V36),0)</f>
        <v>54616</v>
      </c>
      <c r="Y36" s="60">
        <f t="shared" si="17"/>
        <v>0.78169014084507038</v>
      </c>
      <c r="Z36" s="75">
        <v>11360</v>
      </c>
      <c r="AA36" s="75">
        <v>7040</v>
      </c>
      <c r="AB36" s="92">
        <f>IF(AA36&gt;0,SUM(AA$7:AA36)-SUM(Z$7:Z36),0)</f>
        <v>-11426</v>
      </c>
      <c r="AC36" s="60">
        <f t="shared" si="18"/>
        <v>0.61971830985915488</v>
      </c>
      <c r="AD36" s="75">
        <v>11360</v>
      </c>
      <c r="AE36" s="75">
        <v>4031</v>
      </c>
      <c r="AF36" s="92">
        <f>IF(AE36&gt;0,SUM(AE$7:AE36)-SUM(AD$7:AD36),0)</f>
        <v>-17769</v>
      </c>
      <c r="AG36" s="60">
        <f t="shared" si="19"/>
        <v>0.35484154929577466</v>
      </c>
      <c r="AH36" s="41">
        <f t="shared" si="3"/>
        <v>34080</v>
      </c>
      <c r="AI36" s="41">
        <f t="shared" si="8"/>
        <v>19951</v>
      </c>
      <c r="AJ36" s="93">
        <f>IF(AI36&gt;0,SUM(AI$7:AI36)-SUM(AH$7:AH36),0)</f>
        <v>25421</v>
      </c>
      <c r="AK36" s="60">
        <f t="shared" si="20"/>
        <v>0.5854166666666667</v>
      </c>
      <c r="AM36" s="47">
        <f t="shared" si="21"/>
        <v>40846</v>
      </c>
      <c r="AN36" s="54" t="str">
        <f t="shared" si="9"/>
        <v>qui</v>
      </c>
      <c r="AO36" s="75">
        <v>7730</v>
      </c>
      <c r="AP36" s="75">
        <v>7347</v>
      </c>
      <c r="AQ36" s="75">
        <f>IF(AP36&gt;0,SUM(AP$7:AP36)-SUM(AO$7:AO36),0)</f>
        <v>20018</v>
      </c>
      <c r="AR36" s="45">
        <f t="shared" si="22"/>
        <v>0.95045278137128075</v>
      </c>
      <c r="AS36" s="75">
        <v>7730</v>
      </c>
      <c r="AT36" s="75">
        <v>5472</v>
      </c>
      <c r="AU36" s="90">
        <f>IF(AT36&gt;0,SUM(AT$7:AT36)-SUM(AS$7:AS36),0)</f>
        <v>-24959</v>
      </c>
      <c r="AV36" s="45">
        <f t="shared" si="23"/>
        <v>0.70789133247089264</v>
      </c>
      <c r="AW36" s="75">
        <v>7730</v>
      </c>
      <c r="AX36" s="75">
        <v>1148</v>
      </c>
      <c r="AY36" s="90">
        <f>IF(AX36&gt;0,SUM(AX$7:AX36)-SUM(AW$7:AW36),0)</f>
        <v>-45796</v>
      </c>
      <c r="AZ36" s="45">
        <f t="shared" si="31"/>
        <v>0.14851228978007763</v>
      </c>
      <c r="BA36" s="35">
        <f t="shared" si="4"/>
        <v>23190</v>
      </c>
      <c r="BB36" s="35">
        <f t="shared" si="10"/>
        <v>13967</v>
      </c>
      <c r="BC36" s="91">
        <f>IF(BB36&gt;0,SUM(BB$7:BB36)-SUM(BA$7:BA36),0)</f>
        <v>-50737</v>
      </c>
      <c r="BD36" s="45">
        <f t="shared" si="24"/>
        <v>0.60228546787408366</v>
      </c>
      <c r="BF36" s="47">
        <f t="shared" si="25"/>
        <v>40846</v>
      </c>
      <c r="BG36" s="54" t="str">
        <f t="shared" si="11"/>
        <v>qui</v>
      </c>
      <c r="BH36" s="75">
        <v>16200</v>
      </c>
      <c r="BI36" s="75">
        <v>9380</v>
      </c>
      <c r="BJ36" s="75">
        <f>IF(BI36&gt;0,SUM(BI$7:BI36)-SUM(BH$7:BH36),0)</f>
        <v>-21777</v>
      </c>
      <c r="BK36" s="45">
        <f t="shared" si="26"/>
        <v>0.57901234567901239</v>
      </c>
      <c r="BL36" s="75">
        <v>7000</v>
      </c>
      <c r="BM36" s="75">
        <v>4590</v>
      </c>
      <c r="BN36" s="90">
        <f>IF(BM36&gt;0,SUM(BM$7:BM36)-SUM(BL$7:BL36),0)</f>
        <v>-22149</v>
      </c>
      <c r="BO36" s="45">
        <f t="shared" si="27"/>
        <v>0.65571428571428569</v>
      </c>
      <c r="BP36" s="75">
        <v>9880</v>
      </c>
      <c r="BQ36" s="75">
        <v>7667</v>
      </c>
      <c r="BR36" s="90">
        <f>IF(BQ36&gt;0,SUM(BQ$7:BQ36)-SUM(BP$7:BP36),0)</f>
        <v>86468</v>
      </c>
      <c r="BS36" s="45">
        <f t="shared" si="32"/>
        <v>0.7760121457489878</v>
      </c>
      <c r="BT36" s="35">
        <f t="shared" si="5"/>
        <v>33080</v>
      </c>
      <c r="BU36" s="35">
        <f t="shared" si="5"/>
        <v>21637</v>
      </c>
      <c r="BV36" s="91">
        <f>IF(BU36&gt;0,SUM(BU$7:BU36)-SUM(BT$7:BT36),0)</f>
        <v>42542</v>
      </c>
      <c r="BW36" s="45">
        <f t="shared" si="28"/>
        <v>0.65408101571946797</v>
      </c>
      <c r="BY36" s="47">
        <f t="shared" si="29"/>
        <v>40846</v>
      </c>
      <c r="BZ36" s="54" t="str">
        <f t="shared" si="12"/>
        <v>qui</v>
      </c>
      <c r="CA36" s="75">
        <v>2550</v>
      </c>
      <c r="CB36" s="75">
        <v>1</v>
      </c>
      <c r="CC36" s="90">
        <f>IF(CB36&gt;0,SUM(CB$7:CB36)-SUM(CA$7:CA36),0)</f>
        <v>11500</v>
      </c>
      <c r="CD36" s="45">
        <f t="shared" si="30"/>
        <v>3.9215686274509802E-4</v>
      </c>
    </row>
    <row r="37" spans="1:82" x14ac:dyDescent="0.25">
      <c r="A37" s="47">
        <v>31</v>
      </c>
      <c r="B37" s="54" t="s">
        <v>24</v>
      </c>
      <c r="C37" s="75"/>
      <c r="D37" s="75"/>
      <c r="E37" s="90">
        <f>IF(D37&gt;0,SUM(D$7:D37)-SUM(C$7:C37),0)</f>
        <v>0</v>
      </c>
      <c r="F37" s="45">
        <f t="shared" si="14"/>
        <v>0</v>
      </c>
      <c r="G37" s="75"/>
      <c r="H37" s="75"/>
      <c r="I37" s="75">
        <f>IF(H37&gt;0,SUM(H$7:H37)-SUM(G$7:G37),0)</f>
        <v>0</v>
      </c>
      <c r="J37" s="45">
        <f>IF(H37&gt;0,IF(G37&gt;0,H37/G37,0),0)</f>
        <v>0</v>
      </c>
      <c r="K37" s="75"/>
      <c r="L37" s="75"/>
      <c r="M37" s="90">
        <f>IF(L37&gt;0,SUM(L$7:L37)-SUM(K$7:K37),0)</f>
        <v>0</v>
      </c>
      <c r="N37" s="45">
        <f t="shared" si="35"/>
        <v>0</v>
      </c>
      <c r="O37" s="35">
        <f>IF(SUM(C37,G37,K37)&gt;0,SUM(C37,G37,K37),0)</f>
        <v>0</v>
      </c>
      <c r="P37" s="35">
        <f t="shared" si="6"/>
        <v>0</v>
      </c>
      <c r="Q37" s="91">
        <f>IF(P37&gt;0,SUM(P$7:P37)-SUM(O$7:O37),0)</f>
        <v>0</v>
      </c>
      <c r="R37" s="45">
        <f t="shared" si="15"/>
        <v>0</v>
      </c>
      <c r="T37" s="47">
        <v>31</v>
      </c>
      <c r="U37" s="54" t="str">
        <f t="shared" si="7"/>
        <v>sex</v>
      </c>
      <c r="V37" s="75"/>
      <c r="W37" s="75"/>
      <c r="X37" s="92">
        <f>IF(W37&gt;0,SUM(W$7:W37)-SUM(V$7:V37),0)</f>
        <v>0</v>
      </c>
      <c r="Y37" s="60">
        <f t="shared" si="17"/>
        <v>0</v>
      </c>
      <c r="Z37" s="75"/>
      <c r="AA37" s="75"/>
      <c r="AB37" s="92">
        <f>IF(AA37&gt;0,SUM(AA$7:AA37)-SUM(Z$7:Z37),0)</f>
        <v>0</v>
      </c>
      <c r="AC37" s="60">
        <f t="shared" si="18"/>
        <v>0</v>
      </c>
      <c r="AD37" s="75"/>
      <c r="AE37" s="75"/>
      <c r="AF37" s="92">
        <f>IF(AE37&gt;0,SUM(AE$7:AE37)-SUM(AD$7:AD37),0)</f>
        <v>0</v>
      </c>
      <c r="AG37" s="60">
        <f t="shared" si="19"/>
        <v>0</v>
      </c>
      <c r="AH37" s="41">
        <f t="shared" si="3"/>
        <v>0</v>
      </c>
      <c r="AI37" s="41">
        <f t="shared" si="8"/>
        <v>0</v>
      </c>
      <c r="AJ37" s="93">
        <f>IF(AI37&gt;0,SUM(AI$7:AI37)-SUM(AH$7:AH37),0)</f>
        <v>0</v>
      </c>
      <c r="AK37" s="60">
        <f t="shared" si="20"/>
        <v>0</v>
      </c>
      <c r="AM37" s="47">
        <v>31</v>
      </c>
      <c r="AN37" s="54" t="str">
        <f t="shared" si="9"/>
        <v>sex</v>
      </c>
      <c r="AO37" s="75"/>
      <c r="AP37" s="75"/>
      <c r="AQ37" s="75">
        <f>IF(AP37&gt;0,SUM(AP$7:AP37)-SUM(AO$7:AO37),0)</f>
        <v>0</v>
      </c>
      <c r="AR37" s="45">
        <f t="shared" si="22"/>
        <v>0</v>
      </c>
      <c r="AS37" s="75"/>
      <c r="AT37" s="75"/>
      <c r="AU37" s="90">
        <f>IF(AT37&gt;0,SUM(AT$7:AT37)-SUM(AS$7:AS37),0)</f>
        <v>0</v>
      </c>
      <c r="AV37" s="45">
        <f t="shared" si="23"/>
        <v>0</v>
      </c>
      <c r="AW37" s="75"/>
      <c r="AX37" s="75"/>
      <c r="AY37" s="90">
        <f>IF(AX37&gt;0,SUM(AX$7:AX37)-SUM(AW$7:AW37),0)</f>
        <v>0</v>
      </c>
      <c r="AZ37" s="45">
        <f t="shared" si="31"/>
        <v>0</v>
      </c>
      <c r="BA37" s="35">
        <f t="shared" si="4"/>
        <v>0</v>
      </c>
      <c r="BB37" s="35">
        <f t="shared" si="10"/>
        <v>0</v>
      </c>
      <c r="BC37" s="91">
        <f>IF(BB37&gt;0,SUM(BB$7:BB37)-SUM(BA$7:BA37),0)</f>
        <v>0</v>
      </c>
      <c r="BD37" s="45">
        <f t="shared" si="24"/>
        <v>0</v>
      </c>
      <c r="BF37" s="47">
        <v>31</v>
      </c>
      <c r="BG37" s="54" t="str">
        <f t="shared" si="11"/>
        <v>sex</v>
      </c>
      <c r="BH37" s="75"/>
      <c r="BI37" s="75"/>
      <c r="BJ37" s="75">
        <f>IF(BI37&gt;0,SUM(BI$7:BI37)-SUM(BH$7:BH37),0)</f>
        <v>0</v>
      </c>
      <c r="BK37" s="45">
        <f t="shared" si="26"/>
        <v>0</v>
      </c>
      <c r="BL37" s="75"/>
      <c r="BM37" s="75"/>
      <c r="BN37" s="90">
        <f>IF(BM37&gt;0,SUM(BM$7:BM37)-SUM(BL$7:BL37),0)</f>
        <v>0</v>
      </c>
      <c r="BO37" s="45">
        <f t="shared" si="27"/>
        <v>0</v>
      </c>
      <c r="BP37" s="75"/>
      <c r="BQ37" s="75"/>
      <c r="BR37" s="90">
        <f>IF(BQ37&gt;0,SUM(BQ$7:BQ37)-SUM(BP$7:BP37),0)</f>
        <v>0</v>
      </c>
      <c r="BS37" s="45">
        <f t="shared" si="32"/>
        <v>0</v>
      </c>
      <c r="BT37" s="35">
        <f t="shared" si="5"/>
        <v>0</v>
      </c>
      <c r="BU37" s="35">
        <f t="shared" si="5"/>
        <v>0</v>
      </c>
      <c r="BV37" s="91">
        <f>IF(BU37&gt;0,SUM(BU$7:BU37)-SUM(BT$7:BT37),0)</f>
        <v>0</v>
      </c>
      <c r="BW37" s="45">
        <f t="shared" si="28"/>
        <v>0</v>
      </c>
      <c r="BY37" s="47">
        <v>31</v>
      </c>
      <c r="BZ37" s="54" t="str">
        <f t="shared" si="12"/>
        <v>sex</v>
      </c>
      <c r="CA37" s="75"/>
      <c r="CB37" s="75"/>
      <c r="CC37" s="90">
        <f>IF(CB37&gt;0,SUM(CB$7:CB37)-SUM(CA$7:CA37),0)</f>
        <v>0</v>
      </c>
      <c r="CD37" s="45">
        <f t="shared" si="30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276391</v>
      </c>
      <c r="D38" s="78">
        <f>SUM(D7:D37)</f>
        <v>272212</v>
      </c>
      <c r="E38" s="78">
        <f>D38-C38</f>
        <v>-4179</v>
      </c>
      <c r="F38" s="53">
        <f t="shared" si="14"/>
        <v>0.98488011548856513</v>
      </c>
      <c r="G38" s="78">
        <f>SUM(G7:G37)</f>
        <v>276391</v>
      </c>
      <c r="H38" s="78">
        <f>SUM(H7:H37)</f>
        <v>248077</v>
      </c>
      <c r="I38" s="78">
        <f>H38-G38</f>
        <v>-28314</v>
      </c>
      <c r="J38" s="53">
        <f>IF(H38&gt;0,IF(G38&gt;0,H38/G38,0),0)</f>
        <v>0.89755816940493716</v>
      </c>
      <c r="K38" s="78">
        <f>SUM(K7:K37)</f>
        <v>276391</v>
      </c>
      <c r="L38" s="78">
        <f>SUM(L7:L37)</f>
        <v>246833</v>
      </c>
      <c r="M38" s="78">
        <f>L38-K38</f>
        <v>-29558</v>
      </c>
      <c r="N38" s="45">
        <f t="shared" si="35"/>
        <v>0.89305729926082977</v>
      </c>
      <c r="O38" s="58">
        <f>IF(SUM(C38,G38,K38)&gt;0,SUM(C38,G38,K38),0)</f>
        <v>829173</v>
      </c>
      <c r="P38" s="58">
        <f>IF(SUM(D38,H38,L38)&gt;0,SUM(D38,H38,L38),0)</f>
        <v>767122</v>
      </c>
      <c r="Q38" s="58">
        <f>P38-O38</f>
        <v>-62051</v>
      </c>
      <c r="R38" s="53">
        <f t="shared" si="15"/>
        <v>0.92516519471811065</v>
      </c>
      <c r="T38" s="46" t="s">
        <v>17</v>
      </c>
      <c r="U38" s="63"/>
      <c r="V38" s="79">
        <f>SUM(V7:V37)</f>
        <v>261280</v>
      </c>
      <c r="W38" s="79">
        <f>SUM(W7:W37)</f>
        <v>315896</v>
      </c>
      <c r="X38" s="79">
        <f>W38-V38</f>
        <v>54616</v>
      </c>
      <c r="Y38" s="61">
        <f t="shared" si="17"/>
        <v>1.2090324556031844</v>
      </c>
      <c r="Z38" s="79">
        <f>SUM(Z7:Z37)</f>
        <v>261280</v>
      </c>
      <c r="AA38" s="79">
        <f>SUM(AA7:AA37)</f>
        <v>249854</v>
      </c>
      <c r="AB38" s="79">
        <f>AA38-Z38</f>
        <v>-11426</v>
      </c>
      <c r="AC38" s="61">
        <f t="shared" si="18"/>
        <v>0.95626913655848134</v>
      </c>
      <c r="AD38" s="79">
        <f>SUM(AD7:AD37)</f>
        <v>261280</v>
      </c>
      <c r="AE38" s="79">
        <f>SUM(AE7:AE37)</f>
        <v>243511</v>
      </c>
      <c r="AF38" s="79">
        <f>AE38-AD38</f>
        <v>-17769</v>
      </c>
      <c r="AG38" s="61">
        <f t="shared" si="19"/>
        <v>0.93199249846907528</v>
      </c>
      <c r="AH38" s="62">
        <f t="shared" si="3"/>
        <v>783840</v>
      </c>
      <c r="AI38" s="62">
        <f t="shared" si="3"/>
        <v>809261</v>
      </c>
      <c r="AJ38" s="62">
        <f>AI38-AH38</f>
        <v>25421</v>
      </c>
      <c r="AK38" s="61">
        <f>IF(AI38&gt;0,IF(AH38&gt;0,AI38/AH38,0),0)</f>
        <v>1.0324313635435802</v>
      </c>
      <c r="AM38" s="46" t="s">
        <v>17</v>
      </c>
      <c r="AN38" s="63"/>
      <c r="AO38" s="78">
        <f>SUM(AO7:AO37)</f>
        <v>177790</v>
      </c>
      <c r="AP38" s="78">
        <f>SUM(AP7:AP37)</f>
        <v>197808</v>
      </c>
      <c r="AQ38" s="78">
        <f>AP38-AO38</f>
        <v>20018</v>
      </c>
      <c r="AR38" s="53">
        <f t="shared" si="22"/>
        <v>1.1125935091962427</v>
      </c>
      <c r="AS38" s="78">
        <f>SUM(AS7:AS37)</f>
        <v>177790</v>
      </c>
      <c r="AT38" s="95">
        <f>SUM(AT7:AT37)</f>
        <v>152831</v>
      </c>
      <c r="AU38" s="90">
        <f>IF(AT38&gt;0,SUM(AT$7:AT38)-SUM(AS$7:AS38),0)</f>
        <v>-49918</v>
      </c>
      <c r="AV38" s="96">
        <f t="shared" si="23"/>
        <v>0.85961527644974411</v>
      </c>
      <c r="AW38" s="78">
        <f>SUM(AW7:AW37)</f>
        <v>177790</v>
      </c>
      <c r="AX38" s="78">
        <f>SUM(AX7:AX37)</f>
        <v>131994</v>
      </c>
      <c r="AY38" s="78">
        <f>AX38-AW38</f>
        <v>-45796</v>
      </c>
      <c r="AZ38" s="53">
        <f t="shared" si="31"/>
        <v>0.7424152089543844</v>
      </c>
      <c r="BA38" s="58">
        <f t="shared" si="4"/>
        <v>533370</v>
      </c>
      <c r="BB38" s="58">
        <f>IF(SUM(AP38,AT38,AX38)&gt;0,SUM(AP38,AT38,AX38),0)</f>
        <v>482633</v>
      </c>
      <c r="BC38" s="58">
        <f>BB38-BA38</f>
        <v>-50737</v>
      </c>
      <c r="BD38" s="53">
        <f t="shared" si="24"/>
        <v>0.90487466486679036</v>
      </c>
      <c r="BF38" s="46" t="s">
        <v>17</v>
      </c>
      <c r="BG38" s="63"/>
      <c r="BH38" s="75">
        <f>SUM(BH7:BH37)</f>
        <v>372600</v>
      </c>
      <c r="BI38" s="78">
        <f>SUM(BI7:BI37)</f>
        <v>350823</v>
      </c>
      <c r="BJ38" s="78">
        <f>BI38-BH38</f>
        <v>-21777</v>
      </c>
      <c r="BK38" s="53">
        <f t="shared" si="26"/>
        <v>0.94155394524959746</v>
      </c>
      <c r="BL38" s="78">
        <f>SUM(BL7:BL37)</f>
        <v>161000</v>
      </c>
      <c r="BM38" s="78">
        <f>SUM(BM7:BM37)</f>
        <v>138851</v>
      </c>
      <c r="BN38" s="78">
        <f>BM38-BL38</f>
        <v>-22149</v>
      </c>
      <c r="BO38" s="53">
        <f t="shared" si="27"/>
        <v>0.86242857142857143</v>
      </c>
      <c r="BP38" s="78">
        <f>SUM(BP7:BP37)</f>
        <v>227240</v>
      </c>
      <c r="BQ38" s="78">
        <f>SUM(BQ7:BQ37)</f>
        <v>313708</v>
      </c>
      <c r="BR38" s="78">
        <f>BQ38-BP38</f>
        <v>86468</v>
      </c>
      <c r="BS38" s="53">
        <f t="shared" si="32"/>
        <v>1.3805139940151381</v>
      </c>
      <c r="BT38" s="58">
        <f t="shared" si="5"/>
        <v>760840</v>
      </c>
      <c r="BU38" s="58">
        <f t="shared" si="5"/>
        <v>803382</v>
      </c>
      <c r="BV38" s="58">
        <f>BU38-BT38</f>
        <v>42542</v>
      </c>
      <c r="BW38" s="53">
        <f t="shared" si="28"/>
        <v>1.0559145155354608</v>
      </c>
      <c r="BY38" s="46" t="s">
        <v>17</v>
      </c>
      <c r="BZ38" s="63"/>
      <c r="CA38" s="78">
        <f>SUM(CA7:CA37)</f>
        <v>58650</v>
      </c>
      <c r="CB38" s="78">
        <f>SUM(CB7:CB37)</f>
        <v>70150</v>
      </c>
      <c r="CC38" s="90">
        <f>CB38-CA38</f>
        <v>11500</v>
      </c>
      <c r="CD38" s="53">
        <f t="shared" si="30"/>
        <v>1.196078431372549</v>
      </c>
    </row>
    <row r="39" spans="1:82" x14ac:dyDescent="0.25">
      <c r="O39" s="97">
        <f>SUM(O38/0.69)</f>
        <v>1201700</v>
      </c>
      <c r="P39" s="97">
        <f>SUM(P38/0.7)</f>
        <v>1095888.5714285716</v>
      </c>
      <c r="AH39" s="97">
        <f>SUM(AH38/0.7)</f>
        <v>1119771.4285714286</v>
      </c>
      <c r="AI39" s="97">
        <f>SUM(AI38/0.7)</f>
        <v>1156087.142857143</v>
      </c>
      <c r="AU39" s="94"/>
      <c r="BA39" s="97">
        <f>SUM(BA38/0.7)</f>
        <v>761957.14285714296</v>
      </c>
      <c r="BB39" s="97">
        <f>SUM(BB38/0.7)</f>
        <v>689475.71428571432</v>
      </c>
      <c r="BT39" s="97">
        <f>SUM(BT38/0.7)</f>
        <v>1086914.2857142857</v>
      </c>
      <c r="BU39" s="97">
        <f>SUM(BU38/0.7)</f>
        <v>1147688.5714285716</v>
      </c>
      <c r="CA39" s="97">
        <f>SUM(CA38/0.7)</f>
        <v>83785.71428571429</v>
      </c>
      <c r="CB39" s="97">
        <f>SUM(CB38/0.7)</f>
        <v>100214.28571428572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</mergeCells>
  <conditionalFormatting sqref="D8">
    <cfRule type="top10" dxfId="1335" priority="1821" rank="1"/>
  </conditionalFormatting>
  <conditionalFormatting sqref="D7:E37">
    <cfRule type="top10" dxfId="1334" priority="1864" rank="1"/>
  </conditionalFormatting>
  <conditionalFormatting sqref="H7:H37">
    <cfRule type="top10" dxfId="1333" priority="1863" rank="1"/>
  </conditionalFormatting>
  <conditionalFormatting sqref="H8">
    <cfRule type="top10" dxfId="1332" priority="1820" rank="1"/>
  </conditionalFormatting>
  <conditionalFormatting sqref="H16">
    <cfRule type="top10" dxfId="1331" priority="1861" rank="1"/>
  </conditionalFormatting>
  <conditionalFormatting sqref="H32">
    <cfRule type="top10" dxfId="1330" priority="1651" rank="1"/>
  </conditionalFormatting>
  <conditionalFormatting sqref="L7:L37">
    <cfRule type="top10" dxfId="1329" priority="1716" rank="1"/>
  </conditionalFormatting>
  <conditionalFormatting sqref="L8">
    <cfRule type="top10" dxfId="1328" priority="1715" rank="1"/>
  </conditionalFormatting>
  <conditionalFormatting sqref="P7:Q37">
    <cfRule type="top10" dxfId="1327" priority="1862" rank="1"/>
  </conditionalFormatting>
  <conditionalFormatting sqref="W7:W37">
    <cfRule type="top10" dxfId="1326" priority="1714" rank="1"/>
  </conditionalFormatting>
  <conditionalFormatting sqref="W8">
    <cfRule type="top10" dxfId="1325" priority="1713" rank="1"/>
  </conditionalFormatting>
  <conditionalFormatting sqref="X7:X37">
    <cfRule type="top10" dxfId="1324" priority="1860" rank="1"/>
  </conditionalFormatting>
  <conditionalFormatting sqref="AA7:AA23 AA25:AA37">
    <cfRule type="top10" dxfId="1323" priority="1712" rank="1"/>
  </conditionalFormatting>
  <conditionalFormatting sqref="AA8">
    <cfRule type="top10" dxfId="1322" priority="1711" rank="1"/>
  </conditionalFormatting>
  <conditionalFormatting sqref="AA24">
    <cfRule type="top10" dxfId="1321" priority="1694" rank="1"/>
  </conditionalFormatting>
  <conditionalFormatting sqref="AE7:AE37">
    <cfRule type="top10" dxfId="1320" priority="1696" rank="1"/>
  </conditionalFormatting>
  <conditionalFormatting sqref="AE8">
    <cfRule type="top10" dxfId="1319" priority="1695" rank="1"/>
  </conditionalFormatting>
  <conditionalFormatting sqref="AI7:AJ37">
    <cfRule type="top10" dxfId="1318" priority="1859" rank="1"/>
  </conditionalFormatting>
  <conditionalFormatting sqref="AP7:AP37">
    <cfRule type="top10" dxfId="1317" priority="1702" rank="1"/>
  </conditionalFormatting>
  <conditionalFormatting sqref="AP8">
    <cfRule type="top10" dxfId="1316" priority="1701" rank="1"/>
  </conditionalFormatting>
  <conditionalFormatting sqref="AQ7:AQ37">
    <cfRule type="top10" dxfId="1315" priority="1858" rank="1"/>
  </conditionalFormatting>
  <conditionalFormatting sqref="AT7:AT37">
    <cfRule type="top10" dxfId="1314" priority="1700" rank="1"/>
  </conditionalFormatting>
  <conditionalFormatting sqref="AT8">
    <cfRule type="top10" dxfId="1313" priority="1699" rank="1"/>
  </conditionalFormatting>
  <conditionalFormatting sqref="AX7:AX37">
    <cfRule type="top10" dxfId="1312" priority="1698" rank="1"/>
  </conditionalFormatting>
  <conditionalFormatting sqref="AX8">
    <cfRule type="top10" dxfId="1311" priority="1697" rank="1"/>
  </conditionalFormatting>
  <conditionalFormatting sqref="BB7:BC37">
    <cfRule type="top10" dxfId="1310" priority="1857" rank="1"/>
  </conditionalFormatting>
  <conditionalFormatting sqref="BH7:BH38">
    <cfRule type="top10" dxfId="1309" priority="1854" rank="1"/>
  </conditionalFormatting>
  <conditionalFormatting sqref="BI7:BI37">
    <cfRule type="top10" dxfId="1308" priority="1710" rank="1"/>
  </conditionalFormatting>
  <conditionalFormatting sqref="BI8">
    <cfRule type="top10" dxfId="1307" priority="1709" rank="1"/>
  </conditionalFormatting>
  <conditionalFormatting sqref="BJ7:BJ37">
    <cfRule type="top10" dxfId="1306" priority="1856" rank="1"/>
  </conditionalFormatting>
  <conditionalFormatting sqref="BL10">
    <cfRule type="top10" dxfId="1305" priority="1359" rank="1"/>
  </conditionalFormatting>
  <conditionalFormatting sqref="BL11:BL17">
    <cfRule type="top10" dxfId="1304" priority="1819" rank="1"/>
  </conditionalFormatting>
  <conditionalFormatting sqref="BL12:BL17">
    <cfRule type="top10" dxfId="1303" priority="1845" rank="1"/>
  </conditionalFormatting>
  <conditionalFormatting sqref="BL13:BL17">
    <cfRule type="top10" dxfId="1302" priority="1814" rank="1"/>
  </conditionalFormatting>
  <conditionalFormatting sqref="BL14">
    <cfRule type="top10" dxfId="1301" priority="1834" rank="1"/>
  </conditionalFormatting>
  <conditionalFormatting sqref="BL14:BL17">
    <cfRule type="top10" dxfId="1300" priority="1825" rank="1"/>
  </conditionalFormatting>
  <conditionalFormatting sqref="BL16:BL26">
    <cfRule type="top10" dxfId="1299" priority="1841" rank="1"/>
  </conditionalFormatting>
  <conditionalFormatting sqref="BL17">
    <cfRule type="top10" dxfId="1298" priority="1358" rank="1"/>
  </conditionalFormatting>
  <conditionalFormatting sqref="BL17:BL26">
    <cfRule type="top10" dxfId="1297" priority="1808" rank="1"/>
  </conditionalFormatting>
  <conditionalFormatting sqref="BL18">
    <cfRule type="top10" dxfId="1296" priority="1734" rank="1"/>
    <cfRule type="top10" dxfId="1295" priority="1733" rank="1"/>
  </conditionalFormatting>
  <conditionalFormatting sqref="BL18:BL19">
    <cfRule type="top10" dxfId="1294" priority="1676" rank="1"/>
    <cfRule type="top10" dxfId="1293" priority="1673" rank="1"/>
    <cfRule type="top10" dxfId="1292" priority="1674" rank="1"/>
    <cfRule type="top10" dxfId="1291" priority="1675" rank="1"/>
  </conditionalFormatting>
  <conditionalFormatting sqref="BL18:BL26">
    <cfRule type="top10" dxfId="1290" priority="1818" rank="1"/>
  </conditionalFormatting>
  <conditionalFormatting sqref="BL19">
    <cfRule type="top10" dxfId="1289" priority="1640" rank="1"/>
    <cfRule type="top10" dxfId="1288" priority="1639" rank="1"/>
    <cfRule type="top10" dxfId="1287" priority="1637" rank="1"/>
    <cfRule type="top10" dxfId="1286" priority="1638" rank="1"/>
  </conditionalFormatting>
  <conditionalFormatting sqref="BL19:BL26">
    <cfRule type="top10" dxfId="1285" priority="1844" rank="1"/>
  </conditionalFormatting>
  <conditionalFormatting sqref="BL20:BL23">
    <cfRule type="top10" dxfId="1284" priority="1802" rank="1"/>
  </conditionalFormatting>
  <conditionalFormatting sqref="BL20:BL24">
    <cfRule type="top10" dxfId="1283" priority="1798" rank="1"/>
  </conditionalFormatting>
  <conditionalFormatting sqref="BL20:BL26">
    <cfRule type="top10" dxfId="1282" priority="1813" rank="1"/>
  </conditionalFormatting>
  <conditionalFormatting sqref="BL21:BL26">
    <cfRule type="top10" dxfId="1281" priority="1824" rank="1"/>
  </conditionalFormatting>
  <conditionalFormatting sqref="BL22:BL24">
    <cfRule type="top10" dxfId="1280" priority="1754" rank="1"/>
    <cfRule type="top10" dxfId="1279" priority="1755" rank="1"/>
    <cfRule type="top10" dxfId="1278" priority="1757" rank="1"/>
    <cfRule type="top10" dxfId="1277" priority="1756" rank="1"/>
    <cfRule type="top10" dxfId="1276" priority="1758" rank="1"/>
  </conditionalFormatting>
  <conditionalFormatting sqref="BL22:BL26">
    <cfRule type="top10" dxfId="1275" priority="1817" rank="1"/>
  </conditionalFormatting>
  <conditionalFormatting sqref="BL23:BL31">
    <cfRule type="top10" dxfId="1274" priority="1840" rank="1"/>
  </conditionalFormatting>
  <conditionalFormatting sqref="BL24">
    <cfRule type="top10" dxfId="1273" priority="1357" rank="1"/>
  </conditionalFormatting>
  <conditionalFormatting sqref="BL24:BL33">
    <cfRule type="top10" dxfId="1272" priority="1807" rank="1"/>
  </conditionalFormatting>
  <conditionalFormatting sqref="BL25">
    <cfRule type="top10" dxfId="1271" priority="1732" rank="1"/>
    <cfRule type="top10" dxfId="1270" priority="1731" rank="1"/>
  </conditionalFormatting>
  <conditionalFormatting sqref="BL25:BL31">
    <cfRule type="top10" dxfId="1269" priority="1794" rank="1"/>
  </conditionalFormatting>
  <conditionalFormatting sqref="BL25:BL33">
    <cfRule type="top10" dxfId="1268" priority="1816" rank="1"/>
  </conditionalFormatting>
  <conditionalFormatting sqref="BL26">
    <cfRule type="top10" dxfId="1267" priority="1749" rank="1"/>
    <cfRule type="top10" dxfId="1266" priority="1750" rank="1"/>
    <cfRule type="top10" dxfId="1265" priority="1753" rank="1"/>
    <cfRule type="top10" dxfId="1264" priority="1752" rank="1"/>
    <cfRule type="top10" dxfId="1263" priority="1751" rank="1"/>
  </conditionalFormatting>
  <conditionalFormatting sqref="BL26:BL34">
    <cfRule type="top10" dxfId="1262" priority="1843" rank="1"/>
  </conditionalFormatting>
  <conditionalFormatting sqref="BL27">
    <cfRule type="top10" dxfId="1261" priority="1686" rank="1"/>
    <cfRule type="top10" dxfId="1260" priority="1692" rank="1"/>
    <cfRule type="top10" dxfId="1259" priority="1691" rank="1"/>
    <cfRule type="top10" dxfId="1258" priority="1689" rank="1"/>
    <cfRule type="top10" dxfId="1257" priority="1690" rank="1"/>
    <cfRule type="top10" dxfId="1256" priority="1685" rank="1"/>
    <cfRule type="top10" dxfId="1255" priority="1684" rank="1"/>
    <cfRule type="top10" dxfId="1254" priority="1683" rank="1"/>
    <cfRule type="top10" dxfId="1253" priority="1682" rank="1"/>
    <cfRule type="top10" dxfId="1252" priority="1688" rank="1"/>
    <cfRule type="top10" dxfId="1251" priority="1687" rank="1"/>
    <cfRule type="top10" dxfId="1250" priority="1655" rank="1"/>
    <cfRule type="top10" dxfId="1249" priority="1693" rank="1"/>
  </conditionalFormatting>
  <conditionalFormatting sqref="BL27:BL31">
    <cfRule type="top10" dxfId="1248" priority="1797" rank="1"/>
  </conditionalFormatting>
  <conditionalFormatting sqref="BL27:BL34">
    <cfRule type="top10" dxfId="1247" priority="1823" rank="1"/>
  </conditionalFormatting>
  <conditionalFormatting sqref="BL28:BL31">
    <cfRule type="top10" dxfId="1246" priority="1832" rank="1"/>
  </conditionalFormatting>
  <conditionalFormatting sqref="BL29:BL33">
    <cfRule type="top10" dxfId="1245" priority="1748" rank="1"/>
    <cfRule type="top10" dxfId="1244" priority="1762" rank="1"/>
    <cfRule type="top10" dxfId="1243" priority="1746" rank="1"/>
    <cfRule type="top10" dxfId="1242" priority="1745" rank="1"/>
    <cfRule type="top10" dxfId="1241" priority="1742" rank="1"/>
    <cfRule type="top10" dxfId="1240" priority="1747" rank="1"/>
    <cfRule type="top10" dxfId="1239" priority="1743" rank="1"/>
    <cfRule type="top10" dxfId="1238" priority="1744" rank="1"/>
  </conditionalFormatting>
  <conditionalFormatting sqref="BL30:BL35">
    <cfRule type="top10" dxfId="1237" priority="1839" rank="1"/>
  </conditionalFormatting>
  <conditionalFormatting sqref="BL31">
    <cfRule type="top10" dxfId="1236" priority="1356" rank="1"/>
  </conditionalFormatting>
  <conditionalFormatting sqref="BL31:BL34">
    <cfRule type="top10" dxfId="1235" priority="1806" rank="1"/>
  </conditionalFormatting>
  <conditionalFormatting sqref="BL31:BL35">
    <cfRule type="top10" dxfId="1234" priority="1793" rank="1"/>
  </conditionalFormatting>
  <conditionalFormatting sqref="BL32">
    <cfRule type="top10" dxfId="1233" priority="1730" rank="1"/>
    <cfRule type="top10" dxfId="1232" priority="1729" rank="1"/>
  </conditionalFormatting>
  <conditionalFormatting sqref="BL32:BL37">
    <cfRule type="top10" dxfId="1231" priority="1815" rank="1"/>
  </conditionalFormatting>
  <conditionalFormatting sqref="BL33:BL37">
    <cfRule type="top10" dxfId="1230" priority="1842" rank="1"/>
  </conditionalFormatting>
  <conditionalFormatting sqref="BL34:BL37">
    <cfRule type="top10" dxfId="1229" priority="1822" rank="1"/>
  </conditionalFormatting>
  <conditionalFormatting sqref="BL35">
    <cfRule type="top10" dxfId="1228" priority="1830" rank="1"/>
  </conditionalFormatting>
  <conditionalFormatting sqref="BL36">
    <cfRule type="top10" dxfId="1227" priority="1761" rank="1"/>
    <cfRule type="top10" dxfId="1226" priority="1740" rank="1"/>
    <cfRule type="top10" dxfId="1225" priority="1741" rank="1"/>
    <cfRule type="top10" dxfId="1224" priority="1738" rank="1"/>
    <cfRule type="top10" dxfId="1223" priority="1739" rank="1"/>
    <cfRule type="top10" dxfId="1222" priority="1737" rank="1"/>
    <cfRule type="top10" dxfId="1221" priority="1736" rank="1"/>
    <cfRule type="top10" dxfId="1220" priority="1735" rank="1"/>
  </conditionalFormatting>
  <conditionalFormatting sqref="BL37">
    <cfRule type="top10" dxfId="1219" priority="1665" rank="1"/>
    <cfRule type="top10" dxfId="1218" priority="1664" rank="1"/>
    <cfRule type="top10" dxfId="1217" priority="1663" rank="1"/>
    <cfRule type="top10" dxfId="1216" priority="1658" rank="1"/>
    <cfRule type="top10" dxfId="1215" priority="1659" rank="1"/>
    <cfRule type="top10" dxfId="1214" priority="1660" rank="1"/>
    <cfRule type="top10" dxfId="1213" priority="1661" rank="1"/>
    <cfRule type="top10" dxfId="1212" priority="1662" rank="1"/>
  </conditionalFormatting>
  <conditionalFormatting sqref="BL33:BM37 BL7:BL32">
    <cfRule type="top10" dxfId="1211" priority="1809" rank="1"/>
    <cfRule type="top10" dxfId="1210" priority="1853" rank="1"/>
    <cfRule type="top10" dxfId="1209" priority="1795" rank="1"/>
  </conditionalFormatting>
  <conditionalFormatting sqref="BM7:BM37">
    <cfRule type="top10" dxfId="1208" priority="1708" rank="1"/>
  </conditionalFormatting>
  <conditionalFormatting sqref="BM8">
    <cfRule type="top10" dxfId="1207" priority="1707" rank="1"/>
  </conditionalFormatting>
  <conditionalFormatting sqref="BP7:BP37">
    <cfRule type="top10" dxfId="1206" priority="1763" rank="1"/>
    <cfRule type="top10" dxfId="1205" priority="1851" rank="1"/>
    <cfRule type="top10" dxfId="1204" priority="1852" rank="1"/>
    <cfRule type="top10" dxfId="1203" priority="1773" rank="1"/>
    <cfRule type="top10" dxfId="1202" priority="1776" rank="1"/>
    <cfRule type="top10" dxfId="1201" priority="1788" rank="1"/>
    <cfRule type="top10" dxfId="1200" priority="1838" rank="1"/>
    <cfRule type="top10" dxfId="1199" priority="742" rank="1"/>
    <cfRule type="top10" dxfId="1198" priority="743" rank="1"/>
    <cfRule type="top10" dxfId="1197" priority="1360" rank="1"/>
    <cfRule type="top10" dxfId="1196" priority="1361" rank="1"/>
    <cfRule type="top10" dxfId="1195" priority="1362" rank="1"/>
    <cfRule type="top10" dxfId="1194" priority="741" rank="1"/>
  </conditionalFormatting>
  <conditionalFormatting sqref="BP10">
    <cfRule type="top10" dxfId="1193" priority="1355" rank="1"/>
  </conditionalFormatting>
  <conditionalFormatting sqref="BP11:BP17">
    <cfRule type="top10" dxfId="1192" priority="1783" rank="1"/>
  </conditionalFormatting>
  <conditionalFormatting sqref="BP12:BP17">
    <cfRule type="top10" dxfId="1191" priority="1791" rank="1"/>
  </conditionalFormatting>
  <conditionalFormatting sqref="BP12:BP24">
    <cfRule type="top10" dxfId="1190" priority="1849" rank="1"/>
  </conditionalFormatting>
  <conditionalFormatting sqref="BP13:BP14">
    <cfRule type="top10" dxfId="1189" priority="1799" rank="1"/>
  </conditionalFormatting>
  <conditionalFormatting sqref="BP13:BP17">
    <cfRule type="top10" dxfId="1188" priority="1778" rank="1"/>
  </conditionalFormatting>
  <conditionalFormatting sqref="BP13:BP24">
    <cfRule type="top10" dxfId="1187" priority="1812" rank="1"/>
  </conditionalFormatting>
  <conditionalFormatting sqref="BP14">
    <cfRule type="top10" dxfId="1186" priority="1833" rank="1"/>
  </conditionalFormatting>
  <conditionalFormatting sqref="BP14:BP17">
    <cfRule type="top10" dxfId="1185" priority="1786" rank="1"/>
  </conditionalFormatting>
  <conditionalFormatting sqref="BP16:BP18 BP20:BP21">
    <cfRule type="top10" dxfId="1184" priority="1837" rank="1"/>
  </conditionalFormatting>
  <conditionalFormatting sqref="BP16:BP21">
    <cfRule type="top10" dxfId="1183" priority="1787" rank="1"/>
  </conditionalFormatting>
  <conditionalFormatting sqref="BP16:BP23">
    <cfRule type="top10" dxfId="1182" priority="1769" rank="1"/>
  </conditionalFormatting>
  <conditionalFormatting sqref="BP17">
    <cfRule type="top10" dxfId="1181" priority="1354" rank="1"/>
  </conditionalFormatting>
  <conditionalFormatting sqref="BP17:BP18 BP20:BP21">
    <cfRule type="top10" dxfId="1180" priority="1805" rank="1"/>
  </conditionalFormatting>
  <conditionalFormatting sqref="BP17:BP20">
    <cfRule type="top10" dxfId="1179" priority="1772" rank="1"/>
  </conditionalFormatting>
  <conditionalFormatting sqref="BP17:BP21">
    <cfRule type="top10" dxfId="1178" priority="1775" rank="1"/>
  </conditionalFormatting>
  <conditionalFormatting sqref="BP17:BP23">
    <cfRule type="top10" dxfId="1177" priority="1765" rank="1"/>
  </conditionalFormatting>
  <conditionalFormatting sqref="BP18">
    <cfRule type="top10" dxfId="1176" priority="1726" rank="1"/>
    <cfRule type="top10" dxfId="1175" priority="1728" rank="1"/>
    <cfRule type="top10" dxfId="1174" priority="1725" rank="1"/>
    <cfRule type="top10" dxfId="1173" priority="1727" rank="1"/>
  </conditionalFormatting>
  <conditionalFormatting sqref="BP18:BP19">
    <cfRule type="top10" dxfId="1172" priority="1669" rank="1"/>
    <cfRule type="top10" dxfId="1171" priority="1670" rank="1"/>
    <cfRule type="top10" dxfId="1170" priority="1672" rank="1"/>
    <cfRule type="top10" dxfId="1169" priority="1671" rank="1"/>
  </conditionalFormatting>
  <conditionalFormatting sqref="BP18:BP20">
    <cfRule type="top10" dxfId="1168" priority="1782" rank="1"/>
  </conditionalFormatting>
  <conditionalFormatting sqref="BP18:BP23">
    <cfRule type="top10" dxfId="1167" priority="1766" rank="1"/>
  </conditionalFormatting>
  <conditionalFormatting sqref="BP19">
    <cfRule type="top10" dxfId="1166" priority="1636" rank="1"/>
    <cfRule type="top10" dxfId="1165" priority="1635" rank="1"/>
    <cfRule type="top10" dxfId="1164" priority="1630" rank="1"/>
    <cfRule type="top10" dxfId="1163" priority="1631" rank="1"/>
    <cfRule type="top10" dxfId="1162" priority="1632" rank="1"/>
    <cfRule type="top10" dxfId="1161" priority="1634" rank="1"/>
    <cfRule type="top10" dxfId="1160" priority="1633" rank="1"/>
  </conditionalFormatting>
  <conditionalFormatting sqref="BP19:BP23">
    <cfRule type="top10" dxfId="1159" priority="1792" rank="1"/>
  </conditionalFormatting>
  <conditionalFormatting sqref="BP19:BP26">
    <cfRule type="top10" dxfId="1158" priority="1790" rank="1"/>
  </conditionalFormatting>
  <conditionalFormatting sqref="BP20:BP21">
    <cfRule type="top10" dxfId="1157" priority="1800" rank="1"/>
  </conditionalFormatting>
  <conditionalFormatting sqref="BP20:BP23">
    <cfRule type="top10" dxfId="1156" priority="1764" rank="1"/>
  </conditionalFormatting>
  <conditionalFormatting sqref="BP20:BP24">
    <cfRule type="top10" dxfId="1155" priority="1848" rank="1"/>
  </conditionalFormatting>
  <conditionalFormatting sqref="BP20:BP26">
    <cfRule type="top10" dxfId="1154" priority="1777" rank="1"/>
  </conditionalFormatting>
  <conditionalFormatting sqref="BP21:BP26">
    <cfRule type="top10" dxfId="1153" priority="1785" rank="1"/>
  </conditionalFormatting>
  <conditionalFormatting sqref="BP22:BP26">
    <cfRule type="top10" dxfId="1152" priority="1781" rank="1"/>
  </conditionalFormatting>
  <conditionalFormatting sqref="BP23:BP28">
    <cfRule type="top10" dxfId="1151" priority="1836" rank="1"/>
  </conditionalFormatting>
  <conditionalFormatting sqref="BP23:BP33">
    <cfRule type="top10" dxfId="1150" priority="1768" rank="1"/>
  </conditionalFormatting>
  <conditionalFormatting sqref="BP24">
    <cfRule type="top10" dxfId="1149" priority="1353" rank="1"/>
  </conditionalFormatting>
  <conditionalFormatting sqref="BP24:BP28">
    <cfRule type="top10" dxfId="1148" priority="1804" rank="1"/>
  </conditionalFormatting>
  <conditionalFormatting sqref="BP24:BP33">
    <cfRule type="top10" dxfId="1147" priority="1774" rank="1"/>
  </conditionalFormatting>
  <conditionalFormatting sqref="BP25">
    <cfRule type="top10" dxfId="1146" priority="1724" rank="1"/>
    <cfRule type="top10" dxfId="1145" priority="1723" rank="1"/>
    <cfRule type="top10" dxfId="1144" priority="1722" rank="1"/>
    <cfRule type="top10" dxfId="1143" priority="1721" rank="1"/>
  </conditionalFormatting>
  <conditionalFormatting sqref="BP25:BP28">
    <cfRule type="top10" dxfId="1142" priority="1771" rank="1"/>
  </conditionalFormatting>
  <conditionalFormatting sqref="BP25:BP33">
    <cfRule type="top10" dxfId="1141" priority="1780" rank="1"/>
  </conditionalFormatting>
  <conditionalFormatting sqref="BP26">
    <cfRule type="top10" dxfId="1140" priority="1827" rank="1"/>
  </conditionalFormatting>
  <conditionalFormatting sqref="BP26:BP33">
    <cfRule type="top10" dxfId="1139" priority="1847" rank="1"/>
  </conditionalFormatting>
  <conditionalFormatting sqref="BP26:BP34">
    <cfRule type="top10" dxfId="1138" priority="1789" rank="1"/>
  </conditionalFormatting>
  <conditionalFormatting sqref="BP27">
    <cfRule type="top10" dxfId="1137" priority="1654" rank="1"/>
    <cfRule type="top10" dxfId="1136" priority="1653" rank="1"/>
    <cfRule type="top10" dxfId="1135" priority="1677" rank="1"/>
    <cfRule type="top10" dxfId="1134" priority="1678" rank="1"/>
    <cfRule type="top10" dxfId="1133" priority="1680" rank="1"/>
    <cfRule type="top10" dxfId="1132" priority="1681" rank="1"/>
    <cfRule type="top10" dxfId="1131" priority="1679" rank="1"/>
  </conditionalFormatting>
  <conditionalFormatting sqref="BP27:BP28">
    <cfRule type="top10" dxfId="1130" priority="1801" rank="1"/>
  </conditionalFormatting>
  <conditionalFormatting sqref="BP27:BP32">
    <cfRule type="top10" dxfId="1129" priority="1796" rank="1"/>
  </conditionalFormatting>
  <conditionalFormatting sqref="BP27:BP33">
    <cfRule type="top10" dxfId="1128" priority="1811" rank="1"/>
  </conditionalFormatting>
  <conditionalFormatting sqref="BP27:BP34">
    <cfRule type="top10" dxfId="1127" priority="1784" rank="1"/>
  </conditionalFormatting>
  <conditionalFormatting sqref="BP28">
    <cfRule type="top10" dxfId="1126" priority="1831" rank="1"/>
  </conditionalFormatting>
  <conditionalFormatting sqref="BP28:BP32">
    <cfRule type="top10" dxfId="1125" priority="1767" rank="1"/>
  </conditionalFormatting>
  <conditionalFormatting sqref="BP29:BP33">
    <cfRule type="top10" dxfId="1124" priority="1760" rank="1"/>
  </conditionalFormatting>
  <conditionalFormatting sqref="BP30:BP35">
    <cfRule type="top10" dxfId="1123" priority="1835" rank="1"/>
  </conditionalFormatting>
  <conditionalFormatting sqref="BP31:BP32">
    <cfRule type="top10" dxfId="1122" priority="1352" rank="1"/>
  </conditionalFormatting>
  <conditionalFormatting sqref="BP31:BP34">
    <cfRule type="top10" dxfId="1121" priority="1803" rank="1"/>
  </conditionalFormatting>
  <conditionalFormatting sqref="BP31:BP35">
    <cfRule type="top10" dxfId="1120" priority="1770" rank="1"/>
  </conditionalFormatting>
  <conditionalFormatting sqref="BP32">
    <cfRule type="top10" dxfId="1119" priority="1718" rank="1"/>
    <cfRule type="top10" dxfId="1118" priority="1719" rank="1"/>
    <cfRule type="top10" dxfId="1117" priority="1717" rank="1"/>
    <cfRule type="top10" dxfId="1116" priority="1720" rank="1"/>
  </conditionalFormatting>
  <conditionalFormatting sqref="BP32:BP37">
    <cfRule type="top10" dxfId="1115" priority="1779" rank="1"/>
  </conditionalFormatting>
  <conditionalFormatting sqref="BP33">
    <cfRule type="top10" dxfId="1114" priority="1826" rank="1"/>
  </conditionalFormatting>
  <conditionalFormatting sqref="BP33:BP37">
    <cfRule type="top10" dxfId="1113" priority="1846" rank="1"/>
  </conditionalFormatting>
  <conditionalFormatting sqref="BP34:BP37">
    <cfRule type="top10" dxfId="1112" priority="1810" rank="1"/>
  </conditionalFormatting>
  <conditionalFormatting sqref="BP35">
    <cfRule type="top10" dxfId="1111" priority="1829" rank="1"/>
  </conditionalFormatting>
  <conditionalFormatting sqref="BP36">
    <cfRule type="top10" dxfId="1110" priority="1759" rank="1"/>
  </conditionalFormatting>
  <conditionalFormatting sqref="BP37">
    <cfRule type="top10" dxfId="1109" priority="1828" rank="1"/>
    <cfRule type="top10" dxfId="1108" priority="1657" rank="1"/>
  </conditionalFormatting>
  <conditionalFormatting sqref="BQ7:BQ37">
    <cfRule type="top10" dxfId="1107" priority="1706" rank="1"/>
  </conditionalFormatting>
  <conditionalFormatting sqref="BQ8">
    <cfRule type="top10" dxfId="1106" priority="1705" rank="1"/>
  </conditionalFormatting>
  <conditionalFormatting sqref="BU7:BV37">
    <cfRule type="top10" dxfId="1105" priority="1855" rank="1"/>
  </conditionalFormatting>
  <conditionalFormatting sqref="CB7:CB37">
    <cfRule type="top10" dxfId="1104" priority="1704" rank="1"/>
  </conditionalFormatting>
  <conditionalFormatting sqref="CB8">
    <cfRule type="top10" dxfId="1103" priority="1703" rank="1"/>
  </conditionalFormatting>
  <conditionalFormatting sqref="CC7:CC38">
    <cfRule type="top10" dxfId="1102" priority="1850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Plan156">
    <tabColor rgb="FF92D050"/>
  </sheetPr>
  <dimension ref="A1:V29"/>
  <sheetViews>
    <sheetView zoomScale="80" zoomScaleNormal="80" workbookViewId="0">
      <selection activeCell="F5" sqref="F5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43070</v>
      </c>
      <c r="C5" s="24">
        <v>44843</v>
      </c>
      <c r="D5" s="85">
        <f>SUM(C5:C5)-(F5*1)</f>
        <v>-10420.15789473684</v>
      </c>
      <c r="E5" s="24">
        <f>C5/1</f>
        <v>44843</v>
      </c>
      <c r="F5" s="30">
        <f t="shared" ref="F5:F23" si="0">$F$24/$G$23</f>
        <v>55263.15789473684</v>
      </c>
      <c r="G5" s="20">
        <v>1</v>
      </c>
      <c r="H5" s="89">
        <v>43070</v>
      </c>
      <c r="I5" s="12">
        <v>15823</v>
      </c>
      <c r="J5" s="10">
        <f>SUM(I5:I5)-(L5*G5)</f>
        <v>-492.78947368420995</v>
      </c>
      <c r="K5" s="10">
        <f>I5/1</f>
        <v>15823</v>
      </c>
      <c r="L5" s="10">
        <f t="shared" ref="L5:L23" si="1">$L$24/$G$23</f>
        <v>16315.78947368421</v>
      </c>
    </row>
    <row r="6" spans="2:22" ht="20.100000000000001" customHeight="1" x14ac:dyDescent="0.2">
      <c r="B6" s="89">
        <v>43071</v>
      </c>
      <c r="C6" s="26">
        <v>47854</v>
      </c>
      <c r="D6" s="85">
        <f>SUM(C$5:C6)-(F6*G6)</f>
        <v>-17829.31578947368</v>
      </c>
      <c r="E6" s="24">
        <f>SUM(C$5:C6)/G6</f>
        <v>46348.5</v>
      </c>
      <c r="F6" s="30">
        <f t="shared" si="0"/>
        <v>55263.15789473684</v>
      </c>
      <c r="G6" s="20">
        <v>2</v>
      </c>
      <c r="H6" s="89">
        <v>43071</v>
      </c>
      <c r="I6" s="21">
        <v>21400</v>
      </c>
      <c r="J6" s="85">
        <f>SUM(I$5:I6)-(L6*G6)</f>
        <v>4591.4210526315801</v>
      </c>
      <c r="K6" s="10">
        <f>SUM(I$5:I6)/G6</f>
        <v>18611.5</v>
      </c>
      <c r="L6" s="10">
        <f t="shared" si="1"/>
        <v>16315.78947368421</v>
      </c>
    </row>
    <row r="7" spans="2:22" ht="20.100000000000001" customHeight="1" x14ac:dyDescent="0.2">
      <c r="B7" s="89">
        <v>43073</v>
      </c>
      <c r="C7" s="24">
        <v>47626</v>
      </c>
      <c r="D7" s="85">
        <f>SUM(C$5:C7)-(F7*G7)</f>
        <v>-25466.473684210505</v>
      </c>
      <c r="E7" s="24">
        <f>SUM(C$5:C7)/G7</f>
        <v>46774.333333333336</v>
      </c>
      <c r="F7" s="30">
        <f t="shared" si="0"/>
        <v>55263.15789473684</v>
      </c>
      <c r="G7" s="20">
        <v>3</v>
      </c>
      <c r="H7" s="89">
        <v>43073</v>
      </c>
      <c r="I7" s="21">
        <v>22481</v>
      </c>
      <c r="J7" s="85">
        <f>SUM(I$5:I7)-(L7*G7)</f>
        <v>10756.631578947374</v>
      </c>
      <c r="K7" s="10">
        <f>SUM(I$5:I7)/G7</f>
        <v>19901.333333333332</v>
      </c>
      <c r="L7" s="10">
        <f t="shared" si="1"/>
        <v>16315.78947368421</v>
      </c>
    </row>
    <row r="8" spans="2:22" ht="19.5" customHeight="1" x14ac:dyDescent="0.2">
      <c r="B8" s="89">
        <v>43074</v>
      </c>
      <c r="C8" s="24">
        <v>55897</v>
      </c>
      <c r="D8" s="85">
        <f>SUM(C$5:C8)-(F8*G8)</f>
        <v>-24832.631578947359</v>
      </c>
      <c r="E8" s="24">
        <f>SUM(C$5:C8)/G8</f>
        <v>49055</v>
      </c>
      <c r="F8" s="30">
        <f t="shared" si="0"/>
        <v>55263.15789473684</v>
      </c>
      <c r="G8" s="20">
        <v>4</v>
      </c>
      <c r="H8" s="89">
        <v>43074</v>
      </c>
      <c r="I8" s="21">
        <v>19506</v>
      </c>
      <c r="J8" s="85">
        <f>SUM(I$5:I8)-(L8*G8)</f>
        <v>13946.84210526316</v>
      </c>
      <c r="K8" s="10">
        <f>SUM(I$5:I8)/G8</f>
        <v>19802.5</v>
      </c>
      <c r="L8" s="10">
        <f t="shared" si="1"/>
        <v>16315.78947368421</v>
      </c>
    </row>
    <row r="9" spans="2:22" ht="20.100000000000001" customHeight="1" x14ac:dyDescent="0.2">
      <c r="B9" s="89">
        <v>43075</v>
      </c>
      <c r="C9" s="27">
        <v>40062</v>
      </c>
      <c r="D9" s="85">
        <f>SUM(C$5:C9)-(F9*G9)</f>
        <v>-40033.789473684214</v>
      </c>
      <c r="E9" s="24">
        <f>SUM(C$5:C9)/G9</f>
        <v>47256.4</v>
      </c>
      <c r="F9" s="30">
        <f t="shared" si="0"/>
        <v>55263.15789473684</v>
      </c>
      <c r="G9" s="20">
        <v>5</v>
      </c>
      <c r="H9" s="89">
        <v>43075</v>
      </c>
      <c r="I9" s="22">
        <v>9105</v>
      </c>
      <c r="J9" s="85">
        <f>SUM(I$5:I9)-(L9*G9)</f>
        <v>6736.0526315789466</v>
      </c>
      <c r="K9" s="10">
        <f>SUM(I$5:I9)/G9</f>
        <v>17663</v>
      </c>
      <c r="L9" s="10">
        <f t="shared" si="1"/>
        <v>16315.78947368421</v>
      </c>
    </row>
    <row r="10" spans="2:22" ht="20.100000000000001" customHeight="1" x14ac:dyDescent="0.2">
      <c r="B10" s="89">
        <v>43076</v>
      </c>
      <c r="C10" s="27">
        <v>57277</v>
      </c>
      <c r="D10" s="85">
        <f>SUM(C$5:C10)-(F10*G10)</f>
        <v>-38019.94736842101</v>
      </c>
      <c r="E10" s="24">
        <f>SUM(C$5:C10)/G10</f>
        <v>48926.5</v>
      </c>
      <c r="F10" s="30">
        <f t="shared" si="0"/>
        <v>55263.15789473684</v>
      </c>
      <c r="G10" s="20">
        <v>6</v>
      </c>
      <c r="H10" s="89">
        <v>43076</v>
      </c>
      <c r="I10" s="22">
        <v>10177</v>
      </c>
      <c r="J10" s="85">
        <f>SUM(I$5:I10)-(L10*G10)</f>
        <v>597.26315789474756</v>
      </c>
      <c r="K10" s="10">
        <f>SUM(I$5:I10)/G10</f>
        <v>16415.333333333332</v>
      </c>
      <c r="L10" s="10">
        <f t="shared" si="1"/>
        <v>16315.78947368421</v>
      </c>
    </row>
    <row r="11" spans="2:22" ht="20.100000000000001" customHeight="1" x14ac:dyDescent="0.2">
      <c r="B11" s="89">
        <v>43077</v>
      </c>
      <c r="C11" s="24">
        <v>67537</v>
      </c>
      <c r="D11" s="85">
        <f>SUM(C$5:C11)-(F11*G11)</f>
        <v>-25746.105263157864</v>
      </c>
      <c r="E11" s="24">
        <f>SUM(C$5:C11)/G11</f>
        <v>51585.142857142855</v>
      </c>
      <c r="F11" s="30">
        <f t="shared" si="0"/>
        <v>55263.15789473684</v>
      </c>
      <c r="G11" s="20">
        <v>7</v>
      </c>
      <c r="H11" s="89">
        <v>43077</v>
      </c>
      <c r="I11" s="21">
        <v>14335</v>
      </c>
      <c r="J11" s="85">
        <f>SUM(I$5:I11)-(L11*G11)</f>
        <v>-1383.526315789466</v>
      </c>
      <c r="K11" s="10">
        <f>SUM(I$5:I11)/G11</f>
        <v>16118.142857142857</v>
      </c>
      <c r="L11" s="10">
        <f t="shared" si="1"/>
        <v>16315.78947368421</v>
      </c>
    </row>
    <row r="12" spans="2:22" ht="20.100000000000001" customHeight="1" x14ac:dyDescent="0.2">
      <c r="B12" s="89">
        <v>43078</v>
      </c>
      <c r="C12" s="24">
        <v>55959</v>
      </c>
      <c r="D12" s="85">
        <f>SUM(C$5:C12)-(F12*G12)</f>
        <v>-25050.263157894718</v>
      </c>
      <c r="E12" s="24">
        <f>SUM(C$5:C12)/G12</f>
        <v>52131.875</v>
      </c>
      <c r="F12" s="30">
        <f t="shared" si="0"/>
        <v>55263.15789473684</v>
      </c>
      <c r="G12" s="20">
        <v>8</v>
      </c>
      <c r="H12" s="89">
        <v>43078</v>
      </c>
      <c r="I12" s="21">
        <v>17562</v>
      </c>
      <c r="J12" s="85">
        <f>SUM(I$5:I12)-(L12*G12)</f>
        <v>-137.31578947367962</v>
      </c>
      <c r="K12" s="10">
        <f>SUM(I$5:I12)/G12</f>
        <v>16298.625</v>
      </c>
      <c r="L12" s="10">
        <f t="shared" si="1"/>
        <v>16315.78947368421</v>
      </c>
    </row>
    <row r="13" spans="2:22" ht="20.100000000000001" customHeight="1" x14ac:dyDescent="0.2">
      <c r="B13" s="89">
        <v>43080</v>
      </c>
      <c r="C13" s="29">
        <v>63439</v>
      </c>
      <c r="D13" s="85">
        <f>SUM(C$5:C13)-(F13*G13)</f>
        <v>-16874.421052631573</v>
      </c>
      <c r="E13" s="24">
        <f>SUM(C$5:C13)/G13</f>
        <v>53388.222222222219</v>
      </c>
      <c r="F13" s="30">
        <f t="shared" si="0"/>
        <v>55263.15789473684</v>
      </c>
      <c r="G13" s="20">
        <v>9</v>
      </c>
      <c r="H13" s="89">
        <v>43080</v>
      </c>
      <c r="I13" s="13">
        <v>16561</v>
      </c>
      <c r="J13" s="85">
        <f>SUM(I$5:I13)-(L13*G13)</f>
        <v>107.89473684210679</v>
      </c>
      <c r="K13" s="10">
        <f>SUM(I$5:I13)/G13</f>
        <v>16327.777777777777</v>
      </c>
      <c r="L13" s="10">
        <f t="shared" si="1"/>
        <v>16315.78947368421</v>
      </c>
    </row>
    <row r="14" spans="2:22" ht="20.100000000000001" customHeight="1" x14ac:dyDescent="0.2">
      <c r="B14" s="89">
        <v>43081</v>
      </c>
      <c r="C14" s="29">
        <v>59740</v>
      </c>
      <c r="D14" s="85">
        <f>SUM(C$5:C14)-(F14*G14)</f>
        <v>-12397.578947368427</v>
      </c>
      <c r="E14" s="24">
        <f>SUM(C$5:C14)/G14</f>
        <v>54023.4</v>
      </c>
      <c r="F14" s="30">
        <f t="shared" si="0"/>
        <v>55263.15789473684</v>
      </c>
      <c r="G14" s="20">
        <v>10</v>
      </c>
      <c r="H14" s="89">
        <v>43081</v>
      </c>
      <c r="I14" s="13">
        <v>23470</v>
      </c>
      <c r="J14" s="85">
        <f>SUM(I$5:I14)-(L14*G14)</f>
        <v>7262.1052631578932</v>
      </c>
      <c r="K14" s="10">
        <f>SUM(I$5:I14)/G14</f>
        <v>17042</v>
      </c>
      <c r="L14" s="10">
        <f t="shared" si="1"/>
        <v>16315.78947368421</v>
      </c>
    </row>
    <row r="15" spans="2:22" ht="20.100000000000001" customHeight="1" x14ac:dyDescent="0.2">
      <c r="B15" s="89">
        <v>43082</v>
      </c>
      <c r="C15" s="29">
        <v>55603</v>
      </c>
      <c r="D15" s="85">
        <f>SUM(C$5:C15)-(F15*G15)</f>
        <v>-12057.736842105282</v>
      </c>
      <c r="E15" s="24">
        <f>SUM(C$5:C15)/G15</f>
        <v>54167</v>
      </c>
      <c r="F15" s="30">
        <f t="shared" si="0"/>
        <v>55263.15789473684</v>
      </c>
      <c r="G15" s="20">
        <v>11</v>
      </c>
      <c r="H15" s="89">
        <v>43082</v>
      </c>
      <c r="I15" s="13">
        <v>18209</v>
      </c>
      <c r="J15" s="85">
        <f>SUM(I$5:I15)-(L15*G15)</f>
        <v>9155.3157894736796</v>
      </c>
      <c r="K15" s="10">
        <f>SUM(I$5:I15)/G15</f>
        <v>17148.090909090908</v>
      </c>
      <c r="L15" s="10">
        <f t="shared" si="1"/>
        <v>16315.78947368421</v>
      </c>
    </row>
    <row r="16" spans="2:22" ht="19.5" customHeight="1" x14ac:dyDescent="0.2">
      <c r="B16" s="89">
        <v>43083</v>
      </c>
      <c r="C16" s="29">
        <v>56450</v>
      </c>
      <c r="D16" s="85">
        <f>SUM(C$5:C16)-(F16*G16)</f>
        <v>-10870.894736842019</v>
      </c>
      <c r="E16" s="24">
        <f>SUM(C$5:C16)/G16</f>
        <v>54357.25</v>
      </c>
      <c r="F16" s="30">
        <f t="shared" si="0"/>
        <v>55263.15789473684</v>
      </c>
      <c r="G16" s="20">
        <v>12</v>
      </c>
      <c r="H16" s="89">
        <v>43083</v>
      </c>
      <c r="I16" s="13">
        <v>22894</v>
      </c>
      <c r="J16" s="85">
        <f>SUM(I$5:I16)-(L16*G16)</f>
        <v>15733.526315789495</v>
      </c>
      <c r="K16" s="10">
        <f>SUM(I$5:I16)/G16</f>
        <v>17626.916666666668</v>
      </c>
      <c r="L16" s="10">
        <f t="shared" si="1"/>
        <v>16315.78947368421</v>
      </c>
    </row>
    <row r="17" spans="1:12" ht="20.100000000000001" customHeight="1" x14ac:dyDescent="0.2">
      <c r="B17" s="89">
        <v>43084</v>
      </c>
      <c r="C17" s="29">
        <v>13512</v>
      </c>
      <c r="D17" s="85">
        <f>SUM(C$5:C17)-(F17*G17)</f>
        <v>-52622.052631578874</v>
      </c>
      <c r="E17" s="24">
        <f>SUM(C$5:C17)/G17</f>
        <v>51215.307692307695</v>
      </c>
      <c r="F17" s="30">
        <f t="shared" si="0"/>
        <v>55263.15789473684</v>
      </c>
      <c r="G17" s="20">
        <v>13</v>
      </c>
      <c r="H17" s="89">
        <v>43084</v>
      </c>
      <c r="I17" s="13">
        <v>5701</v>
      </c>
      <c r="J17" s="85">
        <f>SUM(I$5:I17)-(L17*G17)</f>
        <v>5118.7368421052815</v>
      </c>
      <c r="K17" s="10">
        <f>SUM(I$5:I17)/G17</f>
        <v>16709.538461538461</v>
      </c>
      <c r="L17" s="10">
        <f t="shared" si="1"/>
        <v>16315.78947368421</v>
      </c>
    </row>
    <row r="18" spans="1:12" ht="20.100000000000001" customHeight="1" x14ac:dyDescent="0.2">
      <c r="B18" s="89">
        <v>43085</v>
      </c>
      <c r="C18" s="29">
        <v>58584</v>
      </c>
      <c r="D18" s="85">
        <f>SUM(C$5:C18)-(F18*G18)</f>
        <v>-49301.210526315728</v>
      </c>
      <c r="E18" s="24">
        <f>SUM(C$5:C18)/G18</f>
        <v>51741.642857142855</v>
      </c>
      <c r="F18" s="30">
        <f t="shared" si="0"/>
        <v>55263.15789473684</v>
      </c>
      <c r="G18" s="20">
        <v>14</v>
      </c>
      <c r="H18" s="89">
        <v>43085</v>
      </c>
      <c r="I18" s="13">
        <v>18376</v>
      </c>
      <c r="J18" s="85">
        <f>SUM(I$5:I18)-(L18*G18)</f>
        <v>7178.9473684210679</v>
      </c>
      <c r="K18" s="10">
        <f>SUM(I$5:I18)/G18</f>
        <v>16828.571428571428</v>
      </c>
      <c r="L18" s="10">
        <f t="shared" si="1"/>
        <v>16315.78947368421</v>
      </c>
    </row>
    <row r="19" spans="1:12" ht="20.100000000000001" customHeight="1" x14ac:dyDescent="0.2">
      <c r="B19" s="89">
        <v>43087</v>
      </c>
      <c r="C19" s="24">
        <v>53868</v>
      </c>
      <c r="D19" s="85">
        <f>SUM(C$5:C19)-(F19*G19)</f>
        <v>-50696.368421052583</v>
      </c>
      <c r="E19" s="24">
        <f>SUM(C$5:C19)/G19</f>
        <v>51883.4</v>
      </c>
      <c r="F19" s="30">
        <f t="shared" si="0"/>
        <v>55263.15789473684</v>
      </c>
      <c r="G19" s="20">
        <v>15</v>
      </c>
      <c r="H19" s="89">
        <v>43087</v>
      </c>
      <c r="I19" s="21">
        <v>49241</v>
      </c>
      <c r="J19" s="85">
        <f>SUM(I$5:I19)-(L19*G19)</f>
        <v>40104.157894736854</v>
      </c>
      <c r="K19" s="10">
        <f>SUM(I$5:I19)/G19</f>
        <v>18989.400000000001</v>
      </c>
      <c r="L19" s="10">
        <f t="shared" si="1"/>
        <v>16315.78947368421</v>
      </c>
    </row>
    <row r="20" spans="1:12" ht="20.100000000000001" customHeight="1" x14ac:dyDescent="0.2">
      <c r="B20" s="89">
        <v>43088</v>
      </c>
      <c r="C20" s="29">
        <v>55804</v>
      </c>
      <c r="D20" s="85">
        <f>SUM(C$5:C20)-(F20*G20)</f>
        <v>-50155.526315789437</v>
      </c>
      <c r="E20" s="24">
        <f>SUM(C$5:C20)/G20</f>
        <v>52128.4375</v>
      </c>
      <c r="F20" s="30">
        <f t="shared" si="0"/>
        <v>55263.15789473684</v>
      </c>
      <c r="G20" s="20">
        <v>16</v>
      </c>
      <c r="H20" s="89">
        <v>43088</v>
      </c>
      <c r="I20" s="13">
        <v>18555</v>
      </c>
      <c r="J20" s="85">
        <f>SUM(I$5:I20)-(L20*G20)</f>
        <v>42343.368421052641</v>
      </c>
      <c r="K20" s="10">
        <f>SUM(I$5:I20)/G20</f>
        <v>18962.25</v>
      </c>
      <c r="L20" s="10">
        <f t="shared" si="1"/>
        <v>16315.78947368421</v>
      </c>
    </row>
    <row r="21" spans="1:12" ht="20.100000000000001" customHeight="1" x14ac:dyDescent="0.2">
      <c r="B21" s="89">
        <v>43089</v>
      </c>
      <c r="C21" s="29">
        <v>74285</v>
      </c>
      <c r="D21" s="85">
        <f>SUM(C$5:C21)-(F21*G21)</f>
        <v>-31133.684210526291</v>
      </c>
      <c r="E21" s="24">
        <f>SUM(C$5:C21)/G21</f>
        <v>53431.76470588235</v>
      </c>
      <c r="F21" s="30">
        <f t="shared" si="0"/>
        <v>55263.15789473684</v>
      </c>
      <c r="G21" s="20">
        <v>17</v>
      </c>
      <c r="H21" s="89">
        <v>43089</v>
      </c>
      <c r="I21" s="12">
        <v>27455</v>
      </c>
      <c r="J21" s="85">
        <f>SUM(I$5:I21)-(L21*G21)</f>
        <v>53482.578947368427</v>
      </c>
      <c r="K21" s="10">
        <f>SUM(I$5:I21)/G21</f>
        <v>19461.823529411766</v>
      </c>
      <c r="L21" s="10">
        <f t="shared" si="1"/>
        <v>16315.78947368421</v>
      </c>
    </row>
    <row r="22" spans="1:12" ht="20.100000000000001" customHeight="1" x14ac:dyDescent="0.2">
      <c r="B22" s="89">
        <v>43090</v>
      </c>
      <c r="C22" s="29">
        <v>45497</v>
      </c>
      <c r="D22" s="85">
        <f>SUM(C$5:C22)-(F22*G22)</f>
        <v>-40899.842105263146</v>
      </c>
      <c r="E22" s="24">
        <f>SUM(C$5:C22)/G22</f>
        <v>52990.944444444445</v>
      </c>
      <c r="F22" s="30">
        <f t="shared" si="0"/>
        <v>55263.15789473684</v>
      </c>
      <c r="G22" s="20">
        <v>18</v>
      </c>
      <c r="H22" s="89">
        <v>43090</v>
      </c>
      <c r="I22" s="12">
        <v>16025</v>
      </c>
      <c r="J22" s="85">
        <f>SUM(I$5:I22)-(L22*G22)</f>
        <v>53191.789473684214</v>
      </c>
      <c r="K22" s="10">
        <f>SUM(I$5:I22)/G22</f>
        <v>19270.888888888891</v>
      </c>
      <c r="L22" s="10">
        <f t="shared" si="1"/>
        <v>16315.78947368421</v>
      </c>
    </row>
    <row r="23" spans="1:12" ht="20.100000000000001" customHeight="1" x14ac:dyDescent="0.2">
      <c r="B23" s="89">
        <v>43091</v>
      </c>
      <c r="C23" s="29">
        <v>70568</v>
      </c>
      <c r="D23" s="85">
        <f>SUM(C$5:C23)-(F23*G23)</f>
        <v>-25595</v>
      </c>
      <c r="E23" s="24">
        <f>SUM(C$5:C23)/G23</f>
        <v>53916.052631578947</v>
      </c>
      <c r="F23" s="30">
        <f t="shared" si="0"/>
        <v>55263.15789473684</v>
      </c>
      <c r="G23" s="20">
        <v>19</v>
      </c>
      <c r="H23" s="89">
        <v>43091</v>
      </c>
      <c r="I23" s="12">
        <v>5365</v>
      </c>
      <c r="J23" s="85">
        <f>SUM(I$5:I23)-(L23*G23)</f>
        <v>42241</v>
      </c>
      <c r="K23" s="10">
        <f>SUM(I$5:I23)/G23</f>
        <v>18539</v>
      </c>
      <c r="L23" s="10">
        <f t="shared" si="1"/>
        <v>16315.78947368421</v>
      </c>
    </row>
    <row r="24" spans="1:12" ht="20.100000000000001" customHeight="1" x14ac:dyDescent="0.2">
      <c r="B24" s="19" t="s">
        <v>8</v>
      </c>
      <c r="C24" s="12">
        <f>SUM(C5:C23)</f>
        <v>1024405</v>
      </c>
      <c r="D24" s="86"/>
      <c r="E24" s="23"/>
      <c r="F24" s="30">
        <v>1050000</v>
      </c>
      <c r="G24" s="18"/>
      <c r="H24" s="11" t="s">
        <v>8</v>
      </c>
      <c r="I24" s="12">
        <f>SUM(I5:I23)</f>
        <v>352241</v>
      </c>
      <c r="J24" s="8"/>
      <c r="K24" s="8"/>
      <c r="L24" s="10">
        <v>310000</v>
      </c>
    </row>
    <row r="25" spans="1:12" ht="19.5" customHeight="1" x14ac:dyDescent="0.2"/>
    <row r="26" spans="1:12" ht="19.5" customHeight="1" x14ac:dyDescent="0.2"/>
    <row r="28" spans="1:12" x14ac:dyDescent="0.2">
      <c r="A28" s="156"/>
      <c r="B28" s="156"/>
      <c r="C28" s="156"/>
      <c r="D28" s="156"/>
      <c r="I28" s="34"/>
      <c r="J28" s="32"/>
    </row>
    <row r="29" spans="1:12" x14ac:dyDescent="0.2">
      <c r="L29" s="33"/>
    </row>
  </sheetData>
  <mergeCells count="5">
    <mergeCell ref="B1:F2"/>
    <mergeCell ref="H1:L2"/>
    <mergeCell ref="B3:F3"/>
    <mergeCell ref="H3:L3"/>
    <mergeCell ref="A28:D28"/>
  </mergeCells>
  <conditionalFormatting sqref="D5:D23 J5:J24">
    <cfRule type="cellIs" dxfId="110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Plan157">
    <tabColor rgb="FF92D050"/>
    <pageSetUpPr fitToPage="1"/>
  </sheetPr>
  <dimension ref="A1:CD55"/>
  <sheetViews>
    <sheetView topLeftCell="A13" zoomScale="80" zoomScaleNormal="80" workbookViewId="0">
      <selection activeCell="V49" sqref="V49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11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48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39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Dezembro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Dezembro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Dezembro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Dezembro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24</v>
      </c>
      <c r="C7" s="75">
        <v>12900</v>
      </c>
      <c r="D7" s="75">
        <v>22452</v>
      </c>
      <c r="E7" s="90">
        <f>IF(D7&gt;0,SUM(D$7:D7)-SUM(C$7:C7),0)</f>
        <v>9552</v>
      </c>
      <c r="F7" s="45">
        <f>IF(D7&gt;0,IF(C7&gt;0,D7/C7,0),0)</f>
        <v>1.7404651162790699</v>
      </c>
      <c r="G7" s="75">
        <v>12900</v>
      </c>
      <c r="H7" s="75">
        <v>13268</v>
      </c>
      <c r="I7" s="75">
        <f>IF(H7&gt;0,SUM(H$7:H7)-SUM(G$7:G7),0)</f>
        <v>368</v>
      </c>
      <c r="J7" s="45">
        <f t="shared" ref="J7:J14" si="0">IF(H7&gt;0,IF(G7&gt;0,H7/G7,0),0)</f>
        <v>1.0285271317829456</v>
      </c>
      <c r="K7" s="75">
        <v>12900</v>
      </c>
      <c r="L7" s="75">
        <v>11111</v>
      </c>
      <c r="M7" s="90">
        <f>IF(L7&gt;0,SUM(L$7:L7)-SUM(K$7:K7),0)</f>
        <v>-1789</v>
      </c>
      <c r="N7" s="45">
        <f t="shared" ref="N7:N17" si="1">IF(L7&gt;0,IF(K7&gt;0,L7/K7,0),0)</f>
        <v>0.86131782945736435</v>
      </c>
      <c r="O7" s="35">
        <f t="shared" ref="O7:O14" si="2">IF(SUM(C7,G7,K7)&gt;0,SUM(C7,G7,K7),0)</f>
        <v>38700</v>
      </c>
      <c r="P7" s="35">
        <f>IF(SUM(D7,H7,L7,)&gt;0,SUM(D7,H7,L7,),0)</f>
        <v>46831</v>
      </c>
      <c r="Q7" s="91">
        <f>IF(P7&gt;0,SUM(P$7:P7)-SUM(O$7:O7),0)</f>
        <v>8131</v>
      </c>
      <c r="R7" s="45">
        <f>IF(P7&gt;0,IF(O7&gt;0,P7/O7,0),0)</f>
        <v>1.2101033591731267</v>
      </c>
      <c r="T7" s="47">
        <v>40817</v>
      </c>
      <c r="U7" s="54" t="str">
        <f>B7</f>
        <v>sex</v>
      </c>
      <c r="V7" s="75">
        <v>12340</v>
      </c>
      <c r="W7" s="75">
        <v>16567</v>
      </c>
      <c r="X7" s="92">
        <f>IF(W7&gt;0,SUM(W$7:W7)-SUM(V$7:V7),0)</f>
        <v>4227</v>
      </c>
      <c r="Y7" s="60">
        <f>IF(W7&gt;0,IF(V7&gt;0,W7/V7,0),0)</f>
        <v>1.342544570502431</v>
      </c>
      <c r="Z7" s="75">
        <v>12340</v>
      </c>
      <c r="AA7" s="75">
        <v>11589</v>
      </c>
      <c r="AB7" s="92">
        <f>IF(AA7&gt;0,SUM(AA$7:AA7)-SUM(Z$7:Z7),0)</f>
        <v>-751</v>
      </c>
      <c r="AC7" s="60">
        <f>IF(AA7&gt;0,IF(Z7&gt;0,AA7/Z7,0),0)</f>
        <v>0.93914100486223662</v>
      </c>
      <c r="AD7" s="75">
        <v>12340</v>
      </c>
      <c r="AE7" s="75">
        <v>18245</v>
      </c>
      <c r="AF7" s="92">
        <f>IF(AE7&gt;0,SUM(AE$7:AE7)-SUM(AD$7:AD7),0)</f>
        <v>5905</v>
      </c>
      <c r="AG7" s="60">
        <f>IF(AE7&gt;0,IF(AD7&gt;0,AE7/AD7,0),0)</f>
        <v>1.4785251215559156</v>
      </c>
      <c r="AH7" s="41">
        <f t="shared" ref="AH7:AI38" si="3">IF(SUM(V7,Z7,AD7)&gt;0,SUM(V7,Z7,AD7),0)</f>
        <v>37020</v>
      </c>
      <c r="AI7" s="41">
        <f>IF(SUM(W7,AA7,AE7,)&gt;0,SUM(W7,AA7,AE7),0)</f>
        <v>46401</v>
      </c>
      <c r="AJ7" s="93">
        <f>IF(AI7&gt;0,SUM(AI$7:AI7)-SUM(AH$7:AH7),0)</f>
        <v>9381</v>
      </c>
      <c r="AK7" s="60">
        <f>IF(AI7&gt;0,IF(AH7&gt;0,AI7/AH7,0),0)</f>
        <v>1.2534035656401945</v>
      </c>
      <c r="AM7" s="47">
        <v>40817</v>
      </c>
      <c r="AN7" s="54" t="str">
        <f>U7</f>
        <v>sex</v>
      </c>
      <c r="AO7" s="75">
        <v>7700</v>
      </c>
      <c r="AP7" s="75">
        <v>4348</v>
      </c>
      <c r="AQ7" s="75">
        <f>IF(AP7&gt;0,SUM(AP$7:AP7)-SUM(AO$7:AO7),0)</f>
        <v>-3352</v>
      </c>
      <c r="AR7" s="45">
        <f>IF(AP7&gt;0,IF(AO7&gt;0,AP7/AO7,0),0)</f>
        <v>0.56467532467532466</v>
      </c>
      <c r="AS7" s="75">
        <v>7700</v>
      </c>
      <c r="AT7" s="75">
        <v>5551</v>
      </c>
      <c r="AU7" s="90">
        <f>IF(AT7&gt;0,SUM(AT$7:AT7)-SUM(AS$7:AS7),0)</f>
        <v>-2149</v>
      </c>
      <c r="AV7" s="45">
        <f>IF(AT7&gt;0,IF(AS7&gt;0,AT7/AS7,0),0)</f>
        <v>0.72090909090909094</v>
      </c>
      <c r="AW7" s="75">
        <v>7700</v>
      </c>
      <c r="AX7" s="75">
        <v>6609</v>
      </c>
      <c r="AY7" s="90">
        <f>IF(AX7&gt;0,SUM(AX$7:AX7)-SUM(AW$7:AW7),0)</f>
        <v>-1091</v>
      </c>
      <c r="AZ7" s="45">
        <f>IF(AX7&gt;0,IF(AW7&gt;0,AX7/AW7,0),0)</f>
        <v>0.85831168831168836</v>
      </c>
      <c r="BA7" s="35">
        <f t="shared" ref="BA7:BA38" si="4">IF(SUM(AO7,AS7,AW7)&gt;0,SUM(AO7,AS7,AW7),0)</f>
        <v>23100</v>
      </c>
      <c r="BB7" s="35">
        <f>IF(SUM(AP7,AT7,AX7,)&gt;0,SUM(AP7,AT7,AX7,),0)</f>
        <v>16508</v>
      </c>
      <c r="BC7" s="91">
        <f>IF(BB7&gt;0,SUM(BB$7:BB7)-SUM(BA$7:BA7),0)</f>
        <v>-6592</v>
      </c>
      <c r="BD7" s="45">
        <f>IF(BB7&gt;0,IF(BA7&gt;0,BB7/BA7,0),0)</f>
        <v>0.71463203463203462</v>
      </c>
      <c r="BF7" s="47">
        <v>40817</v>
      </c>
      <c r="BG7" s="54" t="str">
        <f>AN7</f>
        <v>sex</v>
      </c>
      <c r="BH7" s="75">
        <v>18200</v>
      </c>
      <c r="BI7" s="75">
        <v>12851</v>
      </c>
      <c r="BJ7" s="75">
        <f>IF(BI7&gt;0,SUM(BI$7:BI7)-SUM(BH$7:BH7),0)</f>
        <v>-5349</v>
      </c>
      <c r="BK7" s="45">
        <f>IF(BI7&gt;0,IF(BH7&gt;0,BI7/BH7,0),0)</f>
        <v>0.70609890109890106</v>
      </c>
      <c r="BL7" s="75">
        <v>8000</v>
      </c>
      <c r="BM7" s="75">
        <v>3660</v>
      </c>
      <c r="BN7" s="90">
        <f>IF(BM7&gt;0,SUM(BM$7:BM7)-SUM(BL$7:BL7),0)</f>
        <v>-4340</v>
      </c>
      <c r="BO7" s="45">
        <f>IF(BM7&gt;0,IF(BL7&gt;0,BM7/BL7,0),0)</f>
        <v>0.45750000000000002</v>
      </c>
      <c r="BP7" s="75">
        <v>11000</v>
      </c>
      <c r="BQ7" s="75">
        <v>15169</v>
      </c>
      <c r="BR7" s="90">
        <f>IF(BQ7&gt;0,SUM(BQ$7:BQ7)-SUM(BP$7:BP7),0)</f>
        <v>4169</v>
      </c>
      <c r="BS7" s="45">
        <f>IF(BQ7&gt;0,IF(BP7&gt;0,BQ7/BP7,0),0)</f>
        <v>1.379</v>
      </c>
      <c r="BT7" s="35">
        <f t="shared" ref="BT7:BU38" si="5">IF(SUM(BH7,BL7,BP7)&gt;0,SUM(BH7,BL7,BP7),0)</f>
        <v>37200</v>
      </c>
      <c r="BU7" s="35">
        <f t="shared" si="5"/>
        <v>31680</v>
      </c>
      <c r="BV7" s="91">
        <f>IF(BU7&gt;0,SUM(BU$7:BU7)-SUM(BT$7:BT7),0)</f>
        <v>-5520</v>
      </c>
      <c r="BW7" s="45">
        <f>IF(BU7&gt;0,IF(BT7&gt;0,BU7/BT7,0),0)</f>
        <v>0.85161290322580641</v>
      </c>
      <c r="BY7" s="47">
        <v>40817</v>
      </c>
      <c r="BZ7" s="54" t="str">
        <f>BG7</f>
        <v>sex</v>
      </c>
      <c r="CA7" s="75">
        <v>4736</v>
      </c>
      <c r="CB7" s="75">
        <v>1</v>
      </c>
      <c r="CC7" s="90">
        <f>IF(CB7&gt;0,SUM(CB$7:CB7)-SUM(CA7:CA$7),0)</f>
        <v>-4735</v>
      </c>
      <c r="CD7" s="45">
        <f>IF(CB7&gt;0,IF(CA7&gt;0,CB7/CA7,0),0)</f>
        <v>2.1114864864864866E-4</v>
      </c>
    </row>
    <row r="8" spans="1:82" x14ac:dyDescent="0.25">
      <c r="A8" s="47">
        <f>A7+1</f>
        <v>40818</v>
      </c>
      <c r="B8" s="54" t="s">
        <v>25</v>
      </c>
      <c r="C8" s="75">
        <v>12900</v>
      </c>
      <c r="D8" s="75">
        <v>11709</v>
      </c>
      <c r="E8" s="90">
        <f>IF(D8&gt;0,SUM(D$7:D8)-SUM(C$7:C8),0)</f>
        <v>8361</v>
      </c>
      <c r="F8" s="45">
        <f>IF(D8&gt;0,IF(C8&gt;0,D8/C8,0),0)</f>
        <v>0.90767441860465115</v>
      </c>
      <c r="G8" s="75">
        <v>12900</v>
      </c>
      <c r="H8" s="36">
        <v>3302</v>
      </c>
      <c r="I8" s="75">
        <f>IF(H8&gt;0,SUM(H$7:H8)-SUM(G$7:G8),0)</f>
        <v>-9230</v>
      </c>
      <c r="J8" s="45">
        <f t="shared" si="0"/>
        <v>0.25596899224806202</v>
      </c>
      <c r="K8" s="75">
        <v>12900</v>
      </c>
      <c r="L8" s="75">
        <v>3279</v>
      </c>
      <c r="M8" s="90">
        <f>IF(L8&gt;0,SUM(L$7:L8)-SUM(K$7:K8),0)</f>
        <v>-11410</v>
      </c>
      <c r="N8" s="45">
        <f t="shared" si="1"/>
        <v>0.25418604651162791</v>
      </c>
      <c r="O8" s="35">
        <f t="shared" si="2"/>
        <v>38700</v>
      </c>
      <c r="P8" s="35">
        <f t="shared" ref="P8:P37" si="6">IF(SUM(D8,H8,L8,)&gt;0,SUM(D8,H8,L8,),0)</f>
        <v>18290</v>
      </c>
      <c r="Q8" s="91">
        <f>IF(P8&gt;0,SUM(P$7:P8)-SUM(O$7:O8),0)</f>
        <v>-12279</v>
      </c>
      <c r="R8" s="45">
        <f>IF(P8&gt;0,IF(O8&gt;0,P8/O8,0),0)</f>
        <v>0.47260981912144701</v>
      </c>
      <c r="T8" s="47">
        <f>T7+1</f>
        <v>40818</v>
      </c>
      <c r="U8" s="54" t="str">
        <f t="shared" ref="U8:U37" si="7">B8</f>
        <v>sáb</v>
      </c>
      <c r="V8" s="75">
        <v>12340</v>
      </c>
      <c r="W8" s="75">
        <v>11868</v>
      </c>
      <c r="X8" s="92">
        <f>IF(W8&gt;0,SUM(W$7:W8)-SUM(V$7:V8),0)</f>
        <v>3755</v>
      </c>
      <c r="Y8" s="60">
        <f>IF(W8&gt;0,IF(V8&gt;0,W8/V8,0),0)</f>
        <v>0.96175040518638577</v>
      </c>
      <c r="Z8" s="75">
        <v>12340</v>
      </c>
      <c r="AA8" s="75">
        <v>9950</v>
      </c>
      <c r="AB8" s="92">
        <f>IF(AA8&gt;0,SUM(AA$7:AA8)-SUM(Z$7:Z8),0)</f>
        <v>-3141</v>
      </c>
      <c r="AC8" s="60">
        <f>IF(AA8&gt;0,IF(Z8&gt;0,AA8/Z8,0),0)</f>
        <v>0.80632090761750408</v>
      </c>
      <c r="AD8" s="75">
        <v>12340</v>
      </c>
      <c r="AE8" s="75">
        <v>11030</v>
      </c>
      <c r="AF8" s="92">
        <f>IF(AE8&gt;0,SUM(AE$7:AE8)-SUM(AD$7:AD8),0)</f>
        <v>4595</v>
      </c>
      <c r="AG8" s="60">
        <f>IF(AE8&gt;0,IF(AD8&gt;0,AE8/AD8,0),0)</f>
        <v>0.89384116693679094</v>
      </c>
      <c r="AH8" s="41">
        <f t="shared" si="3"/>
        <v>37020</v>
      </c>
      <c r="AI8" s="41">
        <f t="shared" ref="AI8:AI37" si="8">IF(SUM(W8,AA8,AE8,)&gt;0,SUM(W8,AA8,AE8),0)</f>
        <v>32848</v>
      </c>
      <c r="AJ8" s="93">
        <f>IF(AI8&gt;0,SUM(AI$7:AI8)-SUM(AH$7:AH8),0)</f>
        <v>5209</v>
      </c>
      <c r="AK8" s="60">
        <f>IF(AI8&gt;0,IF(AH8&gt;0,AI8/AH8,0),0)</f>
        <v>0.88730415991356026</v>
      </c>
      <c r="AM8" s="47">
        <f>AM7+1</f>
        <v>40818</v>
      </c>
      <c r="AN8" s="54" t="str">
        <f t="shared" ref="AN8:AN37" si="9">U8</f>
        <v>sáb</v>
      </c>
      <c r="AO8" s="75">
        <v>7700</v>
      </c>
      <c r="AP8" s="75">
        <v>13278</v>
      </c>
      <c r="AQ8" s="75">
        <f>IF(AP8&gt;0,SUM(AP$7:AP8)-SUM(AO$7:AO8),0)</f>
        <v>2226</v>
      </c>
      <c r="AR8" s="45">
        <f>IF(AP8&gt;0,IF(AO8&gt;0,AP8/AO8,0),0)</f>
        <v>1.7244155844155844</v>
      </c>
      <c r="AS8" s="75">
        <v>7700</v>
      </c>
      <c r="AT8" s="75">
        <v>6818</v>
      </c>
      <c r="AU8" s="90">
        <f>IF(AT8&gt;0,SUM(AT$7:AT8)-SUM(AS$7:AS8),0)</f>
        <v>-3031</v>
      </c>
      <c r="AV8" s="45">
        <f>IF(AT8&gt;0,IF(AS8&gt;0,AT8/AS8,0),0)</f>
        <v>0.88545454545454549</v>
      </c>
      <c r="AW8" s="75">
        <v>7700</v>
      </c>
      <c r="AX8" s="75">
        <v>5731</v>
      </c>
      <c r="AY8" s="90">
        <f>IF(AX8&gt;0,SUM(AX$7:AX8)-SUM(AW$7:AW8),0)</f>
        <v>-3060</v>
      </c>
      <c r="AZ8" s="45">
        <f>IF(AX8&gt;0,IF(AW8&gt;0,AX8/AW8,0),0)</f>
        <v>0.74428571428571433</v>
      </c>
      <c r="BA8" s="35">
        <f t="shared" si="4"/>
        <v>23100</v>
      </c>
      <c r="BB8" s="35">
        <f t="shared" ref="BB8:BB37" si="10">IF(SUM(AP8,AT8,AX8,)&gt;0,SUM(AP8,AT8,AX8,),0)</f>
        <v>25827</v>
      </c>
      <c r="BC8" s="91">
        <f>IF(BB8&gt;0,SUM(BB$7:BB8)-SUM(BA$7:BA8),0)</f>
        <v>-3865</v>
      </c>
      <c r="BD8" s="45">
        <f>IF(BB8&gt;0,IF(BA8&gt;0,BB8/BA8,0),0)</f>
        <v>1.118051948051948</v>
      </c>
      <c r="BF8" s="47">
        <f>BF7+1</f>
        <v>40818</v>
      </c>
      <c r="BG8" s="54" t="str">
        <f t="shared" ref="BG8:BG37" si="11">AN8</f>
        <v>sáb</v>
      </c>
      <c r="BH8" s="75">
        <v>18200</v>
      </c>
      <c r="BI8" s="75">
        <v>18160</v>
      </c>
      <c r="BJ8" s="75">
        <f>IF(BI8&gt;0,SUM(BI$7:BI8)-SUM(BH$7:BH8),0)</f>
        <v>-5389</v>
      </c>
      <c r="BK8" s="45">
        <f>IF(BI8&gt;0,IF(BH8&gt;0,BI8/BH8,0),0)</f>
        <v>0.99780219780219781</v>
      </c>
      <c r="BL8" s="75">
        <v>8000</v>
      </c>
      <c r="BM8" s="75">
        <v>7669</v>
      </c>
      <c r="BN8" s="90">
        <f>IF(BM8&gt;0,SUM(BM$7:BM8)-SUM(BL$7:BL8),0)</f>
        <v>-4671</v>
      </c>
      <c r="BO8" s="45">
        <f>IF(BM8&gt;0,IF(BL8&gt;0,BM8/BL8,0),0)</f>
        <v>0.95862499999999995</v>
      </c>
      <c r="BP8" s="75">
        <v>11000</v>
      </c>
      <c r="BQ8" s="75">
        <v>8871</v>
      </c>
      <c r="BR8" s="90">
        <f>IF(BQ8&gt;0,SUM(BQ$7:BQ8)-SUM(BP$7:BP8),0)</f>
        <v>2040</v>
      </c>
      <c r="BS8" s="45">
        <f>IF(BQ8&gt;0,IF(BP8&gt;0,BQ8/BP8,0),0)</f>
        <v>0.80645454545454542</v>
      </c>
      <c r="BT8" s="35">
        <f t="shared" si="5"/>
        <v>37200</v>
      </c>
      <c r="BU8" s="35">
        <f t="shared" si="5"/>
        <v>34700</v>
      </c>
      <c r="BV8" s="91">
        <f>IF(BU8&gt;0,SUM(BU$7:BU8)-SUM(BT$7:BT8),0)</f>
        <v>-8020</v>
      </c>
      <c r="BW8" s="45">
        <f>IF(BU8&gt;0,IF(BT8&gt;0,BU8/BT8,0),0)</f>
        <v>0.93279569892473113</v>
      </c>
      <c r="BY8" s="47">
        <f>BY7+1</f>
        <v>40818</v>
      </c>
      <c r="BZ8" s="54" t="str">
        <f t="shared" ref="BZ8:BZ37" si="12">BG8</f>
        <v>sáb</v>
      </c>
      <c r="CA8" s="75">
        <v>4736</v>
      </c>
      <c r="CB8" s="75">
        <v>1</v>
      </c>
      <c r="CC8" s="90">
        <f>IF(CB8&gt;0,SUM(CB$7:CB8)-SUM(CA$7:CA8),0)</f>
        <v>-9470</v>
      </c>
      <c r="CD8" s="45">
        <f>IF(CB8&gt;0,IF(CA8&gt;0,CB8/CA8,0),0)</f>
        <v>2.1114864864864866E-4</v>
      </c>
    </row>
    <row r="9" spans="1:82" x14ac:dyDescent="0.25">
      <c r="A9" s="47">
        <f t="shared" ref="A9:A36" si="13">A8+1</f>
        <v>40819</v>
      </c>
      <c r="B9" s="54" t="s">
        <v>26</v>
      </c>
      <c r="C9" s="75"/>
      <c r="D9" s="75"/>
      <c r="E9" s="90">
        <f>IF(D9&gt;0,SUM(D$7:D9)-SUM(C$7:C9),0)</f>
        <v>0</v>
      </c>
      <c r="F9" s="45">
        <f t="shared" ref="F9:F38" si="14">IF(D9&gt;0,IF(C9&gt;0,D9/C9,0),0)</f>
        <v>0</v>
      </c>
      <c r="G9" s="75"/>
      <c r="H9" s="75"/>
      <c r="I9" s="75">
        <f>IF(H9&gt;0,SUM(H$7:H9)-SUM(G$7:G9),0)</f>
        <v>0</v>
      </c>
      <c r="J9" s="45">
        <f t="shared" si="0"/>
        <v>0</v>
      </c>
      <c r="K9" s="75"/>
      <c r="L9" s="75"/>
      <c r="M9" s="90">
        <f>IF(L9&gt;0,SUM(L$7:L9)-SUM(K$7:K9),0)</f>
        <v>0</v>
      </c>
      <c r="N9" s="45">
        <f t="shared" si="1"/>
        <v>0</v>
      </c>
      <c r="O9" s="35">
        <f t="shared" si="2"/>
        <v>0</v>
      </c>
      <c r="P9" s="35">
        <f t="shared" si="6"/>
        <v>0</v>
      </c>
      <c r="Q9" s="91">
        <f>IF(P9&gt;0,SUM(P$7:P9)-SUM(O$7:O9),0)</f>
        <v>0</v>
      </c>
      <c r="R9" s="45">
        <f t="shared" ref="R9:R38" si="15">IF(P9&gt;0,IF(O9&gt;0,P9/O9,0),0)</f>
        <v>0</v>
      </c>
      <c r="T9" s="47">
        <f t="shared" ref="T9:T36" si="16">T8+1</f>
        <v>40819</v>
      </c>
      <c r="U9" s="54" t="str">
        <f t="shared" si="7"/>
        <v>dom</v>
      </c>
      <c r="V9" s="75"/>
      <c r="W9" s="75">
        <v>8295</v>
      </c>
      <c r="X9" s="92">
        <f>IF(W9&gt;0,SUM(W$7:W9)-SUM(V$7:V9),0)</f>
        <v>12050</v>
      </c>
      <c r="Y9" s="60">
        <f t="shared" ref="Y9:Y38" si="17">IF(W9&gt;0,IF(V9&gt;0,W9/V9,0),0)</f>
        <v>0</v>
      </c>
      <c r="Z9" s="75"/>
      <c r="AA9" s="75"/>
      <c r="AB9" s="92">
        <f>IF(AA9&gt;0,SUM(AA$7:AA9)-SUM(Z$7:Z9),0)</f>
        <v>0</v>
      </c>
      <c r="AC9" s="60">
        <f t="shared" ref="AC9:AC38" si="18">IF(AA9&gt;0,IF(Z9&gt;0,AA9/Z9,0),0)</f>
        <v>0</v>
      </c>
      <c r="AD9" s="75"/>
      <c r="AE9" s="75"/>
      <c r="AF9" s="92">
        <f>IF(AE9&gt;0,SUM(AE$7:AE9)-SUM(AD$7:AD9),0)</f>
        <v>0</v>
      </c>
      <c r="AG9" s="60">
        <f t="shared" ref="AG9:AG38" si="19">IF(AE9&gt;0,IF(AD9&gt;0,AE9/AD9,0),0)</f>
        <v>0</v>
      </c>
      <c r="AH9" s="41">
        <f t="shared" si="3"/>
        <v>0</v>
      </c>
      <c r="AI9" s="41">
        <f t="shared" si="8"/>
        <v>8295</v>
      </c>
      <c r="AJ9" s="93">
        <f>IF(AI9&gt;0,SUM(AI$7:AI9)-SUM(AH$7:AH9),0)</f>
        <v>13504</v>
      </c>
      <c r="AK9" s="60">
        <f t="shared" ref="AK9:AK37" si="20">IF(AI9&gt;0,IF(AH9&gt;0,AI9/AH9,0),0)</f>
        <v>0</v>
      </c>
      <c r="AM9" s="47">
        <f t="shared" ref="AM9:AM36" si="21">AM8+1</f>
        <v>40819</v>
      </c>
      <c r="AN9" s="54" t="str">
        <f t="shared" si="9"/>
        <v>dom</v>
      </c>
      <c r="AO9" s="75"/>
      <c r="AP9" s="75"/>
      <c r="AQ9" s="75">
        <f>IF(AP9&gt;0,SUM(AP$7:AP9)-SUM(AO$7:AO9),0)</f>
        <v>0</v>
      </c>
      <c r="AR9" s="45">
        <f t="shared" ref="AR9:AR38" si="22">IF(AP9&gt;0,IF(AO9&gt;0,AP9/AO9,0),0)</f>
        <v>0</v>
      </c>
      <c r="AS9" s="75"/>
      <c r="AT9" s="75"/>
      <c r="AU9" s="90">
        <f>IF(AT9&gt;0,SUM(AT$7:AT9)-SUM(AS$7:AS9),0)</f>
        <v>0</v>
      </c>
      <c r="AV9" s="45">
        <f t="shared" ref="AV9:AV38" si="23">IF(AT9&gt;0,IF(AS9&gt;0,AT9/AS9,0),0)</f>
        <v>0</v>
      </c>
      <c r="AW9" s="75"/>
      <c r="AX9" s="75"/>
      <c r="AY9" s="90">
        <f>IF(AX9&gt;0,SUM(AX$7:AX9)-SUM(AW$7:AW9),0)</f>
        <v>0</v>
      </c>
      <c r="AZ9" s="45">
        <f>IF(AX9&gt;0,IF(AW9&gt;0,AX9/AW9,0),0)</f>
        <v>0</v>
      </c>
      <c r="BA9" s="35">
        <f t="shared" si="4"/>
        <v>0</v>
      </c>
      <c r="BB9" s="35">
        <f t="shared" si="10"/>
        <v>0</v>
      </c>
      <c r="BC9" s="91">
        <f>IF(BB9&gt;0,SUM(BB$7:BB9)-SUM(BA$7:BA9),0)</f>
        <v>0</v>
      </c>
      <c r="BD9" s="45">
        <f t="shared" ref="BD9:BD38" si="24">IF(BB9&gt;0,IF(BA9&gt;0,BB9/BA9,0),0)</f>
        <v>0</v>
      </c>
      <c r="BF9" s="47">
        <f t="shared" ref="BF9:BF36" si="25">BF8+1</f>
        <v>40819</v>
      </c>
      <c r="BG9" s="54" t="str">
        <f t="shared" si="11"/>
        <v>dom</v>
      </c>
      <c r="BH9" s="75"/>
      <c r="BI9" s="75"/>
      <c r="BJ9" s="75">
        <f>IF(BI9&gt;0,SUM(BI$7:BI9)-SUM(BH$7:BH9),0)</f>
        <v>0</v>
      </c>
      <c r="BK9" s="45">
        <f t="shared" ref="BK9:BK38" si="26">IF(BI9&gt;0,IF(BH9&gt;0,BI9/BH9,0),0)</f>
        <v>0</v>
      </c>
      <c r="BL9" s="75"/>
      <c r="BM9" s="75"/>
      <c r="BN9" s="90">
        <f>IF(BM9&gt;0,SUM(BM$7:BM9)-SUM(BL$7:BL9),0)</f>
        <v>0</v>
      </c>
      <c r="BO9" s="45">
        <f t="shared" ref="BO9:BO38" si="27">IF(BM9&gt;0,IF(BL9&gt;0,BM9/BL9,0),0)</f>
        <v>0</v>
      </c>
      <c r="BP9" s="75"/>
      <c r="BQ9" s="75"/>
      <c r="BR9" s="90">
        <f>IF(BQ9&gt;0,SUM(BQ$7:BQ9)-SUM(BP$7:BP9),0)</f>
        <v>0</v>
      </c>
      <c r="BS9" s="45">
        <f>IF(BQ9&gt;0,IF(BP9&gt;0,BQ9/BP9,0),0)</f>
        <v>0</v>
      </c>
      <c r="BT9" s="35">
        <f>IF(SUM(BH9,BL9,BP9)&gt;0,SUM(BH9,BL9,BP9),0)</f>
        <v>0</v>
      </c>
      <c r="BU9" s="35">
        <f t="shared" si="5"/>
        <v>0</v>
      </c>
      <c r="BV9" s="91">
        <f>IF(BU9&gt;0,SUM(BU$7:BU9)-SUM(BT$7:BT9),0)</f>
        <v>0</v>
      </c>
      <c r="BW9" s="45">
        <f t="shared" ref="BW9:BW38" si="28">IF(BU9&gt;0,IF(BT9&gt;0,BU9/BT9,0),0)</f>
        <v>0</v>
      </c>
      <c r="BY9" s="47">
        <f t="shared" ref="BY9:BY36" si="29">BY8+1</f>
        <v>40819</v>
      </c>
      <c r="BZ9" s="54" t="str">
        <f t="shared" si="12"/>
        <v>dom</v>
      </c>
      <c r="CA9" s="75"/>
      <c r="CB9" s="75"/>
      <c r="CC9" s="90">
        <f>IF(CB9&gt;0,SUM(CB$7:CB9)-SUM(CA$7:CA9),0)</f>
        <v>0</v>
      </c>
      <c r="CD9" s="45">
        <f t="shared" ref="CD9:CD38" si="30">IF(CB9&gt;0,IF(CA9&gt;0,CB9/CA9,0),0)</f>
        <v>0</v>
      </c>
    </row>
    <row r="10" spans="1:82" x14ac:dyDescent="0.25">
      <c r="A10" s="47">
        <f t="shared" si="13"/>
        <v>40820</v>
      </c>
      <c r="B10" s="54" t="s">
        <v>27</v>
      </c>
      <c r="C10" s="75">
        <v>12900</v>
      </c>
      <c r="D10" s="75">
        <v>2242</v>
      </c>
      <c r="E10" s="90">
        <f>IF(D10&gt;0,SUM(D$7:D10)-SUM(C$7:C10),0)</f>
        <v>-2297</v>
      </c>
      <c r="F10" s="45">
        <f t="shared" si="14"/>
        <v>0.17379844961240309</v>
      </c>
      <c r="G10" s="75">
        <v>12900</v>
      </c>
      <c r="H10" s="75">
        <v>8440</v>
      </c>
      <c r="I10" s="75">
        <f>IF(H10&gt;0,SUM(H$7:H10)-SUM(G$7:G10),0)</f>
        <v>-13690</v>
      </c>
      <c r="J10" s="45">
        <f t="shared" si="0"/>
        <v>0.65426356589147283</v>
      </c>
      <c r="K10" s="75">
        <v>12900</v>
      </c>
      <c r="L10" s="75">
        <v>10770</v>
      </c>
      <c r="M10" s="90">
        <f>IF(L10&gt;0,SUM(L$7:L10)-SUM(K$7:K10),0)</f>
        <v>-13540</v>
      </c>
      <c r="N10" s="45">
        <f t="shared" si="1"/>
        <v>0.83488372093023255</v>
      </c>
      <c r="O10" s="35">
        <f t="shared" si="2"/>
        <v>38700</v>
      </c>
      <c r="P10" s="35">
        <f t="shared" si="6"/>
        <v>21452</v>
      </c>
      <c r="Q10" s="91">
        <f>IF(P10&gt;0,SUM(P$7:P10)-SUM(O$7:O10),0)</f>
        <v>-29527</v>
      </c>
      <c r="R10" s="45">
        <f t="shared" si="15"/>
        <v>0.55431524547803612</v>
      </c>
      <c r="T10" s="47">
        <f t="shared" si="16"/>
        <v>40820</v>
      </c>
      <c r="U10" s="54" t="str">
        <f t="shared" si="7"/>
        <v>seg</v>
      </c>
      <c r="V10" s="75">
        <v>12340</v>
      </c>
      <c r="W10" s="75">
        <v>11708</v>
      </c>
      <c r="X10" s="92">
        <f>IF(W10&gt;0,SUM(W$7:W10)-SUM(V$7:V10),0)</f>
        <v>11418</v>
      </c>
      <c r="Y10" s="60">
        <f t="shared" si="17"/>
        <v>0.94878444084278768</v>
      </c>
      <c r="Z10" s="75">
        <v>12340</v>
      </c>
      <c r="AA10" s="75">
        <v>6690</v>
      </c>
      <c r="AB10" s="92">
        <f>IF(AA10&gt;0,SUM(AA$7:AA10)-SUM(Z$7:Z10),0)</f>
        <v>-8791</v>
      </c>
      <c r="AC10" s="60">
        <f t="shared" si="18"/>
        <v>0.54213938411669371</v>
      </c>
      <c r="AD10" s="75">
        <v>12340</v>
      </c>
      <c r="AE10" s="75">
        <v>12603</v>
      </c>
      <c r="AF10" s="92">
        <f>IF(AE10&gt;0,SUM(AE$7:AE10)-SUM(AD$7:AD10),0)</f>
        <v>4858</v>
      </c>
      <c r="AG10" s="60">
        <f t="shared" si="19"/>
        <v>1.0213128038897894</v>
      </c>
      <c r="AH10" s="41">
        <f t="shared" si="3"/>
        <v>37020</v>
      </c>
      <c r="AI10" s="41">
        <f t="shared" si="8"/>
        <v>31001</v>
      </c>
      <c r="AJ10" s="93">
        <f>IF(AI10&gt;0,SUM(AI$7:AI10)-SUM(AH$7:AH10),0)</f>
        <v>7485</v>
      </c>
      <c r="AK10" s="60">
        <f t="shared" si="20"/>
        <v>0.8374122096164236</v>
      </c>
      <c r="AM10" s="47">
        <f t="shared" si="21"/>
        <v>40820</v>
      </c>
      <c r="AN10" s="54" t="str">
        <f t="shared" si="9"/>
        <v>seg</v>
      </c>
      <c r="AO10" s="75">
        <v>7700</v>
      </c>
      <c r="AP10" s="75">
        <v>9010</v>
      </c>
      <c r="AQ10" s="75">
        <f>IF(AP10&gt;0,SUM(AP$7:AP10)-SUM(AO$7:AO10),0)</f>
        <v>3536</v>
      </c>
      <c r="AR10" s="45">
        <f t="shared" si="22"/>
        <v>1.1701298701298701</v>
      </c>
      <c r="AS10" s="75">
        <v>7700</v>
      </c>
      <c r="AT10" s="75">
        <v>7780</v>
      </c>
      <c r="AU10" s="90">
        <f>IF(AT10&gt;0,SUM(AT$7:AT10)-SUM(AS$7:AS10),0)</f>
        <v>-2951</v>
      </c>
      <c r="AV10" s="45">
        <f t="shared" si="23"/>
        <v>1.0103896103896104</v>
      </c>
      <c r="AW10" s="75">
        <v>7700</v>
      </c>
      <c r="AX10" s="75">
        <v>6685</v>
      </c>
      <c r="AY10" s="90">
        <f>IF(AX10&gt;0,SUM(AX$7:AX10)-SUM(AW$7:AW10),0)</f>
        <v>-4075</v>
      </c>
      <c r="AZ10" s="45">
        <f>IF(AX10&gt;0,IF(AW10&gt;0,AX10/AW10,0),0)</f>
        <v>0.86818181818181817</v>
      </c>
      <c r="BA10" s="35">
        <f t="shared" si="4"/>
        <v>23100</v>
      </c>
      <c r="BB10" s="35">
        <f t="shared" si="10"/>
        <v>23475</v>
      </c>
      <c r="BC10" s="91">
        <f>IF(BB10&gt;0,SUM(BB$7:BB10)-SUM(BA$7:BA10),0)</f>
        <v>-3490</v>
      </c>
      <c r="BD10" s="45">
        <f t="shared" si="24"/>
        <v>1.0162337662337662</v>
      </c>
      <c r="BF10" s="47">
        <f t="shared" si="25"/>
        <v>40820</v>
      </c>
      <c r="BG10" s="54" t="str">
        <f t="shared" si="11"/>
        <v>seg</v>
      </c>
      <c r="BH10" s="75">
        <v>18200</v>
      </c>
      <c r="BI10" s="75">
        <v>17155</v>
      </c>
      <c r="BJ10" s="75">
        <f>IF(BI10&gt;0,SUM(BI$7:BI10)-SUM(BH$7:BH10),0)</f>
        <v>-6434</v>
      </c>
      <c r="BK10" s="45">
        <f t="shared" si="26"/>
        <v>0.94258241758241756</v>
      </c>
      <c r="BL10" s="75">
        <v>8000</v>
      </c>
      <c r="BM10" s="75">
        <v>5900</v>
      </c>
      <c r="BN10" s="90">
        <f>IF(BM10&gt;0,SUM(BM$7:BM10)-SUM(BL$7:BL10),0)</f>
        <v>-6771</v>
      </c>
      <c r="BO10" s="45">
        <f t="shared" si="27"/>
        <v>0.73750000000000004</v>
      </c>
      <c r="BP10" s="75">
        <v>11000</v>
      </c>
      <c r="BQ10" s="75">
        <v>10447</v>
      </c>
      <c r="BR10" s="90">
        <f>IF(BQ10&gt;0,SUM(BQ$7:BQ10)-SUM(BP$7:BP10),0)</f>
        <v>1487</v>
      </c>
      <c r="BS10" s="45">
        <f>IF(BQ10&gt;0,IF(BP10&gt;0,BQ10/BP10,0),0)</f>
        <v>0.94972727272727275</v>
      </c>
      <c r="BT10" s="35">
        <f>IF(SUM(BH10,BL10,BP10)&gt;0,SUM(BH10,BL10,BP10),0)</f>
        <v>37200</v>
      </c>
      <c r="BU10" s="35">
        <f t="shared" si="5"/>
        <v>33502</v>
      </c>
      <c r="BV10" s="91">
        <f>IF(BU10&gt;0,SUM(BU$7:BU10)-SUM(BT$7:BT10),0)</f>
        <v>-11718</v>
      </c>
      <c r="BW10" s="45">
        <f t="shared" si="28"/>
        <v>0.90059139784946241</v>
      </c>
      <c r="BY10" s="47">
        <f t="shared" si="29"/>
        <v>40820</v>
      </c>
      <c r="BZ10" s="54" t="str">
        <f t="shared" si="12"/>
        <v>seg</v>
      </c>
      <c r="CA10" s="75">
        <v>4736</v>
      </c>
      <c r="CB10" s="75">
        <v>1715</v>
      </c>
      <c r="CC10" s="90">
        <f>IF(CB10&gt;0,SUM(CB$7:CB10)-SUM(CA$7:CA10),0)</f>
        <v>-12491</v>
      </c>
      <c r="CD10" s="45">
        <f t="shared" si="30"/>
        <v>0.36211993243243246</v>
      </c>
    </row>
    <row r="11" spans="1:82" x14ac:dyDescent="0.25">
      <c r="A11" s="47">
        <f t="shared" si="13"/>
        <v>40821</v>
      </c>
      <c r="B11" s="54" t="s">
        <v>28</v>
      </c>
      <c r="C11" s="75">
        <v>12900</v>
      </c>
      <c r="D11" s="75">
        <v>6500</v>
      </c>
      <c r="E11" s="90">
        <f>IF(D11&gt;0,SUM(D$7:D11)-SUM(C$7:C11),0)</f>
        <v>-8697</v>
      </c>
      <c r="F11" s="45">
        <f t="shared" si="14"/>
        <v>0.50387596899224807</v>
      </c>
      <c r="G11" s="75">
        <v>12900</v>
      </c>
      <c r="H11" s="75">
        <v>14705</v>
      </c>
      <c r="I11" s="75">
        <f>IF(H11&gt;0,SUM(H$7:H11)-SUM(G$7:G11),0)</f>
        <v>-11885</v>
      </c>
      <c r="J11" s="45">
        <f t="shared" si="0"/>
        <v>1.1399224806201551</v>
      </c>
      <c r="K11" s="75">
        <v>12900</v>
      </c>
      <c r="L11" s="75">
        <v>12824</v>
      </c>
      <c r="M11" s="90">
        <f>IF(L11&gt;0,SUM(L$7:L11)-SUM(K$7:K11),0)</f>
        <v>-13616</v>
      </c>
      <c r="N11" s="45">
        <f t="shared" si="1"/>
        <v>0.99410852713178299</v>
      </c>
      <c r="O11" s="35">
        <f t="shared" si="2"/>
        <v>38700</v>
      </c>
      <c r="P11" s="35">
        <f t="shared" si="6"/>
        <v>34029</v>
      </c>
      <c r="Q11" s="91">
        <f>IF(P11&gt;0,SUM(P$7:P11)-SUM(O$7:O11),0)</f>
        <v>-34198</v>
      </c>
      <c r="R11" s="45">
        <f t="shared" si="15"/>
        <v>0.87930232558139532</v>
      </c>
      <c r="T11" s="47">
        <f t="shared" si="16"/>
        <v>40821</v>
      </c>
      <c r="U11" s="54" t="str">
        <f t="shared" si="7"/>
        <v>ter</v>
      </c>
      <c r="V11" s="75">
        <v>12340</v>
      </c>
      <c r="W11" s="75">
        <v>13143</v>
      </c>
      <c r="X11" s="92">
        <f>IF(W11&gt;0,SUM(W$7:W11)-SUM(V$7:V11),0)</f>
        <v>12221</v>
      </c>
      <c r="Y11" s="60">
        <f t="shared" si="17"/>
        <v>1.0650729335494327</v>
      </c>
      <c r="Z11" s="75">
        <v>12340</v>
      </c>
      <c r="AA11" s="75">
        <v>8565</v>
      </c>
      <c r="AB11" s="92">
        <f>IF(AA11&gt;0,SUM(AA$7:AA11)-SUM(Z$7:Z11),0)</f>
        <v>-12566</v>
      </c>
      <c r="AC11" s="60">
        <f t="shared" si="18"/>
        <v>0.69408427876823342</v>
      </c>
      <c r="AD11" s="75">
        <v>12340</v>
      </c>
      <c r="AE11" s="75">
        <v>14866</v>
      </c>
      <c r="AF11" s="92">
        <f>IF(AE11&gt;0,SUM(AE$7:AE11)-SUM(AD$7:AD11),0)</f>
        <v>7384</v>
      </c>
      <c r="AG11" s="60">
        <f t="shared" si="19"/>
        <v>1.2047001620745543</v>
      </c>
      <c r="AH11" s="41">
        <f t="shared" si="3"/>
        <v>37020</v>
      </c>
      <c r="AI11" s="41">
        <f t="shared" si="8"/>
        <v>36574</v>
      </c>
      <c r="AJ11" s="93">
        <f>IF(AI11&gt;0,SUM(AI$7:AI11)-SUM(AH$7:AH11),0)</f>
        <v>7039</v>
      </c>
      <c r="AK11" s="60">
        <f t="shared" si="20"/>
        <v>0.98795245813074017</v>
      </c>
      <c r="AM11" s="47">
        <f t="shared" si="21"/>
        <v>40821</v>
      </c>
      <c r="AN11" s="54" t="str">
        <f t="shared" si="9"/>
        <v>ter</v>
      </c>
      <c r="AO11" s="75">
        <v>7700</v>
      </c>
      <c r="AP11" s="75">
        <v>10349</v>
      </c>
      <c r="AQ11" s="75">
        <f>IF(AP11&gt;0,SUM(AP$7:AP11)-SUM(AO$7:AO11),0)</f>
        <v>6185</v>
      </c>
      <c r="AR11" s="45">
        <f t="shared" si="22"/>
        <v>1.3440259740259741</v>
      </c>
      <c r="AS11" s="75">
        <v>7700</v>
      </c>
      <c r="AT11" s="75">
        <v>9029</v>
      </c>
      <c r="AU11" s="90">
        <f>IF(AT11&gt;0,SUM(AT$7:AT11)-SUM(AS$7:AS11),0)</f>
        <v>-1622</v>
      </c>
      <c r="AV11" s="45">
        <f t="shared" si="23"/>
        <v>1.1725974025974026</v>
      </c>
      <c r="AW11" s="75">
        <v>7700</v>
      </c>
      <c r="AX11" s="75">
        <v>6463</v>
      </c>
      <c r="AY11" s="90">
        <f>IF(AX11&gt;0,SUM(AX$7:AX11)-SUM(AW$7:AW11),0)</f>
        <v>-5312</v>
      </c>
      <c r="AZ11" s="45">
        <f t="shared" ref="AZ11:AZ38" si="31">IF(AX11&gt;0,IF(AW11&gt;0,AX11/AW11,0),0)</f>
        <v>0.8393506493506494</v>
      </c>
      <c r="BA11" s="35">
        <f t="shared" si="4"/>
        <v>23100</v>
      </c>
      <c r="BB11" s="35">
        <f t="shared" si="10"/>
        <v>25841</v>
      </c>
      <c r="BC11" s="91">
        <f>IF(BB11&gt;0,SUM(BB$7:BB11)-SUM(BA$7:BA11),0)</f>
        <v>-749</v>
      </c>
      <c r="BD11" s="45">
        <f t="shared" si="24"/>
        <v>1.1186580086580087</v>
      </c>
      <c r="BF11" s="47">
        <f t="shared" si="25"/>
        <v>40821</v>
      </c>
      <c r="BG11" s="54" t="str">
        <f t="shared" si="11"/>
        <v>ter</v>
      </c>
      <c r="BH11" s="75">
        <v>18200</v>
      </c>
      <c r="BI11" s="75">
        <v>18737</v>
      </c>
      <c r="BJ11" s="75">
        <f>IF(BI11&gt;0,SUM(BI$7:BI11)-SUM(BH$7:BH11),0)</f>
        <v>-5897</v>
      </c>
      <c r="BK11" s="45">
        <f t="shared" si="26"/>
        <v>1.0295054945054944</v>
      </c>
      <c r="BL11" s="75">
        <v>8000</v>
      </c>
      <c r="BM11" s="75">
        <v>7110</v>
      </c>
      <c r="BN11" s="90">
        <f>IF(BM11&gt;0,SUM(BM$7:BM11)-SUM(BL$7:BL11),0)</f>
        <v>-7661</v>
      </c>
      <c r="BO11" s="45">
        <f t="shared" si="27"/>
        <v>0.88875000000000004</v>
      </c>
      <c r="BP11" s="75">
        <v>11000</v>
      </c>
      <c r="BQ11" s="75">
        <v>4586</v>
      </c>
      <c r="BR11" s="90">
        <f>IF(BQ11&gt;0,SUM(BQ$7:BQ11)-SUM(BP$7:BP11),0)</f>
        <v>-4927</v>
      </c>
      <c r="BS11" s="45">
        <f t="shared" ref="BS11:BS38" si="32">IF(BQ11&gt;0,IF(BP11&gt;0,BQ11/BP11,0),0)</f>
        <v>0.4169090909090909</v>
      </c>
      <c r="BT11" s="35">
        <f t="shared" si="5"/>
        <v>37200</v>
      </c>
      <c r="BU11" s="35">
        <f t="shared" si="5"/>
        <v>30433</v>
      </c>
      <c r="BV11" s="91">
        <f>IF(BU11&gt;0,SUM(BU$7:BU11)-SUM(BT$7:BT11),0)</f>
        <v>-18485</v>
      </c>
      <c r="BW11" s="45">
        <f t="shared" si="28"/>
        <v>0.81809139784946239</v>
      </c>
      <c r="BY11" s="47">
        <f t="shared" si="29"/>
        <v>40821</v>
      </c>
      <c r="BZ11" s="54" t="str">
        <f t="shared" si="12"/>
        <v>ter</v>
      </c>
      <c r="CA11" s="75">
        <v>4736</v>
      </c>
      <c r="CB11" s="75">
        <v>5510</v>
      </c>
      <c r="CC11" s="90">
        <f>IF(CB11&gt;0,SUM(CB$7:CB11)-SUM(CA$7:CA11),0)</f>
        <v>-11717</v>
      </c>
      <c r="CD11" s="45">
        <f t="shared" si="30"/>
        <v>1.1634290540540539</v>
      </c>
    </row>
    <row r="12" spans="1:82" x14ac:dyDescent="0.25">
      <c r="A12" s="47">
        <f t="shared" si="13"/>
        <v>40822</v>
      </c>
      <c r="B12" s="54" t="s">
        <v>22</v>
      </c>
      <c r="C12" s="75">
        <v>12900</v>
      </c>
      <c r="D12" s="75">
        <v>8142</v>
      </c>
      <c r="E12" s="90">
        <f>IF(D12&gt;0,SUM(D$7:D12)-SUM(C$7:C12),0)</f>
        <v>-13455</v>
      </c>
      <c r="F12" s="45">
        <f t="shared" si="14"/>
        <v>0.63116279069767445</v>
      </c>
      <c r="G12" s="75">
        <v>12900</v>
      </c>
      <c r="H12" s="75">
        <v>8044</v>
      </c>
      <c r="I12" s="75">
        <f>IF(H12&gt;0,SUM(H$7:H12)-SUM(G$7:G12),0)</f>
        <v>-16741</v>
      </c>
      <c r="J12" s="45">
        <f t="shared" si="0"/>
        <v>0.62356589147286823</v>
      </c>
      <c r="K12" s="75">
        <v>12900</v>
      </c>
      <c r="L12" s="75">
        <v>10693</v>
      </c>
      <c r="M12" s="90">
        <f>IF(L12&gt;0,SUM(L$7:L12)-SUM(K$7:K12),0)</f>
        <v>-15823</v>
      </c>
      <c r="N12" s="45">
        <f t="shared" si="1"/>
        <v>0.82891472868217053</v>
      </c>
      <c r="O12" s="35">
        <f t="shared" si="2"/>
        <v>38700</v>
      </c>
      <c r="P12" s="35">
        <f t="shared" si="6"/>
        <v>26879</v>
      </c>
      <c r="Q12" s="91">
        <f>IF(P12&gt;0,SUM(P$7:P12)-SUM(O$7:O12),0)</f>
        <v>-46019</v>
      </c>
      <c r="R12" s="45">
        <f t="shared" si="15"/>
        <v>0.69454780361757107</v>
      </c>
      <c r="T12" s="47">
        <f t="shared" si="16"/>
        <v>40822</v>
      </c>
      <c r="U12" s="54" t="str">
        <f t="shared" si="7"/>
        <v>qua</v>
      </c>
      <c r="V12" s="75">
        <v>12340</v>
      </c>
      <c r="W12" s="75">
        <v>13576</v>
      </c>
      <c r="X12" s="92">
        <f>IF(W12&gt;0,SUM(W$7:W12)-SUM(V$7:V12),0)</f>
        <v>13457</v>
      </c>
      <c r="Y12" s="60">
        <f t="shared" si="17"/>
        <v>1.100162074554295</v>
      </c>
      <c r="Z12" s="75">
        <v>12340</v>
      </c>
      <c r="AA12" s="75">
        <v>10717</v>
      </c>
      <c r="AB12" s="92">
        <f>IF(AA12&gt;0,SUM(AA$7:AA12)-SUM(Z$7:Z12),0)</f>
        <v>-14189</v>
      </c>
      <c r="AC12" s="60">
        <f t="shared" si="18"/>
        <v>0.86847649918962722</v>
      </c>
      <c r="AD12" s="75">
        <v>12340</v>
      </c>
      <c r="AE12" s="75">
        <v>14366</v>
      </c>
      <c r="AF12" s="92">
        <f>IF(AE12&gt;0,SUM(AE$7:AE12)-SUM(AD$7:AD12),0)</f>
        <v>9410</v>
      </c>
      <c r="AG12" s="60">
        <f t="shared" si="19"/>
        <v>1.1641815235008104</v>
      </c>
      <c r="AH12" s="41">
        <f t="shared" si="3"/>
        <v>37020</v>
      </c>
      <c r="AI12" s="41">
        <f t="shared" si="8"/>
        <v>38659</v>
      </c>
      <c r="AJ12" s="93">
        <f>IF(AI12&gt;0,SUM(AI$7:AI12)-SUM(AH$7:AH12),0)</f>
        <v>8678</v>
      </c>
      <c r="AK12" s="60">
        <f t="shared" si="20"/>
        <v>1.0442733657482441</v>
      </c>
      <c r="AM12" s="47">
        <f t="shared" si="21"/>
        <v>40822</v>
      </c>
      <c r="AN12" s="54" t="str">
        <f t="shared" si="9"/>
        <v>qua</v>
      </c>
      <c r="AO12" s="75">
        <v>7700</v>
      </c>
      <c r="AP12" s="75">
        <v>5819</v>
      </c>
      <c r="AQ12" s="75">
        <f>IF(AP12&gt;0,SUM(AP$7:AP12)-SUM(AO$7:AO12),0)</f>
        <v>4304</v>
      </c>
      <c r="AR12" s="45">
        <f t="shared" si="22"/>
        <v>0.75571428571428567</v>
      </c>
      <c r="AS12" s="75">
        <v>7700</v>
      </c>
      <c r="AT12" s="75">
        <v>9035</v>
      </c>
      <c r="AU12" s="90">
        <f>IF(AT12&gt;0,SUM(AT$7:AT12)-SUM(AS$7:AS12),0)</f>
        <v>-287</v>
      </c>
      <c r="AV12" s="45">
        <f t="shared" si="23"/>
        <v>1.1733766233766234</v>
      </c>
      <c r="AW12" s="75">
        <v>7700</v>
      </c>
      <c r="AX12" s="75">
        <v>6043</v>
      </c>
      <c r="AY12" s="90">
        <f>IF(AX12&gt;0,SUM(AX$7:AX12)-SUM(AW$7:AW12),0)</f>
        <v>-6969</v>
      </c>
      <c r="AZ12" s="45">
        <f t="shared" si="31"/>
        <v>0.78480519480519484</v>
      </c>
      <c r="BA12" s="35">
        <f t="shared" si="4"/>
        <v>23100</v>
      </c>
      <c r="BB12" s="35">
        <f t="shared" si="10"/>
        <v>20897</v>
      </c>
      <c r="BC12" s="91">
        <f>IF(BB12&gt;0,SUM(BB$7:BB12)-SUM(BA$7:BA12),0)</f>
        <v>-2952</v>
      </c>
      <c r="BD12" s="45">
        <f t="shared" si="24"/>
        <v>0.90463203463203468</v>
      </c>
      <c r="BF12" s="47">
        <f t="shared" si="25"/>
        <v>40822</v>
      </c>
      <c r="BG12" s="54" t="str">
        <f t="shared" si="11"/>
        <v>qua</v>
      </c>
      <c r="BH12" s="75">
        <v>18200</v>
      </c>
      <c r="BI12" s="75">
        <v>15298</v>
      </c>
      <c r="BJ12" s="75">
        <f>IF(BI12&gt;0,SUM(BI$7:BI12)-SUM(BH$7:BH12),0)</f>
        <v>-8799</v>
      </c>
      <c r="BK12" s="45">
        <f t="shared" si="26"/>
        <v>0.84054945054945052</v>
      </c>
      <c r="BL12" s="75">
        <v>8000</v>
      </c>
      <c r="BM12" s="75">
        <v>5601</v>
      </c>
      <c r="BN12" s="90">
        <f>IF(BM12&gt;0,SUM(BM$7:BM12)-SUM(BL$7:BL12),0)</f>
        <v>-10060</v>
      </c>
      <c r="BO12" s="45">
        <f t="shared" si="27"/>
        <v>0.700125</v>
      </c>
      <c r="BP12" s="75">
        <v>11000</v>
      </c>
      <c r="BQ12" s="75">
        <v>11677</v>
      </c>
      <c r="BR12" s="90">
        <f>IF(BQ12&gt;0,SUM(BQ$7:BQ12)-SUM(BP$7:BP12),0)</f>
        <v>-4250</v>
      </c>
      <c r="BS12" s="45">
        <f t="shared" si="32"/>
        <v>1.0615454545454546</v>
      </c>
      <c r="BT12" s="35">
        <f t="shared" si="5"/>
        <v>37200</v>
      </c>
      <c r="BU12" s="35">
        <f t="shared" si="5"/>
        <v>32576</v>
      </c>
      <c r="BV12" s="91">
        <f>IF(BU12&gt;0,SUM(BU$7:BU12)-SUM(BT$7:BT12),0)</f>
        <v>-23109</v>
      </c>
      <c r="BW12" s="45">
        <f t="shared" si="28"/>
        <v>0.87569892473118283</v>
      </c>
      <c r="BY12" s="47">
        <f t="shared" si="29"/>
        <v>40822</v>
      </c>
      <c r="BZ12" s="54" t="str">
        <f t="shared" si="12"/>
        <v>qua</v>
      </c>
      <c r="CA12" s="75">
        <v>4736</v>
      </c>
      <c r="CB12" s="75">
        <v>6048</v>
      </c>
      <c r="CC12" s="90">
        <f>IF(CB12&gt;0,SUM(CB$7:CB12)-SUM(CA$7:CA12),0)</f>
        <v>-10405</v>
      </c>
      <c r="CD12" s="45">
        <f t="shared" si="30"/>
        <v>1.277027027027027</v>
      </c>
    </row>
    <row r="13" spans="1:82" x14ac:dyDescent="0.25">
      <c r="A13" s="47">
        <f t="shared" si="13"/>
        <v>40823</v>
      </c>
      <c r="B13" s="54" t="s">
        <v>23</v>
      </c>
      <c r="C13" s="75">
        <v>12900</v>
      </c>
      <c r="D13" s="75">
        <v>5978</v>
      </c>
      <c r="E13" s="90">
        <f>IF(D13&gt;0,SUM(D$7:D13)-SUM(C$7:C13),0)</f>
        <v>-20377</v>
      </c>
      <c r="F13" s="45">
        <f t="shared" si="14"/>
        <v>0.46341085271317828</v>
      </c>
      <c r="G13" s="75">
        <v>12900</v>
      </c>
      <c r="H13" s="75">
        <v>10379</v>
      </c>
      <c r="I13" s="75">
        <f>IF(H13&gt;0,SUM(H$7:H13)-SUM(G$7:G13),0)</f>
        <v>-19262</v>
      </c>
      <c r="J13" s="45">
        <f t="shared" si="0"/>
        <v>0.80457364341085269</v>
      </c>
      <c r="K13" s="75">
        <v>12900</v>
      </c>
      <c r="L13" s="75">
        <v>12814</v>
      </c>
      <c r="M13" s="90">
        <f>IF(L13&gt;0,SUM(L$7:L13)-SUM(K$7:K13),0)</f>
        <v>-15909</v>
      </c>
      <c r="N13" s="45">
        <f t="shared" si="1"/>
        <v>0.99333333333333329</v>
      </c>
      <c r="O13" s="35">
        <f t="shared" si="2"/>
        <v>38700</v>
      </c>
      <c r="P13" s="35">
        <f t="shared" si="6"/>
        <v>29171</v>
      </c>
      <c r="Q13" s="91">
        <f>IF(P13&gt;0,SUM(P$7:P13)-SUM(O$7:O13),0)</f>
        <v>-55548</v>
      </c>
      <c r="R13" s="45">
        <f t="shared" si="15"/>
        <v>0.75377260981912142</v>
      </c>
      <c r="T13" s="47">
        <f t="shared" si="16"/>
        <v>40823</v>
      </c>
      <c r="U13" s="54" t="str">
        <f t="shared" si="7"/>
        <v>qui</v>
      </c>
      <c r="V13" s="75">
        <v>12340</v>
      </c>
      <c r="W13" s="75">
        <v>10167</v>
      </c>
      <c r="X13" s="92">
        <f>IF(W13&gt;0,SUM(W$7:W13)-SUM(V$7:V13),0)</f>
        <v>11284</v>
      </c>
      <c r="Y13" s="60">
        <f t="shared" si="17"/>
        <v>0.82390599675850895</v>
      </c>
      <c r="Z13" s="75">
        <v>12340</v>
      </c>
      <c r="AA13" s="75">
        <v>7311</v>
      </c>
      <c r="AB13" s="92">
        <f>IF(AA13&gt;0,SUM(AA$7:AA13)-SUM(Z$7:Z13),0)</f>
        <v>-19218</v>
      </c>
      <c r="AC13" s="60">
        <f t="shared" si="18"/>
        <v>0.59246353322528367</v>
      </c>
      <c r="AD13" s="75">
        <v>12340</v>
      </c>
      <c r="AE13" s="75">
        <v>13004</v>
      </c>
      <c r="AF13" s="92">
        <f>IF(AE13&gt;0,SUM(AE$7:AE13)-SUM(AD$7:AD13),0)</f>
        <v>10074</v>
      </c>
      <c r="AG13" s="60">
        <f t="shared" si="19"/>
        <v>1.0538087520259318</v>
      </c>
      <c r="AH13" s="41">
        <f t="shared" si="3"/>
        <v>37020</v>
      </c>
      <c r="AI13" s="41">
        <f t="shared" si="8"/>
        <v>30482</v>
      </c>
      <c r="AJ13" s="93">
        <f>IF(AI13&gt;0,SUM(AI$7:AI13)-SUM(AH$7:AH13),0)</f>
        <v>2140</v>
      </c>
      <c r="AK13" s="60">
        <f t="shared" si="20"/>
        <v>0.82339276066990819</v>
      </c>
      <c r="AM13" s="47">
        <f t="shared" si="21"/>
        <v>40823</v>
      </c>
      <c r="AN13" s="54" t="str">
        <f t="shared" si="9"/>
        <v>qui</v>
      </c>
      <c r="AO13" s="75">
        <v>7700</v>
      </c>
      <c r="AP13" s="75">
        <v>8455</v>
      </c>
      <c r="AQ13" s="75">
        <f>IF(AP13&gt;0,SUM(AP$7:AP13)-SUM(AO$7:AO13),0)</f>
        <v>5059</v>
      </c>
      <c r="AR13" s="45">
        <f t="shared" si="22"/>
        <v>1.0980519480519479</v>
      </c>
      <c r="AS13" s="75">
        <v>7700</v>
      </c>
      <c r="AT13" s="75">
        <v>9721</v>
      </c>
      <c r="AU13" s="90">
        <f>IF(AT13&gt;0,SUM(AT$7:AT13)-SUM(AS$7:AS13),0)</f>
        <v>1734</v>
      </c>
      <c r="AV13" s="45">
        <f t="shared" si="23"/>
        <v>1.2624675324675325</v>
      </c>
      <c r="AW13" s="75">
        <v>7700</v>
      </c>
      <c r="AX13" s="75">
        <v>5164</v>
      </c>
      <c r="AY13" s="90">
        <f>IF(AX13&gt;0,SUM(AX$7:AX13)-SUM(AW$7:AW13),0)</f>
        <v>-9505</v>
      </c>
      <c r="AZ13" s="45">
        <f t="shared" si="31"/>
        <v>0.67064935064935061</v>
      </c>
      <c r="BA13" s="35">
        <f t="shared" si="4"/>
        <v>23100</v>
      </c>
      <c r="BB13" s="35">
        <f t="shared" si="10"/>
        <v>23340</v>
      </c>
      <c r="BC13" s="91">
        <f>IF(BB13&gt;0,SUM(BB$7:BB13)-SUM(BA$7:BA13),0)</f>
        <v>-2712</v>
      </c>
      <c r="BD13" s="45">
        <f t="shared" si="24"/>
        <v>1.0103896103896104</v>
      </c>
      <c r="BF13" s="47">
        <f t="shared" si="25"/>
        <v>40823</v>
      </c>
      <c r="BG13" s="54" t="str">
        <f t="shared" si="11"/>
        <v>qui</v>
      </c>
      <c r="BH13" s="75">
        <v>18200</v>
      </c>
      <c r="BI13" s="75">
        <v>16830</v>
      </c>
      <c r="BJ13" s="75">
        <f>IF(BI13&gt;0,SUM(BI$7:BI13)-SUM(BH$7:BH13),0)</f>
        <v>-10169</v>
      </c>
      <c r="BK13" s="45">
        <f t="shared" si="26"/>
        <v>0.92472527472527477</v>
      </c>
      <c r="BL13" s="75">
        <v>8000</v>
      </c>
      <c r="BM13" s="75">
        <v>6511</v>
      </c>
      <c r="BN13" s="90">
        <f>IF(BM13&gt;0,SUM(BM$7:BM13)-SUM(BL$7:BL13),0)</f>
        <v>-11549</v>
      </c>
      <c r="BO13" s="45">
        <f t="shared" si="27"/>
        <v>0.81387500000000002</v>
      </c>
      <c r="BP13" s="75">
        <v>11000</v>
      </c>
      <c r="BQ13" s="75">
        <v>14618</v>
      </c>
      <c r="BR13" s="90">
        <f>IF(BQ13&gt;0,SUM(BQ$7:BQ13)-SUM(BP$7:BP13),0)</f>
        <v>-632</v>
      </c>
      <c r="BS13" s="45">
        <f t="shared" si="32"/>
        <v>1.3289090909090908</v>
      </c>
      <c r="BT13" s="35">
        <f t="shared" si="5"/>
        <v>37200</v>
      </c>
      <c r="BU13" s="35">
        <f t="shared" si="5"/>
        <v>37959</v>
      </c>
      <c r="BV13" s="91">
        <f>IF(BU13&gt;0,SUM(BU$7:BU13)-SUM(BT$7:BT13),0)</f>
        <v>-22350</v>
      </c>
      <c r="BW13" s="45">
        <f t="shared" si="28"/>
        <v>1.0204032258064517</v>
      </c>
      <c r="BY13" s="47">
        <f t="shared" si="29"/>
        <v>40823</v>
      </c>
      <c r="BZ13" s="54" t="str">
        <f t="shared" si="12"/>
        <v>qui</v>
      </c>
      <c r="CA13" s="75">
        <v>4736</v>
      </c>
      <c r="CB13" s="75">
        <v>6188</v>
      </c>
      <c r="CC13" s="90">
        <f>IF(CB13&gt;0,SUM(CB$7:CB13)-SUM(CA$7:CA13),0)</f>
        <v>-8953</v>
      </c>
      <c r="CD13" s="45">
        <f t="shared" si="30"/>
        <v>1.3065878378378379</v>
      </c>
    </row>
    <row r="14" spans="1:82" x14ac:dyDescent="0.25">
      <c r="A14" s="47">
        <f t="shared" si="13"/>
        <v>40824</v>
      </c>
      <c r="B14" s="54" t="s">
        <v>24</v>
      </c>
      <c r="C14" s="75">
        <v>12900</v>
      </c>
      <c r="D14" s="75">
        <v>6557</v>
      </c>
      <c r="E14" s="90">
        <f>IF(D14&gt;0,SUM(D$7:D14)-SUM(C$7:C14),0)</f>
        <v>-26720</v>
      </c>
      <c r="F14" s="45">
        <f>IF(D14&gt;0,IF(C14&gt;0,D14/C14,0),0)</f>
        <v>0.50829457364341091</v>
      </c>
      <c r="G14" s="75">
        <v>12900</v>
      </c>
      <c r="H14" s="75">
        <v>13130</v>
      </c>
      <c r="I14" s="75">
        <f>IF(H14&gt;0,SUM(H$7:H14)-SUM(G$7:G14),0)</f>
        <v>-19032</v>
      </c>
      <c r="J14" s="45">
        <f t="shared" si="0"/>
        <v>1.0178294573643412</v>
      </c>
      <c r="K14" s="75">
        <v>12900</v>
      </c>
      <c r="L14" s="75">
        <v>11205</v>
      </c>
      <c r="M14" s="90">
        <f>IF(L14&gt;0,SUM(L$7:L14)-SUM(K$7:K14),0)</f>
        <v>-17604</v>
      </c>
      <c r="N14" s="45">
        <f t="shared" si="1"/>
        <v>0.86860465116279073</v>
      </c>
      <c r="O14" s="35">
        <f t="shared" si="2"/>
        <v>38700</v>
      </c>
      <c r="P14" s="35">
        <f t="shared" si="6"/>
        <v>30892</v>
      </c>
      <c r="Q14" s="91">
        <f>IF(P14&gt;0,SUM(P$7:P14)-SUM(O$7:O14),0)</f>
        <v>-63356</v>
      </c>
      <c r="R14" s="45">
        <f t="shared" si="15"/>
        <v>0.79824289405684756</v>
      </c>
      <c r="T14" s="47">
        <f t="shared" si="16"/>
        <v>40824</v>
      </c>
      <c r="U14" s="54" t="str">
        <f t="shared" si="7"/>
        <v>sex</v>
      </c>
      <c r="V14" s="75">
        <v>12340</v>
      </c>
      <c r="W14" s="75">
        <v>10728</v>
      </c>
      <c r="X14" s="92">
        <f>IF(W14&gt;0,SUM(W$7:W14)-SUM(V$7:V14),0)</f>
        <v>9672</v>
      </c>
      <c r="Y14" s="60">
        <f t="shared" si="17"/>
        <v>0.86936790923824958</v>
      </c>
      <c r="Z14" s="75">
        <v>12340</v>
      </c>
      <c r="AA14" s="75">
        <v>9816</v>
      </c>
      <c r="AB14" s="92">
        <f>IF(AA14&gt;0,SUM(AA$7:AA14)-SUM(Z$7:Z14),0)</f>
        <v>-21742</v>
      </c>
      <c r="AC14" s="60">
        <f t="shared" si="18"/>
        <v>0.79546191247974063</v>
      </c>
      <c r="AD14" s="75">
        <v>12340</v>
      </c>
      <c r="AE14" s="75">
        <v>17575</v>
      </c>
      <c r="AF14" s="92">
        <f>IF(AE14&gt;0,SUM(AE$7:AE14)-SUM(AD$7:AD14),0)</f>
        <v>15309</v>
      </c>
      <c r="AG14" s="60">
        <f t="shared" si="19"/>
        <v>1.424230145867099</v>
      </c>
      <c r="AH14" s="41">
        <f t="shared" si="3"/>
        <v>37020</v>
      </c>
      <c r="AI14" s="41">
        <f t="shared" si="8"/>
        <v>38119</v>
      </c>
      <c r="AJ14" s="93">
        <f>IF(AI14&gt;0,SUM(AI$7:AI14)-SUM(AH$7:AH14),0)</f>
        <v>3239</v>
      </c>
      <c r="AK14" s="60">
        <f t="shared" si="20"/>
        <v>1.0296866558616964</v>
      </c>
      <c r="AM14" s="47">
        <f t="shared" si="21"/>
        <v>40824</v>
      </c>
      <c r="AN14" s="54" t="str">
        <f t="shared" si="9"/>
        <v>sex</v>
      </c>
      <c r="AO14" s="75">
        <v>7700</v>
      </c>
      <c r="AP14" s="75">
        <v>10057</v>
      </c>
      <c r="AQ14" s="75">
        <f>IF(AP14&gt;0,SUM(AP$7:AP15)-SUM(AO$7:AO14),0)</f>
        <v>26670</v>
      </c>
      <c r="AR14" s="45">
        <f t="shared" si="22"/>
        <v>1.3061038961038962</v>
      </c>
      <c r="AS14" s="75">
        <v>7700</v>
      </c>
      <c r="AT14" s="75">
        <v>10017</v>
      </c>
      <c r="AU14" s="90">
        <f>IF(AT14&gt;0,SUM(AT$7:AT14)-SUM(AS$7:AS14),0)</f>
        <v>4051</v>
      </c>
      <c r="AV14" s="45">
        <f t="shared" si="23"/>
        <v>1.300909090909091</v>
      </c>
      <c r="AW14" s="75">
        <v>7700</v>
      </c>
      <c r="AX14" s="75">
        <v>5351</v>
      </c>
      <c r="AY14" s="90">
        <f>IF(AX14&gt;0,SUM(AX$7:AX14)-SUM(AW$7:AW14),0)</f>
        <v>-11854</v>
      </c>
      <c r="AZ14" s="45">
        <f t="shared" si="31"/>
        <v>0.69493506493506496</v>
      </c>
      <c r="BA14" s="35">
        <f t="shared" si="4"/>
        <v>23100</v>
      </c>
      <c r="BB14" s="35">
        <f t="shared" si="10"/>
        <v>25425</v>
      </c>
      <c r="BC14" s="91">
        <f>IF(BB14&gt;0,SUM(BB$7:BB14)-SUM(BA$7:BA14),0)</f>
        <v>-387</v>
      </c>
      <c r="BD14" s="45">
        <f t="shared" si="24"/>
        <v>1.1006493506493507</v>
      </c>
      <c r="BF14" s="47">
        <f t="shared" si="25"/>
        <v>40824</v>
      </c>
      <c r="BG14" s="54" t="str">
        <f t="shared" si="11"/>
        <v>sex</v>
      </c>
      <c r="BH14" s="75">
        <v>18200</v>
      </c>
      <c r="BI14" s="75">
        <v>17385</v>
      </c>
      <c r="BJ14" s="75">
        <f>IF(BI14&gt;0,SUM(BI$7:BI14)-SUM(BH$7:BH14),0)</f>
        <v>-10984</v>
      </c>
      <c r="BK14" s="45">
        <f t="shared" si="26"/>
        <v>0.95521978021978027</v>
      </c>
      <c r="BL14" s="75">
        <v>8000</v>
      </c>
      <c r="BM14" s="75">
        <v>8045</v>
      </c>
      <c r="BN14" s="90">
        <f>IF(BM14&gt;0,SUM(BM$7:BM14)-SUM(BL$7:BL14),0)</f>
        <v>-11504</v>
      </c>
      <c r="BO14" s="45">
        <f t="shared" si="27"/>
        <v>1.005625</v>
      </c>
      <c r="BP14" s="75">
        <v>11000</v>
      </c>
      <c r="BQ14" s="75">
        <v>17231</v>
      </c>
      <c r="BR14" s="90">
        <f>IF(BQ14&gt;0,SUM(BQ$7:BQ14)-SUM(BP$7:BP14),0)</f>
        <v>5599</v>
      </c>
      <c r="BS14" s="45">
        <f t="shared" si="32"/>
        <v>1.5664545454545455</v>
      </c>
      <c r="BT14" s="35">
        <f t="shared" si="5"/>
        <v>37200</v>
      </c>
      <c r="BU14" s="35">
        <f t="shared" si="5"/>
        <v>42661</v>
      </c>
      <c r="BV14" s="91">
        <f>IF(BU14&gt;0,SUM(BU$7:BU14)-SUM(BT$7:BT14),0)</f>
        <v>-16889</v>
      </c>
      <c r="BW14" s="45">
        <f t="shared" si="28"/>
        <v>1.1468010752688171</v>
      </c>
      <c r="BY14" s="47">
        <f t="shared" si="29"/>
        <v>40824</v>
      </c>
      <c r="BZ14" s="54" t="str">
        <f t="shared" si="12"/>
        <v>sex</v>
      </c>
      <c r="CA14" s="75">
        <v>4736</v>
      </c>
      <c r="CB14" s="75">
        <v>5945</v>
      </c>
      <c r="CC14" s="90">
        <f>IF(CB14&gt;0,SUM(CB$7:CB14)-SUM(CA$7:CA14),0)</f>
        <v>-7744</v>
      </c>
      <c r="CD14" s="45">
        <f t="shared" si="30"/>
        <v>1.2552787162162162</v>
      </c>
    </row>
    <row r="15" spans="1:82" x14ac:dyDescent="0.25">
      <c r="A15" s="47">
        <f t="shared" si="13"/>
        <v>40825</v>
      </c>
      <c r="B15" s="54" t="s">
        <v>25</v>
      </c>
      <c r="C15" s="75">
        <v>12900</v>
      </c>
      <c r="D15" s="75">
        <v>6446</v>
      </c>
      <c r="E15" s="90">
        <f>IF(D15&gt;0,SUM(D$7:D15)-SUM(C$7:C15),0)</f>
        <v>-33174</v>
      </c>
      <c r="F15" s="45">
        <f t="shared" si="14"/>
        <v>0.49968992248062016</v>
      </c>
      <c r="G15" s="75">
        <v>12900</v>
      </c>
      <c r="H15" s="75">
        <v>12191</v>
      </c>
      <c r="I15" s="75">
        <f>IF(H15&gt;0,SUM(H$7:H15)-SUM(G$7:G15),0)</f>
        <v>-19741</v>
      </c>
      <c r="J15" s="45">
        <f t="shared" ref="J15:J36" si="33">IF(H15&gt;0,IF(K15&gt;0,H15/K15,0),0)</f>
        <v>0.94503875968992246</v>
      </c>
      <c r="K15" s="75">
        <v>12900</v>
      </c>
      <c r="L15" s="75">
        <v>12298</v>
      </c>
      <c r="M15" s="90">
        <f>IF(L15&gt;0,SUM(L$7:L15)-SUM(K$7:K15),0)</f>
        <v>-18206</v>
      </c>
      <c r="N15" s="45">
        <f t="shared" si="1"/>
        <v>0.95333333333333337</v>
      </c>
      <c r="O15" s="35">
        <f t="shared" ref="O15:O36" si="34">IF(SUM(C15,G15,K15)&gt;0,SUM(C15,G15,K15),0)</f>
        <v>38700</v>
      </c>
      <c r="P15" s="35">
        <f t="shared" si="6"/>
        <v>30935</v>
      </c>
      <c r="Q15" s="91">
        <f>IF(P15&gt;0,SUM(P$7:P15)-SUM(O$7:O15),0)</f>
        <v>-71121</v>
      </c>
      <c r="R15" s="45">
        <f t="shared" si="15"/>
        <v>0.79935400516795863</v>
      </c>
      <c r="T15" s="47">
        <f t="shared" si="16"/>
        <v>40825</v>
      </c>
      <c r="U15" s="54" t="str">
        <f t="shared" si="7"/>
        <v>sáb</v>
      </c>
      <c r="V15" s="75">
        <v>12340</v>
      </c>
      <c r="W15" s="75">
        <v>11454</v>
      </c>
      <c r="X15" s="92">
        <f>IF(W15&gt;0,SUM(W$7:W15)-SUM(V$7:V15),0)</f>
        <v>8786</v>
      </c>
      <c r="Y15" s="60">
        <f t="shared" si="17"/>
        <v>0.9282009724473258</v>
      </c>
      <c r="Z15" s="75">
        <v>12340</v>
      </c>
      <c r="AA15" s="75">
        <v>11683</v>
      </c>
      <c r="AB15" s="92">
        <f>IF(AA15&gt;0,SUM(AA$7:AA15)-SUM(Z$7:Z15),0)</f>
        <v>-22399</v>
      </c>
      <c r="AC15" s="60">
        <f t="shared" si="18"/>
        <v>0.94675850891410052</v>
      </c>
      <c r="AD15" s="75">
        <v>12340</v>
      </c>
      <c r="AE15" s="75">
        <v>9442</v>
      </c>
      <c r="AF15" s="92">
        <f>IF(AE15&gt;0,SUM(AE$7:AE15)-SUM(AD$7:AD15),0)</f>
        <v>12411</v>
      </c>
      <c r="AG15" s="60">
        <f t="shared" si="19"/>
        <v>0.76515397082658021</v>
      </c>
      <c r="AH15" s="41">
        <f t="shared" si="3"/>
        <v>37020</v>
      </c>
      <c r="AI15" s="41">
        <f t="shared" si="8"/>
        <v>32579</v>
      </c>
      <c r="AJ15" s="93">
        <f>IF(AI15&gt;0,SUM(AI$7:AI15)-SUM(AH$7:AH15),0)</f>
        <v>-1202</v>
      </c>
      <c r="AK15" s="60">
        <f t="shared" si="20"/>
        <v>0.88003781739600218</v>
      </c>
      <c r="AM15" s="47">
        <f t="shared" si="21"/>
        <v>40825</v>
      </c>
      <c r="AN15" s="54" t="str">
        <f t="shared" si="9"/>
        <v>sáb</v>
      </c>
      <c r="AO15" s="75">
        <v>7700</v>
      </c>
      <c r="AP15" s="75">
        <v>19254</v>
      </c>
      <c r="AQ15" s="75">
        <f>IF(AP15&gt;0,SUM(AP$7:AP15)-SUM(AO$7:AO15),0)</f>
        <v>18970</v>
      </c>
      <c r="AR15" s="45">
        <f t="shared" si="22"/>
        <v>2.5005194805194804</v>
      </c>
      <c r="AS15" s="75">
        <v>7700</v>
      </c>
      <c r="AT15" s="75">
        <v>5806</v>
      </c>
      <c r="AU15" s="90">
        <f>IF(AT15&gt;0,SUM(AT$7:AT15)-SUM(AS$7:AS15),0)</f>
        <v>2157</v>
      </c>
      <c r="AV15" s="45">
        <f t="shared" si="23"/>
        <v>0.75402597402597404</v>
      </c>
      <c r="AW15" s="75">
        <v>7700</v>
      </c>
      <c r="AX15" s="75">
        <v>6306</v>
      </c>
      <c r="AY15" s="90">
        <f>IF(AX15&gt;0,SUM(AX$7:AX15)-SUM(AW$7:AW15),0)</f>
        <v>-13248</v>
      </c>
      <c r="AZ15" s="45">
        <f t="shared" si="31"/>
        <v>0.818961038961039</v>
      </c>
      <c r="BA15" s="35">
        <f t="shared" si="4"/>
        <v>23100</v>
      </c>
      <c r="BB15" s="35">
        <f t="shared" si="10"/>
        <v>31366</v>
      </c>
      <c r="BC15" s="91">
        <f>IF(BB15&gt;0,SUM(BB$7:BB15)-SUM(BA$7:BA15),0)</f>
        <v>7879</v>
      </c>
      <c r="BD15" s="45">
        <f t="shared" si="24"/>
        <v>1.3578354978354978</v>
      </c>
      <c r="BF15" s="47">
        <f t="shared" si="25"/>
        <v>40825</v>
      </c>
      <c r="BG15" s="54" t="str">
        <f t="shared" si="11"/>
        <v>sáb</v>
      </c>
      <c r="BH15" s="75">
        <v>18200</v>
      </c>
      <c r="BI15" s="75">
        <v>25795</v>
      </c>
      <c r="BJ15" s="75">
        <f>IF(BI15&gt;0,SUM(BI$7:BI15)-SUM(BH$7:BH15),0)</f>
        <v>-3389</v>
      </c>
      <c r="BK15" s="45">
        <f t="shared" si="26"/>
        <v>1.4173076923076924</v>
      </c>
      <c r="BL15" s="75">
        <v>8000</v>
      </c>
      <c r="BM15" s="75">
        <v>5578</v>
      </c>
      <c r="BN15" s="90">
        <f>IF(BM15&gt;0,SUM(BM$7:BM15)-SUM(BL$7:BL15),0)</f>
        <v>-13926</v>
      </c>
      <c r="BO15" s="45">
        <f t="shared" si="27"/>
        <v>0.69725000000000004</v>
      </c>
      <c r="BP15" s="75">
        <v>11000</v>
      </c>
      <c r="BQ15" s="75">
        <v>10161</v>
      </c>
      <c r="BR15" s="90">
        <f>IF(BQ15&gt;0,SUM(BQ$7:BQ15)-SUM(BP$7:BP15),0)</f>
        <v>4760</v>
      </c>
      <c r="BS15" s="45">
        <f t="shared" si="32"/>
        <v>0.92372727272727273</v>
      </c>
      <c r="BT15" s="35">
        <f t="shared" si="5"/>
        <v>37200</v>
      </c>
      <c r="BU15" s="35">
        <f t="shared" si="5"/>
        <v>41534</v>
      </c>
      <c r="BV15" s="91">
        <f>IF(BU15&gt;0,SUM(BU$7:BU15)-SUM(BT$7:BT15),0)</f>
        <v>-12555</v>
      </c>
      <c r="BW15" s="45">
        <f t="shared" si="28"/>
        <v>1.116505376344086</v>
      </c>
      <c r="BY15" s="47">
        <f t="shared" si="29"/>
        <v>40825</v>
      </c>
      <c r="BZ15" s="54" t="str">
        <f t="shared" si="12"/>
        <v>sáb</v>
      </c>
      <c r="CA15" s="75">
        <v>4736</v>
      </c>
      <c r="CB15" s="75">
        <v>9685</v>
      </c>
      <c r="CC15" s="90">
        <f>IF(CB15&gt;0,SUM(CB$7:CB15)-SUM(CA$7:CA15),0)</f>
        <v>-2795</v>
      </c>
      <c r="CD15" s="45">
        <f t="shared" si="30"/>
        <v>2.0449746621621623</v>
      </c>
    </row>
    <row r="16" spans="1:82" x14ac:dyDescent="0.25">
      <c r="A16" s="47">
        <f t="shared" si="13"/>
        <v>40826</v>
      </c>
      <c r="B16" s="54" t="s">
        <v>26</v>
      </c>
      <c r="C16" s="75"/>
      <c r="D16" s="75">
        <v>16932</v>
      </c>
      <c r="E16" s="90">
        <f>IF(D16&gt;0,SUM(D$7:D16)-SUM(C$7:C16),0)</f>
        <v>-16242</v>
      </c>
      <c r="F16" s="45">
        <f>IF(D16&gt;0,IF(C16&gt;0,D16/C16,0),0)</f>
        <v>0</v>
      </c>
      <c r="G16" s="75"/>
      <c r="H16" s="75"/>
      <c r="I16" s="75">
        <f>IF(H16&gt;0,SUM(H$7:H16)-SUM(G$7:G16),0)</f>
        <v>0</v>
      </c>
      <c r="J16" s="45">
        <f t="shared" si="33"/>
        <v>0</v>
      </c>
      <c r="K16" s="75"/>
      <c r="L16" s="75"/>
      <c r="M16" s="90">
        <f>IF(L16&gt;0,SUM(L$7:L16)-SUM(K$7:K16),0)</f>
        <v>0</v>
      </c>
      <c r="N16" s="45">
        <f t="shared" si="1"/>
        <v>0</v>
      </c>
      <c r="O16" s="35">
        <f t="shared" si="34"/>
        <v>0</v>
      </c>
      <c r="P16" s="35">
        <f t="shared" si="6"/>
        <v>16932</v>
      </c>
      <c r="Q16" s="91">
        <f>IF(P16&gt;0,SUM(P$7:P16)-SUM(O$7:O16),0)</f>
        <v>-54189</v>
      </c>
      <c r="R16" s="45">
        <f t="shared" si="15"/>
        <v>0</v>
      </c>
      <c r="T16" s="47">
        <f t="shared" si="16"/>
        <v>40826</v>
      </c>
      <c r="U16" s="54" t="str">
        <f t="shared" si="7"/>
        <v>dom</v>
      </c>
      <c r="V16" s="75"/>
      <c r="W16" s="75">
        <v>18862</v>
      </c>
      <c r="X16" s="92">
        <f>IF(W16&gt;0,SUM(W$7:W16)-SUM(V$7:V16),0)</f>
        <v>27648</v>
      </c>
      <c r="Y16" s="60">
        <f>IF(W16&gt;0,IF(V16&gt;0,W16/V16,0),0)</f>
        <v>0</v>
      </c>
      <c r="Z16" s="75"/>
      <c r="AA16" s="75"/>
      <c r="AB16" s="92">
        <f>IF(AA16&gt;0,SUM(AA$7:AA16)-SUM(Z$7:Z16),0)</f>
        <v>0</v>
      </c>
      <c r="AC16" s="60">
        <f>IF(AA16&gt;0,IF(Z16&gt;0,AA16/Z16,0),0)</f>
        <v>0</v>
      </c>
      <c r="AD16" s="75"/>
      <c r="AE16" s="75"/>
      <c r="AF16" s="92">
        <f>IF(AE16&gt;0,SUM(AE$7:AE16)-SUM(AD$7:AD16),0)</f>
        <v>0</v>
      </c>
      <c r="AG16" s="60">
        <f>IF(AE16&gt;0,IF(AD16&gt;0,AE16/AD16,0),0)</f>
        <v>0</v>
      </c>
      <c r="AH16" s="41">
        <f t="shared" si="3"/>
        <v>0</v>
      </c>
      <c r="AI16" s="41">
        <f t="shared" si="8"/>
        <v>18862</v>
      </c>
      <c r="AJ16" s="93">
        <f>IF(AI16&gt;0,SUM(AI$7:AI16)-SUM(AH$7:AH16),0)</f>
        <v>17660</v>
      </c>
      <c r="AK16" s="60">
        <f t="shared" si="20"/>
        <v>0</v>
      </c>
      <c r="AM16" s="47">
        <f t="shared" si="21"/>
        <v>40826</v>
      </c>
      <c r="AN16" s="54" t="str">
        <f t="shared" si="9"/>
        <v>dom</v>
      </c>
      <c r="AO16" s="75"/>
      <c r="AP16" s="75"/>
      <c r="AQ16" s="75">
        <f>IF(AP16&gt;0,SUM(AP$7:AP16)-SUM(AO$7:AO16),0)</f>
        <v>0</v>
      </c>
      <c r="AR16" s="45">
        <f t="shared" si="22"/>
        <v>0</v>
      </c>
      <c r="AS16" s="75"/>
      <c r="AT16" s="75"/>
      <c r="AU16" s="90">
        <f>IF(AT16&gt;0,SUM(AT$7:AT16)-SUM(AS$7:AS16),0)</f>
        <v>0</v>
      </c>
      <c r="AV16" s="45">
        <f t="shared" si="23"/>
        <v>0</v>
      </c>
      <c r="AW16" s="75"/>
      <c r="AX16" s="75"/>
      <c r="AY16" s="90">
        <f>IF(AX16&gt;0,SUM(AX$7:AX16)-SUM(AW$7:AW16),0)</f>
        <v>0</v>
      </c>
      <c r="AZ16" s="45">
        <f t="shared" si="31"/>
        <v>0</v>
      </c>
      <c r="BA16" s="35">
        <f t="shared" si="4"/>
        <v>0</v>
      </c>
      <c r="BB16" s="35">
        <f t="shared" si="10"/>
        <v>0</v>
      </c>
      <c r="BC16" s="91">
        <f>IF(BB16&gt;0,SUM(BB$7:BB16)-SUM(BA$7:BA16),0)</f>
        <v>0</v>
      </c>
      <c r="BD16" s="45">
        <f t="shared" si="24"/>
        <v>0</v>
      </c>
      <c r="BF16" s="47">
        <f t="shared" si="25"/>
        <v>40826</v>
      </c>
      <c r="BG16" s="54" t="str">
        <f t="shared" si="11"/>
        <v>dom</v>
      </c>
      <c r="BH16" s="75"/>
      <c r="BI16" s="75"/>
      <c r="BJ16" s="75">
        <f>IF(BI16&gt;0,SUM(BI$7:BI16)-SUM(BH$7:BH16),0)</f>
        <v>0</v>
      </c>
      <c r="BK16" s="45">
        <f t="shared" si="26"/>
        <v>0</v>
      </c>
      <c r="BL16" s="75"/>
      <c r="BM16" s="75"/>
      <c r="BN16" s="90">
        <f>IF(BM16&gt;0,SUM(BM$7:BM16)-SUM(BL$7:BL16),0)</f>
        <v>0</v>
      </c>
      <c r="BO16" s="45">
        <f t="shared" si="27"/>
        <v>0</v>
      </c>
      <c r="BP16" s="75"/>
      <c r="BQ16" s="75"/>
      <c r="BR16" s="90">
        <f>IF(BQ16&gt;0,SUM(BQ$7:BQ16)-SUM(BP$7:BP16),0)</f>
        <v>0</v>
      </c>
      <c r="BS16" s="45">
        <f t="shared" si="32"/>
        <v>0</v>
      </c>
      <c r="BT16" s="35">
        <f t="shared" si="5"/>
        <v>0</v>
      </c>
      <c r="BU16" s="35">
        <f t="shared" si="5"/>
        <v>0</v>
      </c>
      <c r="BV16" s="91">
        <f>IF(BU16&gt;0,SUM(BU$7:BU16)-SUM(BT$7:BT16),0)</f>
        <v>0</v>
      </c>
      <c r="BW16" s="45">
        <f t="shared" si="28"/>
        <v>0</v>
      </c>
      <c r="BY16" s="47">
        <f t="shared" si="29"/>
        <v>40826</v>
      </c>
      <c r="BZ16" s="54" t="str">
        <f t="shared" si="12"/>
        <v>dom</v>
      </c>
      <c r="CA16" s="75"/>
      <c r="CB16" s="75"/>
      <c r="CC16" s="90">
        <f>IF(CB16&gt;0,SUM(CB$7:CB16)-SUM(CA$7:CA16),0)</f>
        <v>0</v>
      </c>
      <c r="CD16" s="45">
        <f t="shared" si="30"/>
        <v>0</v>
      </c>
    </row>
    <row r="17" spans="1:82" x14ac:dyDescent="0.25">
      <c r="A17" s="47">
        <f t="shared" si="13"/>
        <v>40827</v>
      </c>
      <c r="B17" s="54" t="s">
        <v>27</v>
      </c>
      <c r="C17" s="75">
        <v>12900</v>
      </c>
      <c r="D17" s="75">
        <v>9586</v>
      </c>
      <c r="E17" s="90">
        <f>IF(D17&gt;0,SUM(D$7:D17)-SUM(C$7:C17),0)</f>
        <v>-19556</v>
      </c>
      <c r="F17" s="45">
        <f>IF(D17&gt;0,IF(C17&gt;0,D17/C17,0),0)</f>
        <v>0.74310077519379847</v>
      </c>
      <c r="G17" s="75">
        <v>12900</v>
      </c>
      <c r="H17" s="75">
        <v>10458</v>
      </c>
      <c r="I17" s="75">
        <f>IF(H17&gt;0,SUM(H$7:H17)-SUM(G$7:G17),0)</f>
        <v>-22183</v>
      </c>
      <c r="J17" s="45">
        <f t="shared" si="33"/>
        <v>0.81069767441860463</v>
      </c>
      <c r="K17" s="75">
        <v>12900</v>
      </c>
      <c r="L17" s="75">
        <v>12266</v>
      </c>
      <c r="M17" s="90">
        <f>IF(L17&gt;0,SUM(L$7:L17)-SUM(K$7:K17),0)</f>
        <v>-18840</v>
      </c>
      <c r="N17" s="45">
        <f t="shared" si="1"/>
        <v>0.95085271317829456</v>
      </c>
      <c r="O17" s="35">
        <f t="shared" si="34"/>
        <v>38700</v>
      </c>
      <c r="P17" s="35">
        <f t="shared" si="6"/>
        <v>32310</v>
      </c>
      <c r="Q17" s="91">
        <f>IF(P17&gt;0,SUM(P$7:P17)-SUM(O$7:O17),0)</f>
        <v>-60579</v>
      </c>
      <c r="R17" s="45">
        <f t="shared" si="15"/>
        <v>0.83488372093023255</v>
      </c>
      <c r="T17" s="47">
        <f t="shared" si="16"/>
        <v>40827</v>
      </c>
      <c r="U17" s="54" t="str">
        <f t="shared" si="7"/>
        <v>seg</v>
      </c>
      <c r="V17" s="75">
        <v>12340</v>
      </c>
      <c r="W17" s="75">
        <v>7951</v>
      </c>
      <c r="X17" s="92">
        <f>IF(W17&gt;0,SUM(W$7:W17)-SUM(V$7:V17),0)</f>
        <v>23259</v>
      </c>
      <c r="Y17" s="60">
        <f>IF(W17&gt;0,IF(V17&gt;0,W17/V17,0),0)</f>
        <v>0.64432739059967581</v>
      </c>
      <c r="Z17" s="75">
        <v>12340</v>
      </c>
      <c r="AA17" s="75">
        <v>9851</v>
      </c>
      <c r="AB17" s="92">
        <f>IF(AA17&gt;0,SUM(AA$7:AA17)-SUM(Z$7:Z17),0)</f>
        <v>-24888</v>
      </c>
      <c r="AC17" s="60">
        <f>IF(AA17&gt;0,IF(Z17&gt;0,AA17/Z17,0),0)</f>
        <v>0.79829821717990279</v>
      </c>
      <c r="AD17" s="75">
        <v>12340</v>
      </c>
      <c r="AE17" s="75">
        <v>9646</v>
      </c>
      <c r="AF17" s="92">
        <f>IF(AE17&gt;0,SUM(AE$7:AE17)-SUM(AD$7:AD17),0)</f>
        <v>9717</v>
      </c>
      <c r="AG17" s="60">
        <f>IF(AE17&gt;0,IF(AD17&gt;0,AE17/AD17,0),0)</f>
        <v>0.78168557536466776</v>
      </c>
      <c r="AH17" s="41">
        <f t="shared" si="3"/>
        <v>37020</v>
      </c>
      <c r="AI17" s="41">
        <f t="shared" si="8"/>
        <v>27448</v>
      </c>
      <c r="AJ17" s="93">
        <f>IF(AI17&gt;0,SUM(AI$7:AI17)-SUM(AH$7:AH17),0)</f>
        <v>8088</v>
      </c>
      <c r="AK17" s="60">
        <f t="shared" si="20"/>
        <v>0.74143706104808216</v>
      </c>
      <c r="AM17" s="47">
        <f t="shared" si="21"/>
        <v>40827</v>
      </c>
      <c r="AN17" s="54" t="str">
        <f t="shared" si="9"/>
        <v>seg</v>
      </c>
      <c r="AO17" s="75">
        <v>7700</v>
      </c>
      <c r="AP17" s="75">
        <v>9254</v>
      </c>
      <c r="AQ17" s="75">
        <f>IF(AP17&gt;0,SUM(AP$7:AP17)-SUM(AO$7:AO17),0)</f>
        <v>20524</v>
      </c>
      <c r="AR17" s="45">
        <f t="shared" si="22"/>
        <v>1.2018181818181819</v>
      </c>
      <c r="AS17" s="75">
        <v>7700</v>
      </c>
      <c r="AT17" s="75">
        <v>9712</v>
      </c>
      <c r="AU17" s="90">
        <f>IF(AT17&gt;0,SUM(AT$7:AT17)-SUM(AS$7:AS17),0)</f>
        <v>4169</v>
      </c>
      <c r="AV17" s="45">
        <f t="shared" si="23"/>
        <v>1.2612987012987014</v>
      </c>
      <c r="AW17" s="75">
        <v>7700</v>
      </c>
      <c r="AX17" s="75">
        <v>4207</v>
      </c>
      <c r="AY17" s="90">
        <f>IF(AX17&gt;0,SUM(AX$7:AX17)-SUM(AW$7:AW17),0)</f>
        <v>-16741</v>
      </c>
      <c r="AZ17" s="45">
        <f t="shared" si="31"/>
        <v>0.54636363636363638</v>
      </c>
      <c r="BA17" s="35">
        <f t="shared" si="4"/>
        <v>23100</v>
      </c>
      <c r="BB17" s="35">
        <f t="shared" si="10"/>
        <v>23173</v>
      </c>
      <c r="BC17" s="91">
        <f>IF(BB17&gt;0,SUM(BB$7:BB17)-SUM(BA$7:BA17),0)</f>
        <v>7952</v>
      </c>
      <c r="BD17" s="45">
        <f t="shared" si="24"/>
        <v>1.0031601731601731</v>
      </c>
      <c r="BF17" s="47">
        <f t="shared" si="25"/>
        <v>40827</v>
      </c>
      <c r="BG17" s="54" t="str">
        <f t="shared" si="11"/>
        <v>seg</v>
      </c>
      <c r="BH17" s="75">
        <v>18200</v>
      </c>
      <c r="BI17" s="75">
        <v>16062</v>
      </c>
      <c r="BJ17" s="75">
        <f>IF(BI17&gt;0,SUM(BI$7:BI17)-SUM(BH$7:BH17),0)</f>
        <v>-5527</v>
      </c>
      <c r="BK17" s="45">
        <f t="shared" si="26"/>
        <v>0.88252747252747255</v>
      </c>
      <c r="BL17" s="75">
        <v>8000</v>
      </c>
      <c r="BM17" s="75">
        <v>7115</v>
      </c>
      <c r="BN17" s="90">
        <f>IF(BM17&gt;0,SUM(BM$7:BM17)-SUM(BL$7:BL17),0)</f>
        <v>-14811</v>
      </c>
      <c r="BO17" s="45">
        <f t="shared" si="27"/>
        <v>0.88937500000000003</v>
      </c>
      <c r="BP17" s="75">
        <v>11000</v>
      </c>
      <c r="BQ17" s="75">
        <v>8107</v>
      </c>
      <c r="BR17" s="90">
        <f>IF(BQ17&gt;0,SUM(BQ$7:BQ17)-SUM(BP$7:BP17),0)</f>
        <v>1867</v>
      </c>
      <c r="BS17" s="45">
        <f t="shared" si="32"/>
        <v>0.73699999999999999</v>
      </c>
      <c r="BT17" s="35">
        <f t="shared" si="5"/>
        <v>37200</v>
      </c>
      <c r="BU17" s="35">
        <f t="shared" si="5"/>
        <v>31284</v>
      </c>
      <c r="BV17" s="91">
        <f>IF(BU17&gt;0,SUM(BU$7:BU17)-SUM(BT$7:BT17),0)</f>
        <v>-18471</v>
      </c>
      <c r="BW17" s="45">
        <f t="shared" si="28"/>
        <v>0.84096774193548385</v>
      </c>
      <c r="BY17" s="47">
        <f t="shared" si="29"/>
        <v>40827</v>
      </c>
      <c r="BZ17" s="54" t="str">
        <f t="shared" si="12"/>
        <v>seg</v>
      </c>
      <c r="CA17" s="75">
        <v>4736</v>
      </c>
      <c r="CB17" s="75">
        <v>2859</v>
      </c>
      <c r="CC17" s="90">
        <f>IF(CB17&gt;0,SUM(CB$7:CB17)-SUM(CA$7:CA17),0)</f>
        <v>-4672</v>
      </c>
      <c r="CD17" s="45">
        <f t="shared" si="30"/>
        <v>0.60367398648648651</v>
      </c>
    </row>
    <row r="18" spans="1:82" x14ac:dyDescent="0.25">
      <c r="A18" s="47">
        <f t="shared" si="13"/>
        <v>40828</v>
      </c>
      <c r="B18" s="54" t="s">
        <v>28</v>
      </c>
      <c r="C18" s="75">
        <v>12900</v>
      </c>
      <c r="D18" s="75">
        <v>8499</v>
      </c>
      <c r="E18" s="90">
        <f>IF(D18&gt;0,SUM(D$7:D18)-SUM(C$7:C18),0)</f>
        <v>-23957</v>
      </c>
      <c r="F18" s="45">
        <f t="shared" si="14"/>
        <v>0.65883720930232559</v>
      </c>
      <c r="G18" s="75">
        <v>12900</v>
      </c>
      <c r="H18" s="75">
        <v>10824</v>
      </c>
      <c r="I18" s="75">
        <f>IF(H18&gt;0,SUM(H$7:H18)-SUM(G$7:G18),0)</f>
        <v>-24259</v>
      </c>
      <c r="J18" s="45">
        <f t="shared" si="33"/>
        <v>0.83906976744186046</v>
      </c>
      <c r="K18" s="75">
        <v>12900</v>
      </c>
      <c r="L18" s="75">
        <v>8794</v>
      </c>
      <c r="M18" s="90">
        <f>IF(L18&gt;0,SUM(L$7:L18)-SUM(K$7:K18),0)</f>
        <v>-22946</v>
      </c>
      <c r="N18" s="45">
        <f t="shared" ref="N18:N38" si="35">IF(L18&gt;0,IF(K18&gt;0,L18/K18,0),0)</f>
        <v>0.68170542635658915</v>
      </c>
      <c r="O18" s="35">
        <f t="shared" si="34"/>
        <v>38700</v>
      </c>
      <c r="P18" s="35">
        <f t="shared" si="6"/>
        <v>28117</v>
      </c>
      <c r="Q18" s="91">
        <f>IF(P18&gt;0,SUM(P$7:P18)-SUM(O$7:O18),0)</f>
        <v>-71162</v>
      </c>
      <c r="R18" s="45">
        <f t="shared" si="15"/>
        <v>0.7265374677002584</v>
      </c>
      <c r="T18" s="47">
        <f t="shared" si="16"/>
        <v>40828</v>
      </c>
      <c r="U18" s="54" t="str">
        <f t="shared" si="7"/>
        <v>ter</v>
      </c>
      <c r="V18" s="75">
        <v>12340</v>
      </c>
      <c r="W18" s="75">
        <v>12067</v>
      </c>
      <c r="X18" s="92">
        <f>IF(W18&gt;0,SUM(W$7:W18)-SUM(V$7:V18),0)</f>
        <v>22986</v>
      </c>
      <c r="Y18" s="60">
        <f t="shared" si="17"/>
        <v>0.97787682333873582</v>
      </c>
      <c r="Z18" s="75">
        <v>12340</v>
      </c>
      <c r="AA18" s="75">
        <v>9642</v>
      </c>
      <c r="AB18" s="92">
        <f>IF(AA18&gt;0,SUM(AA$7:AA18)-SUM(Z$7:Z18),0)</f>
        <v>-27586</v>
      </c>
      <c r="AC18" s="60">
        <f t="shared" si="18"/>
        <v>0.78136142625607785</v>
      </c>
      <c r="AD18" s="75">
        <v>12340</v>
      </c>
      <c r="AE18" s="75">
        <v>11205</v>
      </c>
      <c r="AF18" s="92">
        <f>IF(AE18&gt;0,SUM(AE$7:AE18)-SUM(AD$7:AD18),0)</f>
        <v>8582</v>
      </c>
      <c r="AG18" s="60">
        <f t="shared" si="19"/>
        <v>0.90802269043760131</v>
      </c>
      <c r="AH18" s="41">
        <f t="shared" si="3"/>
        <v>37020</v>
      </c>
      <c r="AI18" s="41">
        <f t="shared" si="8"/>
        <v>32914</v>
      </c>
      <c r="AJ18" s="93">
        <f>IF(AI18&gt;0,SUM(AI$7:AI18)-SUM(AH$7:AH18),0)</f>
        <v>3982</v>
      </c>
      <c r="AK18" s="60">
        <f t="shared" si="20"/>
        <v>0.88908698001080499</v>
      </c>
      <c r="AM18" s="47">
        <f t="shared" si="21"/>
        <v>40828</v>
      </c>
      <c r="AN18" s="54" t="str">
        <f t="shared" si="9"/>
        <v>ter</v>
      </c>
      <c r="AO18" s="75">
        <v>7700</v>
      </c>
      <c r="AP18" s="75">
        <v>8749</v>
      </c>
      <c r="AQ18" s="75">
        <f>IF(AP18&gt;0,SUM(AP$7:AP18)-SUM(AO$7:AO18),0)</f>
        <v>21573</v>
      </c>
      <c r="AR18" s="45">
        <f t="shared" si="22"/>
        <v>1.1362337662337663</v>
      </c>
      <c r="AS18" s="75">
        <v>7700</v>
      </c>
      <c r="AT18" s="75">
        <v>8053</v>
      </c>
      <c r="AU18" s="90">
        <f>IF(AT18&gt;0,SUM(AT$7:AT18)-SUM(AS$7:AS18),0)</f>
        <v>4522</v>
      </c>
      <c r="AV18" s="45">
        <f t="shared" si="23"/>
        <v>1.0458441558441558</v>
      </c>
      <c r="AW18" s="75">
        <v>7700</v>
      </c>
      <c r="AX18" s="75">
        <v>4400</v>
      </c>
      <c r="AY18" s="90">
        <f>IF(AX18&gt;0,SUM(AX$7:AX18)-SUM(AW$7:AW18),0)</f>
        <v>-20041</v>
      </c>
      <c r="AZ18" s="45">
        <f t="shared" si="31"/>
        <v>0.5714285714285714</v>
      </c>
      <c r="BA18" s="35">
        <f t="shared" si="4"/>
        <v>23100</v>
      </c>
      <c r="BB18" s="35">
        <f t="shared" si="10"/>
        <v>21202</v>
      </c>
      <c r="BC18" s="91">
        <f>IF(BB18&gt;0,SUM(BB$7:BB18)-SUM(BA$7:BA18),0)</f>
        <v>6054</v>
      </c>
      <c r="BD18" s="45">
        <f t="shared" si="24"/>
        <v>0.91783549783549778</v>
      </c>
      <c r="BF18" s="47">
        <f t="shared" si="25"/>
        <v>40828</v>
      </c>
      <c r="BG18" s="54" t="str">
        <f t="shared" si="11"/>
        <v>ter</v>
      </c>
      <c r="BH18" s="75">
        <v>18200</v>
      </c>
      <c r="BI18" s="75">
        <v>16249</v>
      </c>
      <c r="BJ18" s="75">
        <f>IF(BI18&gt;0,SUM(BI$7:BI18)-SUM(BH$7:BH18),0)</f>
        <v>-7478</v>
      </c>
      <c r="BK18" s="45">
        <f t="shared" si="26"/>
        <v>0.89280219780219783</v>
      </c>
      <c r="BL18" s="75">
        <v>8000</v>
      </c>
      <c r="BM18" s="75">
        <v>4952</v>
      </c>
      <c r="BN18" s="90">
        <f>IF(BM18&gt;0,SUM(BM$7:BM18)-SUM(BL$7:BL18),0)</f>
        <v>-17859</v>
      </c>
      <c r="BO18" s="45">
        <f t="shared" si="27"/>
        <v>0.61899999999999999</v>
      </c>
      <c r="BP18" s="75">
        <v>11000</v>
      </c>
      <c r="BQ18" s="75">
        <v>8258</v>
      </c>
      <c r="BR18" s="90">
        <f>IF(BQ18&gt;0,SUM(BQ$7:BQ18)-SUM(BP$7:BP18),0)</f>
        <v>-875</v>
      </c>
      <c r="BS18" s="45">
        <f t="shared" si="32"/>
        <v>0.75072727272727269</v>
      </c>
      <c r="BT18" s="35">
        <f t="shared" si="5"/>
        <v>37200</v>
      </c>
      <c r="BU18" s="35">
        <f t="shared" si="5"/>
        <v>29459</v>
      </c>
      <c r="BV18" s="91">
        <f>IF(BU18&gt;0,SUM(BU$7:BU18)-SUM(BT$7:BT18),0)</f>
        <v>-26212</v>
      </c>
      <c r="BW18" s="45">
        <f t="shared" si="28"/>
        <v>0.7919086021505376</v>
      </c>
      <c r="BY18" s="47">
        <f t="shared" si="29"/>
        <v>40828</v>
      </c>
      <c r="BZ18" s="54" t="str">
        <f t="shared" si="12"/>
        <v>ter</v>
      </c>
      <c r="CA18" s="75">
        <v>4736</v>
      </c>
      <c r="CB18" s="75">
        <v>5896</v>
      </c>
      <c r="CC18" s="90">
        <f>IF(CB18&gt;0,SUM(CB$7:CB18)-SUM(CA$7:CA18),0)</f>
        <v>-3512</v>
      </c>
      <c r="CD18" s="45">
        <f t="shared" si="30"/>
        <v>1.2449324324324325</v>
      </c>
    </row>
    <row r="19" spans="1:82" x14ac:dyDescent="0.25">
      <c r="A19" s="47">
        <f t="shared" si="13"/>
        <v>40829</v>
      </c>
      <c r="B19" s="54" t="s">
        <v>22</v>
      </c>
      <c r="C19" s="75">
        <v>12900</v>
      </c>
      <c r="D19" s="75">
        <v>5403</v>
      </c>
      <c r="E19" s="90">
        <f>IF(D19&gt;0,SUM(D$7:D19)-SUM(C$7:C19),0)</f>
        <v>-31454</v>
      </c>
      <c r="F19" s="45">
        <f t="shared" si="14"/>
        <v>0.4188372093023256</v>
      </c>
      <c r="G19" s="75">
        <v>12900</v>
      </c>
      <c r="H19" s="75">
        <v>10801</v>
      </c>
      <c r="I19" s="75">
        <f>IF(H19&gt;0,SUM(H$7:H19)-SUM(G$7:G19),0)</f>
        <v>-26358</v>
      </c>
      <c r="J19" s="45">
        <f t="shared" si="33"/>
        <v>0.83728682170542634</v>
      </c>
      <c r="K19" s="75">
        <v>12900</v>
      </c>
      <c r="L19" s="75">
        <v>8015</v>
      </c>
      <c r="M19" s="90">
        <f>IF(L19&gt;0,SUM(L$7:L19)-SUM(K$7:K19),0)</f>
        <v>-27831</v>
      </c>
      <c r="N19" s="45">
        <f t="shared" si="35"/>
        <v>0.62131782945736436</v>
      </c>
      <c r="O19" s="35">
        <f t="shared" si="34"/>
        <v>38700</v>
      </c>
      <c r="P19" s="35">
        <f t="shared" si="6"/>
        <v>24219</v>
      </c>
      <c r="Q19" s="91">
        <f>IF(P19&gt;0,SUM(P$7:P19)-SUM(O$7:O19),0)</f>
        <v>-85643</v>
      </c>
      <c r="R19" s="45">
        <f t="shared" si="15"/>
        <v>0.6258139534883721</v>
      </c>
      <c r="T19" s="47">
        <f t="shared" si="16"/>
        <v>40829</v>
      </c>
      <c r="U19" s="54" t="str">
        <f t="shared" si="7"/>
        <v>qua</v>
      </c>
      <c r="V19" s="75">
        <v>12340</v>
      </c>
      <c r="W19" s="75">
        <v>11714</v>
      </c>
      <c r="X19" s="92">
        <f>IF(W19&gt;0,SUM(W$7:W19)-SUM(V$7:V19),0)</f>
        <v>22360</v>
      </c>
      <c r="Y19" s="60">
        <f t="shared" si="17"/>
        <v>0.94927066450567266</v>
      </c>
      <c r="Z19" s="75">
        <v>12340</v>
      </c>
      <c r="AA19" s="75">
        <v>11487</v>
      </c>
      <c r="AB19" s="92">
        <f>IF(AA19&gt;0,SUM(AA$7:AA19)-SUM(Z$7:Z19),0)</f>
        <v>-28439</v>
      </c>
      <c r="AC19" s="60">
        <f t="shared" si="18"/>
        <v>0.9308752025931929</v>
      </c>
      <c r="AD19" s="75">
        <v>12340</v>
      </c>
      <c r="AE19" s="75">
        <v>13075</v>
      </c>
      <c r="AF19" s="92">
        <f>IF(AE19&gt;0,SUM(AE$7:AE19)-SUM(AD$7:AD19),0)</f>
        <v>9317</v>
      </c>
      <c r="AG19" s="60">
        <f t="shared" si="19"/>
        <v>1.0595623987034035</v>
      </c>
      <c r="AH19" s="41">
        <f t="shared" si="3"/>
        <v>37020</v>
      </c>
      <c r="AI19" s="41">
        <f t="shared" si="8"/>
        <v>36276</v>
      </c>
      <c r="AJ19" s="93">
        <f>IF(AI19&gt;0,SUM(AI$7:AI19)-SUM(AH$7:AH19),0)</f>
        <v>3238</v>
      </c>
      <c r="AK19" s="60">
        <f t="shared" si="20"/>
        <v>0.97990275526742299</v>
      </c>
      <c r="AM19" s="47">
        <f t="shared" si="21"/>
        <v>40829</v>
      </c>
      <c r="AN19" s="54" t="str">
        <f t="shared" si="9"/>
        <v>qua</v>
      </c>
      <c r="AO19" s="75">
        <v>7700</v>
      </c>
      <c r="AP19" s="75">
        <v>10357</v>
      </c>
      <c r="AQ19" s="75">
        <f>IF(AP19&gt;0,SUM(AP$7:AP19)-SUM(AO$7:AO19),0)</f>
        <v>24230</v>
      </c>
      <c r="AR19" s="45">
        <f t="shared" si="22"/>
        <v>1.3450649350649351</v>
      </c>
      <c r="AS19" s="75">
        <v>7700</v>
      </c>
      <c r="AT19" s="75">
        <v>11540</v>
      </c>
      <c r="AU19" s="90">
        <f>IF(AT19&gt;0,SUM(AT$7:AT19)-SUM(AS$7:AS19),0)</f>
        <v>8362</v>
      </c>
      <c r="AV19" s="45">
        <f t="shared" si="23"/>
        <v>1.4987012987012986</v>
      </c>
      <c r="AW19" s="75">
        <v>7700</v>
      </c>
      <c r="AX19" s="75">
        <v>3625</v>
      </c>
      <c r="AY19" s="90">
        <f>IF(AX19&gt;0,SUM(AX$7:AX19)-SUM(AW$7:AW19),0)</f>
        <v>-24116</v>
      </c>
      <c r="AZ19" s="45">
        <f t="shared" si="31"/>
        <v>0.4707792207792208</v>
      </c>
      <c r="BA19" s="35">
        <f t="shared" si="4"/>
        <v>23100</v>
      </c>
      <c r="BB19" s="35">
        <f t="shared" si="10"/>
        <v>25522</v>
      </c>
      <c r="BC19" s="91">
        <f>IF(BB19&gt;0,SUM(BB$7:BB19)-SUM(BA$7:BA19),0)</f>
        <v>8476</v>
      </c>
      <c r="BD19" s="45">
        <f t="shared" si="24"/>
        <v>1.1048484848484847</v>
      </c>
      <c r="BF19" s="47">
        <f t="shared" si="25"/>
        <v>40829</v>
      </c>
      <c r="BG19" s="54" t="str">
        <f t="shared" si="11"/>
        <v>qua</v>
      </c>
      <c r="BH19" s="75">
        <v>18200</v>
      </c>
      <c r="BI19" s="75">
        <v>18158</v>
      </c>
      <c r="BJ19" s="75">
        <f>IF(BI19&gt;0,SUM(BI$7:BI19)-SUM(BH$7:BH19),0)</f>
        <v>-7520</v>
      </c>
      <c r="BK19" s="45">
        <f t="shared" si="26"/>
        <v>0.99769230769230766</v>
      </c>
      <c r="BL19" s="75">
        <v>8000</v>
      </c>
      <c r="BM19" s="75">
        <v>7366</v>
      </c>
      <c r="BN19" s="90">
        <f>IF(BM19&gt;0,SUM(BM$7:BM19)-SUM(BL$7:BL19),0)</f>
        <v>-18493</v>
      </c>
      <c r="BO19" s="45">
        <f t="shared" si="27"/>
        <v>0.92074999999999996</v>
      </c>
      <c r="BP19" s="75">
        <v>11000</v>
      </c>
      <c r="BQ19" s="75">
        <v>14905</v>
      </c>
      <c r="BR19" s="90">
        <f>IF(BQ19&gt;0,SUM(BQ$7:BQ19)-SUM(BP$7:BP19),0)</f>
        <v>3030</v>
      </c>
      <c r="BS19" s="45">
        <f t="shared" si="32"/>
        <v>1.355</v>
      </c>
      <c r="BT19" s="35">
        <f t="shared" si="5"/>
        <v>37200</v>
      </c>
      <c r="BU19" s="35">
        <f t="shared" si="5"/>
        <v>40429</v>
      </c>
      <c r="BV19" s="91">
        <f>IF(BU19&gt;0,SUM(BU$7:BU19)-SUM(BT$7:BT19),0)</f>
        <v>-22983</v>
      </c>
      <c r="BW19" s="45">
        <f t="shared" si="28"/>
        <v>1.0868010752688173</v>
      </c>
      <c r="BY19" s="47">
        <f t="shared" si="29"/>
        <v>40829</v>
      </c>
      <c r="BZ19" s="54" t="str">
        <f t="shared" si="12"/>
        <v>qua</v>
      </c>
      <c r="CA19" s="75">
        <v>4736</v>
      </c>
      <c r="CB19" s="75">
        <v>4791</v>
      </c>
      <c r="CC19" s="90">
        <f>IF(CB19&gt;0,SUM(CB$7:CB19)-SUM(CA$7:CA19),0)</f>
        <v>-3457</v>
      </c>
      <c r="CD19" s="45">
        <f t="shared" si="30"/>
        <v>1.0116131756756757</v>
      </c>
    </row>
    <row r="20" spans="1:82" x14ac:dyDescent="0.25">
      <c r="A20" s="47">
        <f t="shared" si="13"/>
        <v>40830</v>
      </c>
      <c r="B20" s="54" t="s">
        <v>23</v>
      </c>
      <c r="C20" s="75">
        <v>12900</v>
      </c>
      <c r="D20" s="75">
        <v>5798</v>
      </c>
      <c r="E20" s="90">
        <f>IF(D20&gt;0,SUM(D$7:D20)-SUM(C$7:C20),0)</f>
        <v>-38556</v>
      </c>
      <c r="F20" s="45">
        <f t="shared" si="14"/>
        <v>0.4494573643410853</v>
      </c>
      <c r="G20" s="75">
        <v>12900</v>
      </c>
      <c r="H20" s="75">
        <v>12335</v>
      </c>
      <c r="I20" s="75">
        <f>IF(H20&gt;0,SUM(H$7:H20)-SUM(G$7:G20),0)</f>
        <v>-26923</v>
      </c>
      <c r="J20" s="45">
        <f t="shared" si="33"/>
        <v>0.95620155038759691</v>
      </c>
      <c r="K20" s="75">
        <v>12900</v>
      </c>
      <c r="L20" s="75">
        <v>12822</v>
      </c>
      <c r="M20" s="90">
        <f>IF(L20&gt;0,SUM(L$7:L20)-SUM(K$7:K20),0)</f>
        <v>-27909</v>
      </c>
      <c r="N20" s="45">
        <f t="shared" si="35"/>
        <v>0.99395348837209307</v>
      </c>
      <c r="O20" s="35">
        <f t="shared" si="34"/>
        <v>38700</v>
      </c>
      <c r="P20" s="35">
        <f t="shared" si="6"/>
        <v>30955</v>
      </c>
      <c r="Q20" s="91">
        <f>IF(P20&gt;0,SUM(P$7:P20)-SUM(O$7:O20),0)</f>
        <v>-93388</v>
      </c>
      <c r="R20" s="45">
        <f t="shared" si="15"/>
        <v>0.79987080103359176</v>
      </c>
      <c r="T20" s="47">
        <f t="shared" si="16"/>
        <v>40830</v>
      </c>
      <c r="U20" s="54" t="str">
        <f t="shared" si="7"/>
        <v>qui</v>
      </c>
      <c r="V20" s="75">
        <v>12340</v>
      </c>
      <c r="W20" s="75">
        <v>13991</v>
      </c>
      <c r="X20" s="92">
        <f>IF(W20&gt;0,SUM(W$7:W20)-SUM(V$7:V20),0)</f>
        <v>24011</v>
      </c>
      <c r="Y20" s="60">
        <f t="shared" si="17"/>
        <v>1.1337925445705024</v>
      </c>
      <c r="Z20" s="75">
        <v>12340</v>
      </c>
      <c r="AA20" s="75">
        <v>9959</v>
      </c>
      <c r="AB20" s="92">
        <f>IF(AA20&gt;0,SUM(AA$7:AA20)-SUM(Z$7:Z20),0)</f>
        <v>-30820</v>
      </c>
      <c r="AC20" s="60">
        <f t="shared" si="18"/>
        <v>0.80705024311183149</v>
      </c>
      <c r="AD20" s="75">
        <v>12340</v>
      </c>
      <c r="AE20" s="75">
        <v>14245</v>
      </c>
      <c r="AF20" s="92">
        <f>IF(AE20&gt;0,SUM(AE$7:AE20)-SUM(AD$7:AD20),0)</f>
        <v>11222</v>
      </c>
      <c r="AG20" s="60">
        <f t="shared" si="19"/>
        <v>1.1543760129659644</v>
      </c>
      <c r="AH20" s="41">
        <f t="shared" si="3"/>
        <v>37020</v>
      </c>
      <c r="AI20" s="41">
        <f t="shared" si="8"/>
        <v>38195</v>
      </c>
      <c r="AJ20" s="93">
        <f>IF(AI20&gt;0,SUM(AI$7:AI20)-SUM(AH$7:AH20),0)</f>
        <v>4413</v>
      </c>
      <c r="AK20" s="60">
        <f t="shared" si="20"/>
        <v>1.0317396002160995</v>
      </c>
      <c r="AM20" s="47">
        <f t="shared" si="21"/>
        <v>40830</v>
      </c>
      <c r="AN20" s="54" t="str">
        <f t="shared" si="9"/>
        <v>qui</v>
      </c>
      <c r="AO20" s="75">
        <v>7700</v>
      </c>
      <c r="AP20" s="75">
        <v>7315</v>
      </c>
      <c r="AQ20" s="75">
        <f>IF(AP20&gt;0,SUM(AP$7:AP20)-SUM(AO$7:AO20),0)</f>
        <v>23845</v>
      </c>
      <c r="AR20" s="45">
        <f t="shared" si="22"/>
        <v>0.95</v>
      </c>
      <c r="AS20" s="75">
        <v>7700</v>
      </c>
      <c r="AT20" s="75">
        <v>7124</v>
      </c>
      <c r="AU20" s="90">
        <f>IF(AT20&gt;0,SUM(AT$7:AT20)-SUM(AS$7:AS20),0)</f>
        <v>7786</v>
      </c>
      <c r="AV20" s="45">
        <f t="shared" si="23"/>
        <v>0.92519480519480524</v>
      </c>
      <c r="AW20" s="75">
        <v>7700</v>
      </c>
      <c r="AX20" s="75">
        <v>5492</v>
      </c>
      <c r="AY20" s="90">
        <f>IF(AX20&gt;0,SUM(AX$7:AX20)-SUM(AW$7:AW20),0)</f>
        <v>-26324</v>
      </c>
      <c r="AZ20" s="45">
        <f t="shared" si="31"/>
        <v>0.71324675324675324</v>
      </c>
      <c r="BA20" s="35">
        <f t="shared" si="4"/>
        <v>23100</v>
      </c>
      <c r="BB20" s="35">
        <f t="shared" si="10"/>
        <v>19931</v>
      </c>
      <c r="BC20" s="91">
        <f>IF(BB20&gt;0,SUM(BB$7:BB20)-SUM(BA$7:BA20),0)</f>
        <v>5307</v>
      </c>
      <c r="BD20" s="45">
        <f t="shared" si="24"/>
        <v>0.86281385281385281</v>
      </c>
      <c r="BF20" s="47">
        <f t="shared" si="25"/>
        <v>40830</v>
      </c>
      <c r="BG20" s="54" t="str">
        <f t="shared" si="11"/>
        <v>qui</v>
      </c>
      <c r="BH20" s="75">
        <v>18200</v>
      </c>
      <c r="BI20" s="75">
        <v>10121</v>
      </c>
      <c r="BJ20" s="75">
        <f>IF(BI20&gt;0,SUM(BI$7:BI20)-SUM(BH$7:BH20),0)</f>
        <v>-15599</v>
      </c>
      <c r="BK20" s="45">
        <f t="shared" si="26"/>
        <v>0.55609890109890114</v>
      </c>
      <c r="BL20" s="75">
        <v>8000</v>
      </c>
      <c r="BM20" s="75">
        <v>9811</v>
      </c>
      <c r="BN20" s="90">
        <f>IF(BM20&gt;0,SUM(BM$7:BM20)-SUM(BL$7:BL20),0)</f>
        <v>-16682</v>
      </c>
      <c r="BO20" s="45">
        <f t="shared" si="27"/>
        <v>1.226375</v>
      </c>
      <c r="BP20" s="75">
        <v>11000</v>
      </c>
      <c r="BQ20" s="75">
        <v>11374</v>
      </c>
      <c r="BR20" s="90">
        <f>IF(BQ20&gt;0,SUM(BQ$7:BQ20)-SUM(BP$7:BP20),0)</f>
        <v>3404</v>
      </c>
      <c r="BS20" s="45">
        <f t="shared" si="32"/>
        <v>1.034</v>
      </c>
      <c r="BT20" s="35">
        <f t="shared" si="5"/>
        <v>37200</v>
      </c>
      <c r="BU20" s="35">
        <f t="shared" si="5"/>
        <v>31306</v>
      </c>
      <c r="BV20" s="91">
        <f>IF(BU20&gt;0,SUM(BU$7:BU20)-SUM(BT$7:BT20),0)</f>
        <v>-28877</v>
      </c>
      <c r="BW20" s="45">
        <f t="shared" si="28"/>
        <v>0.84155913978494623</v>
      </c>
      <c r="BY20" s="47">
        <f t="shared" si="29"/>
        <v>40830</v>
      </c>
      <c r="BZ20" s="54" t="str">
        <f t="shared" si="12"/>
        <v>qui</v>
      </c>
      <c r="CA20" s="75">
        <v>4736</v>
      </c>
      <c r="CB20" s="75">
        <v>3685</v>
      </c>
      <c r="CC20" s="90">
        <f>IF(CB20&gt;0,SUM(CB$7:CB20)-SUM(CA$7:CA20),0)</f>
        <v>-4508</v>
      </c>
      <c r="CD20" s="45">
        <f t="shared" si="30"/>
        <v>0.77808277027027029</v>
      </c>
    </row>
    <row r="21" spans="1:82" x14ac:dyDescent="0.25">
      <c r="A21" s="47">
        <f t="shared" si="13"/>
        <v>40831</v>
      </c>
      <c r="B21" s="54" t="s">
        <v>24</v>
      </c>
      <c r="C21" s="75">
        <v>12900</v>
      </c>
      <c r="D21" s="75">
        <v>12241</v>
      </c>
      <c r="E21" s="90">
        <f>IF(D21&gt;0,SUM(D$7:D21)-SUM(C$7:C21),0)</f>
        <v>-39215</v>
      </c>
      <c r="F21" s="45">
        <f t="shared" si="14"/>
        <v>0.94891472868217053</v>
      </c>
      <c r="G21" s="75">
        <v>12900</v>
      </c>
      <c r="H21" s="75">
        <v>11644</v>
      </c>
      <c r="I21" s="75">
        <f>IF(H21&gt;0,SUM(H$7:H21)-SUM(G$7:G21),0)</f>
        <v>-28179</v>
      </c>
      <c r="J21" s="45">
        <f t="shared" si="33"/>
        <v>0.90263565891472863</v>
      </c>
      <c r="K21" s="75">
        <v>12900</v>
      </c>
      <c r="L21" s="75">
        <v>11642</v>
      </c>
      <c r="M21" s="90">
        <f>IF(L21&gt;0,SUM(L$7:L21)-SUM(K$7:K21),0)</f>
        <v>-29167</v>
      </c>
      <c r="N21" s="45">
        <f t="shared" si="35"/>
        <v>0.90248062015503872</v>
      </c>
      <c r="O21" s="35">
        <f t="shared" si="34"/>
        <v>38700</v>
      </c>
      <c r="P21" s="35">
        <f t="shared" si="6"/>
        <v>35527</v>
      </c>
      <c r="Q21" s="91">
        <f>IF(P21&gt;0,SUM(P$7:P21)-SUM(O$7:O21),0)</f>
        <v>-96561</v>
      </c>
      <c r="R21" s="45">
        <f t="shared" si="15"/>
        <v>0.91801033591731263</v>
      </c>
      <c r="T21" s="47">
        <f t="shared" si="16"/>
        <v>40831</v>
      </c>
      <c r="U21" s="54" t="str">
        <f t="shared" si="7"/>
        <v>sex</v>
      </c>
      <c r="V21" s="75">
        <v>12340</v>
      </c>
      <c r="W21" s="75">
        <v>13591</v>
      </c>
      <c r="X21" s="92">
        <f>IF(W21&gt;0,SUM(W$7:W21)-SUM(V$7:V21),0)</f>
        <v>25262</v>
      </c>
      <c r="Y21" s="60">
        <f t="shared" si="17"/>
        <v>1.1013776337115073</v>
      </c>
      <c r="Z21" s="75">
        <v>12340</v>
      </c>
      <c r="AA21" s="75">
        <v>12415</v>
      </c>
      <c r="AB21" s="92">
        <f>IF(AA21&gt;0,SUM(AA$7:AA21)-SUM(Z$7:Z21),0)</f>
        <v>-30745</v>
      </c>
      <c r="AC21" s="60">
        <f t="shared" si="18"/>
        <v>1.0060777957860616</v>
      </c>
      <c r="AD21" s="75">
        <v>12340</v>
      </c>
      <c r="AE21" s="75">
        <v>16068</v>
      </c>
      <c r="AF21" s="92">
        <f>IF(AE21&gt;0,SUM(AE$7:AE21)-SUM(AD$7:AD21),0)</f>
        <v>14950</v>
      </c>
      <c r="AG21" s="60">
        <f t="shared" si="19"/>
        <v>1.3021069692058347</v>
      </c>
      <c r="AH21" s="41">
        <f t="shared" si="3"/>
        <v>37020</v>
      </c>
      <c r="AI21" s="41">
        <f t="shared" si="8"/>
        <v>42074</v>
      </c>
      <c r="AJ21" s="93">
        <f>IF(AI21&gt;0,SUM(AI$7:AI21)-SUM(AH$7:AH21),0)</f>
        <v>9467</v>
      </c>
      <c r="AK21" s="60">
        <f t="shared" si="20"/>
        <v>1.1365207995678013</v>
      </c>
      <c r="AM21" s="47">
        <f t="shared" si="21"/>
        <v>40831</v>
      </c>
      <c r="AN21" s="54" t="str">
        <f t="shared" si="9"/>
        <v>sex</v>
      </c>
      <c r="AO21" s="75">
        <v>7700</v>
      </c>
      <c r="AP21" s="75">
        <v>7649</v>
      </c>
      <c r="AQ21" s="75">
        <f>IF(AP21&gt;0,SUM(AP$7:AP21)-SUM(AO$7:AO21),0)</f>
        <v>23794</v>
      </c>
      <c r="AR21" s="45">
        <f t="shared" si="22"/>
        <v>0.99337662337662336</v>
      </c>
      <c r="AS21" s="75">
        <v>7700</v>
      </c>
      <c r="AT21" s="75">
        <v>9662</v>
      </c>
      <c r="AU21" s="90">
        <f>IF(AT21&gt;0,SUM(AT$7:AT21)-SUM(AS$7:AS21),0)</f>
        <v>9748</v>
      </c>
      <c r="AV21" s="45">
        <f t="shared" si="23"/>
        <v>1.2548051948051948</v>
      </c>
      <c r="AW21" s="75">
        <v>7700</v>
      </c>
      <c r="AX21" s="75">
        <v>5338</v>
      </c>
      <c r="AY21" s="90">
        <f>IF(AX21&gt;0,SUM(AX$7:AX21)-SUM(AW$7:AW21),0)</f>
        <v>-28686</v>
      </c>
      <c r="AZ21" s="45">
        <f t="shared" si="31"/>
        <v>0.69324675324675322</v>
      </c>
      <c r="BA21" s="35">
        <f t="shared" si="4"/>
        <v>23100</v>
      </c>
      <c r="BB21" s="35">
        <f t="shared" si="10"/>
        <v>22649</v>
      </c>
      <c r="BC21" s="91">
        <f>IF(BB21&gt;0,SUM(BB$7:BB21)-SUM(BA$7:BA21),0)</f>
        <v>4856</v>
      </c>
      <c r="BD21" s="45">
        <f t="shared" si="24"/>
        <v>0.9804761904761905</v>
      </c>
      <c r="BF21" s="47">
        <f t="shared" si="25"/>
        <v>40831</v>
      </c>
      <c r="BG21" s="54" t="str">
        <f t="shared" si="11"/>
        <v>sex</v>
      </c>
      <c r="BH21" s="75">
        <v>18200</v>
      </c>
      <c r="BI21" s="75">
        <v>13940</v>
      </c>
      <c r="BJ21" s="75">
        <f>IF(BI21&gt;0,SUM(BI$7:BI21)-SUM(BH$7:BH21),0)</f>
        <v>-19859</v>
      </c>
      <c r="BK21" s="45">
        <f t="shared" si="26"/>
        <v>0.76593406593406599</v>
      </c>
      <c r="BL21" s="75">
        <v>8000</v>
      </c>
      <c r="BM21" s="75">
        <v>10179</v>
      </c>
      <c r="BN21" s="90">
        <f>IF(BM21&gt;0,SUM(BM$7:BM21)-SUM(BL$7:BL21),0)</f>
        <v>-14503</v>
      </c>
      <c r="BO21" s="45">
        <f t="shared" si="27"/>
        <v>1.272375</v>
      </c>
      <c r="BP21" s="75">
        <v>11000</v>
      </c>
      <c r="BQ21" s="75">
        <v>12576</v>
      </c>
      <c r="BR21" s="90">
        <f>IF(BQ21&gt;0,SUM(BQ$7:BQ21)-SUM(BP$7:BP21),0)</f>
        <v>4980</v>
      </c>
      <c r="BS21" s="45">
        <f t="shared" si="32"/>
        <v>1.1432727272727272</v>
      </c>
      <c r="BT21" s="35">
        <f t="shared" si="5"/>
        <v>37200</v>
      </c>
      <c r="BU21" s="35">
        <f t="shared" si="5"/>
        <v>36695</v>
      </c>
      <c r="BV21" s="91">
        <f>IF(BU21&gt;0,SUM(BU$7:BU21)-SUM(BT$7:BT21),0)</f>
        <v>-29382</v>
      </c>
      <c r="BW21" s="45">
        <f t="shared" si="28"/>
        <v>0.98642473118279572</v>
      </c>
      <c r="BY21" s="47">
        <f t="shared" si="29"/>
        <v>40831</v>
      </c>
      <c r="BZ21" s="54" t="str">
        <f t="shared" si="12"/>
        <v>sex</v>
      </c>
      <c r="CA21" s="75">
        <v>4736</v>
      </c>
      <c r="CB21" s="75">
        <v>1</v>
      </c>
      <c r="CC21" s="90">
        <f>IF(CB21&gt;0,SUM(CB$7:CB21)-SUM(CA$7:CA21),0)</f>
        <v>-9243</v>
      </c>
      <c r="CD21" s="45">
        <f t="shared" si="30"/>
        <v>2.1114864864864866E-4</v>
      </c>
    </row>
    <row r="22" spans="1:82" x14ac:dyDescent="0.25">
      <c r="A22" s="47">
        <f t="shared" si="13"/>
        <v>40832</v>
      </c>
      <c r="B22" s="54" t="s">
        <v>25</v>
      </c>
      <c r="C22" s="75">
        <v>12900</v>
      </c>
      <c r="D22" s="75">
        <v>7229</v>
      </c>
      <c r="E22" s="90">
        <f>IF(D22&gt;0,SUM(D$7:D22)-SUM(C$7:C22),0)</f>
        <v>-44886</v>
      </c>
      <c r="F22" s="45">
        <f t="shared" si="14"/>
        <v>0.56038759689922479</v>
      </c>
      <c r="G22" s="75">
        <v>12900</v>
      </c>
      <c r="H22" s="75">
        <v>10115</v>
      </c>
      <c r="I22" s="75">
        <f>IF(H22&gt;0,SUM(H$7:H22)-SUM(G$7:G22),0)</f>
        <v>-30964</v>
      </c>
      <c r="J22" s="45">
        <f t="shared" si="33"/>
        <v>0.78410852713178292</v>
      </c>
      <c r="K22" s="75">
        <v>12900</v>
      </c>
      <c r="L22" s="75">
        <v>9249</v>
      </c>
      <c r="M22" s="90">
        <f>IF(L22&gt;0,SUM(L$7:L22)-SUM(K$7:K22),0)</f>
        <v>-32818</v>
      </c>
      <c r="N22" s="45">
        <f t="shared" si="35"/>
        <v>0.71697674418604651</v>
      </c>
      <c r="O22" s="35">
        <f t="shared" si="34"/>
        <v>38700</v>
      </c>
      <c r="P22" s="35">
        <f t="shared" si="6"/>
        <v>26593</v>
      </c>
      <c r="Q22" s="91">
        <f>IF(P22&gt;0,SUM(P$7:P22)-SUM(O$7:O22),0)</f>
        <v>-108668</v>
      </c>
      <c r="R22" s="45">
        <f t="shared" si="15"/>
        <v>0.68715762273901804</v>
      </c>
      <c r="T22" s="47">
        <f t="shared" si="16"/>
        <v>40832</v>
      </c>
      <c r="U22" s="54" t="str">
        <f t="shared" si="7"/>
        <v>sáb</v>
      </c>
      <c r="V22" s="75">
        <v>12340</v>
      </c>
      <c r="W22" s="75">
        <v>12343</v>
      </c>
      <c r="X22" s="92">
        <f>IF(W22&gt;0,SUM(W$7:W22)-SUM(V$7:V22),0)</f>
        <v>25265</v>
      </c>
      <c r="Y22" s="60">
        <f t="shared" si="17"/>
        <v>1.0002431118314425</v>
      </c>
      <c r="Z22" s="75">
        <v>12340</v>
      </c>
      <c r="AA22" s="75">
        <v>6982</v>
      </c>
      <c r="AB22" s="92">
        <f>IF(AA22&gt;0,SUM(AA$7:AA22)-SUM(Z$7:Z22),0)</f>
        <v>-36103</v>
      </c>
      <c r="AC22" s="60">
        <f t="shared" si="18"/>
        <v>0.56580226904376008</v>
      </c>
      <c r="AD22" s="75">
        <v>12340</v>
      </c>
      <c r="AE22" s="75">
        <v>9724</v>
      </c>
      <c r="AF22" s="92">
        <f>IF(AE22&gt;0,SUM(AE$7:AE22)-SUM(AD$7:AD22),0)</f>
        <v>12334</v>
      </c>
      <c r="AG22" s="60">
        <f t="shared" si="19"/>
        <v>0.7880064829821718</v>
      </c>
      <c r="AH22" s="41">
        <f t="shared" si="3"/>
        <v>37020</v>
      </c>
      <c r="AI22" s="41">
        <f t="shared" si="8"/>
        <v>29049</v>
      </c>
      <c r="AJ22" s="93">
        <f>IF(AI22&gt;0,SUM(AI$7:AI22)-SUM(AH$7:AH22),0)</f>
        <v>1496</v>
      </c>
      <c r="AK22" s="60">
        <f t="shared" si="20"/>
        <v>0.78468395461912477</v>
      </c>
      <c r="AM22" s="47">
        <f t="shared" si="21"/>
        <v>40832</v>
      </c>
      <c r="AN22" s="54" t="str">
        <f t="shared" si="9"/>
        <v>sáb</v>
      </c>
      <c r="AO22" s="75">
        <v>7700</v>
      </c>
      <c r="AP22" s="75">
        <v>8166</v>
      </c>
      <c r="AQ22" s="75">
        <f>IF(AP22&gt;0,SUM(AP$7:AP22)-SUM(AO$7:AO22),0)</f>
        <v>24260</v>
      </c>
      <c r="AR22" s="45">
        <f t="shared" si="22"/>
        <v>1.0605194805194804</v>
      </c>
      <c r="AS22" s="75">
        <v>7700</v>
      </c>
      <c r="AT22" s="75">
        <v>5039</v>
      </c>
      <c r="AU22" s="90">
        <f>IF(AT22&gt;0,SUM(AT$7:AT22)-SUM(AS$7:AS22),0)</f>
        <v>7087</v>
      </c>
      <c r="AV22" s="45">
        <f t="shared" si="23"/>
        <v>0.65441558441558445</v>
      </c>
      <c r="AW22" s="75">
        <v>7700</v>
      </c>
      <c r="AX22" s="75">
        <v>3851</v>
      </c>
      <c r="AY22" s="90">
        <f>IF(AX22&gt;0,SUM(AX$7:AX22)-SUM(AW$7:AW22),0)</f>
        <v>-32535</v>
      </c>
      <c r="AZ22" s="45">
        <f t="shared" si="31"/>
        <v>0.50012987012987009</v>
      </c>
      <c r="BA22" s="35">
        <f t="shared" si="4"/>
        <v>23100</v>
      </c>
      <c r="BB22" s="35">
        <f t="shared" si="10"/>
        <v>17056</v>
      </c>
      <c r="BC22" s="91">
        <f>IF(BB22&gt;0,SUM(BB$7:BB22)-SUM(BA$7:BA22),0)</f>
        <v>-1188</v>
      </c>
      <c r="BD22" s="45">
        <f t="shared" si="24"/>
        <v>0.73835497835497832</v>
      </c>
      <c r="BF22" s="47">
        <f t="shared" si="25"/>
        <v>40832</v>
      </c>
      <c r="BG22" s="54" t="str">
        <f t="shared" si="11"/>
        <v>sáb</v>
      </c>
      <c r="BH22" s="75">
        <v>18200</v>
      </c>
      <c r="BI22" s="75">
        <v>16420</v>
      </c>
      <c r="BJ22" s="75">
        <f>IF(BI22&gt;0,SUM(BI$7:BI22)-SUM(BH$7:BH22),0)</f>
        <v>-21639</v>
      </c>
      <c r="BK22" s="45">
        <f t="shared" si="26"/>
        <v>0.90219780219780221</v>
      </c>
      <c r="BL22" s="75">
        <v>8000</v>
      </c>
      <c r="BM22" s="75">
        <v>6414</v>
      </c>
      <c r="BN22" s="90">
        <f>IF(BM22&gt;0,SUM(BM$7:BM22)-SUM(BL$7:BL22),0)</f>
        <v>-16089</v>
      </c>
      <c r="BO22" s="45">
        <f t="shared" si="27"/>
        <v>0.80174999999999996</v>
      </c>
      <c r="BP22" s="75">
        <v>11000</v>
      </c>
      <c r="BQ22" s="75">
        <v>16010</v>
      </c>
      <c r="BR22" s="90">
        <f>IF(BQ22&gt;0,SUM(BQ$7:BQ22)-SUM(BP$7:BP22),0)</f>
        <v>9990</v>
      </c>
      <c r="BS22" s="45">
        <f t="shared" si="32"/>
        <v>1.4554545454545456</v>
      </c>
      <c r="BT22" s="35">
        <f t="shared" si="5"/>
        <v>37200</v>
      </c>
      <c r="BU22" s="35">
        <f t="shared" si="5"/>
        <v>38844</v>
      </c>
      <c r="BV22" s="91">
        <f>IF(BU22&gt;0,SUM(BU$7:BU22)-SUM(BT$7:BT22),0)</f>
        <v>-27738</v>
      </c>
      <c r="BW22" s="45">
        <f t="shared" si="28"/>
        <v>1.0441935483870968</v>
      </c>
      <c r="BY22" s="47">
        <f t="shared" si="29"/>
        <v>40832</v>
      </c>
      <c r="BZ22" s="54" t="str">
        <f t="shared" si="12"/>
        <v>sáb</v>
      </c>
      <c r="CA22" s="75">
        <v>4736</v>
      </c>
      <c r="CB22" s="75">
        <v>1</v>
      </c>
      <c r="CC22" s="90">
        <f>IF(CB22&gt;0,SUM(CB$7:CB22)-SUM(CA$7:CA22),0)</f>
        <v>-13978</v>
      </c>
      <c r="CD22" s="45">
        <f t="shared" si="30"/>
        <v>2.1114864864864866E-4</v>
      </c>
    </row>
    <row r="23" spans="1:82" x14ac:dyDescent="0.25">
      <c r="A23" s="47">
        <f t="shared" si="13"/>
        <v>40833</v>
      </c>
      <c r="B23" s="54" t="s">
        <v>26</v>
      </c>
      <c r="C23" s="75"/>
      <c r="D23" s="75">
        <v>18340</v>
      </c>
      <c r="E23" s="90">
        <f>IF(D23&gt;0,SUM(D$7:D23)-SUM(C$7:C23),0)</f>
        <v>-26546</v>
      </c>
      <c r="F23" s="45">
        <f t="shared" si="14"/>
        <v>0</v>
      </c>
      <c r="G23" s="75"/>
      <c r="H23" s="75"/>
      <c r="I23" s="75">
        <f>IF(H23&gt;0,SUM(H$7:H23)-SUM(G$7:G23),0)</f>
        <v>0</v>
      </c>
      <c r="J23" s="45">
        <f t="shared" si="33"/>
        <v>0</v>
      </c>
      <c r="K23" s="75"/>
      <c r="L23" s="75"/>
      <c r="M23" s="90">
        <f>IF(L23&gt;0,SUM(L$7:L23)-SUM(K$7:K23),0)</f>
        <v>0</v>
      </c>
      <c r="N23" s="45">
        <f t="shared" si="35"/>
        <v>0</v>
      </c>
      <c r="O23" s="35">
        <f t="shared" si="34"/>
        <v>0</v>
      </c>
      <c r="P23" s="35">
        <f t="shared" si="6"/>
        <v>18340</v>
      </c>
      <c r="Q23" s="91">
        <f>IF(P23&gt;0,SUM(P$7:P23)-SUM(O$7:O23),0)</f>
        <v>-90328</v>
      </c>
      <c r="R23" s="45">
        <f t="shared" si="15"/>
        <v>0</v>
      </c>
      <c r="T23" s="47">
        <f t="shared" si="16"/>
        <v>40833</v>
      </c>
      <c r="U23" s="54" t="str">
        <f t="shared" si="7"/>
        <v>dom</v>
      </c>
      <c r="V23" s="75"/>
      <c r="W23" s="75">
        <v>19258</v>
      </c>
      <c r="X23" s="92">
        <f>IF(W23&gt;0,SUM(W$7:W23)-SUM(V$7:V23),0)</f>
        <v>44523</v>
      </c>
      <c r="Y23" s="60">
        <f t="shared" si="17"/>
        <v>0</v>
      </c>
      <c r="Z23" s="75"/>
      <c r="AA23" s="75"/>
      <c r="AB23" s="92">
        <f>IF(AA23&gt;0,SUM(AA$7:AA23)-SUM(Z$7:Z23),0)</f>
        <v>0</v>
      </c>
      <c r="AC23" s="60">
        <f t="shared" si="18"/>
        <v>0</v>
      </c>
      <c r="AD23" s="75"/>
      <c r="AE23" s="75"/>
      <c r="AF23" s="92">
        <f>IF(AE23&gt;0,SUM(AE$7:AE23)-SUM(AD$7:AD23),0)</f>
        <v>0</v>
      </c>
      <c r="AG23" s="60">
        <f t="shared" si="19"/>
        <v>0</v>
      </c>
      <c r="AH23" s="41">
        <f t="shared" si="3"/>
        <v>0</v>
      </c>
      <c r="AI23" s="41">
        <f t="shared" si="8"/>
        <v>19258</v>
      </c>
      <c r="AJ23" s="93">
        <f>IF(AI23&gt;0,SUM(AI$7:AI23)-SUM(AH$7:AH23),0)</f>
        <v>20754</v>
      </c>
      <c r="AK23" s="60">
        <f t="shared" si="20"/>
        <v>0</v>
      </c>
      <c r="AM23" s="47">
        <f t="shared" si="21"/>
        <v>40833</v>
      </c>
      <c r="AN23" s="54" t="str">
        <f t="shared" si="9"/>
        <v>dom</v>
      </c>
      <c r="AO23" s="75"/>
      <c r="AP23" s="75">
        <v>7505</v>
      </c>
      <c r="AQ23" s="75">
        <f>IF(AP23&gt;0,SUM(AP$7:AP23)-SUM(AO$7:AO22),0)</f>
        <v>31765</v>
      </c>
      <c r="AR23" s="45">
        <f>IF(AP23&gt;0,IF(AO18&gt;0,AP23/AO18,0),0)</f>
        <v>0.97467532467532469</v>
      </c>
      <c r="AS23" s="75"/>
      <c r="AT23" s="75"/>
      <c r="AU23" s="90">
        <f>IF(AT23&gt;0,SUM(AT$7:AT23)-SUM(AS$7:AS23),0)</f>
        <v>0</v>
      </c>
      <c r="AV23" s="45">
        <f t="shared" si="23"/>
        <v>0</v>
      </c>
      <c r="AW23" s="75"/>
      <c r="AX23" s="75"/>
      <c r="AY23" s="90">
        <f>IF(AX23&gt;0,SUM(AX$7:AX23)-SUM(AW$7:AW23),0)</f>
        <v>0</v>
      </c>
      <c r="AZ23" s="45">
        <f t="shared" si="31"/>
        <v>0</v>
      </c>
      <c r="BA23" s="35">
        <f t="shared" si="4"/>
        <v>0</v>
      </c>
      <c r="BB23" s="35">
        <f t="shared" si="10"/>
        <v>7505</v>
      </c>
      <c r="BC23" s="91">
        <f>IF(BB23&gt;0,SUM(BB$7:BB23)-SUM(BA$7:BA23),0)</f>
        <v>6317</v>
      </c>
      <c r="BD23" s="45">
        <f t="shared" si="24"/>
        <v>0</v>
      </c>
      <c r="BF23" s="47">
        <f t="shared" si="25"/>
        <v>40833</v>
      </c>
      <c r="BG23" s="54" t="str">
        <f t="shared" si="11"/>
        <v>dom</v>
      </c>
      <c r="BH23" s="75"/>
      <c r="BI23" s="75"/>
      <c r="BJ23" s="75">
        <f>IF(BI23&gt;0,SUM(BI$7:BI23)-SUM(BH$7:BH23),0)</f>
        <v>0</v>
      </c>
      <c r="BK23" s="45">
        <f t="shared" si="26"/>
        <v>0</v>
      </c>
      <c r="BL23" s="75"/>
      <c r="BM23" s="75"/>
      <c r="BN23" s="90">
        <f>IF(BM23&gt;0,SUM(BM$7:BM23)-SUM(BL$7:BL23),0)</f>
        <v>0</v>
      </c>
      <c r="BO23" s="45">
        <f t="shared" si="27"/>
        <v>0</v>
      </c>
      <c r="BP23" s="75"/>
      <c r="BQ23" s="75"/>
      <c r="BR23" s="90">
        <f>IF(BQ23&gt;0,SUM(BQ$7:BQ23)-SUM(BP$7:BP23),0)</f>
        <v>0</v>
      </c>
      <c r="BS23" s="45">
        <f t="shared" si="32"/>
        <v>0</v>
      </c>
      <c r="BT23" s="35">
        <f t="shared" si="5"/>
        <v>0</v>
      </c>
      <c r="BU23" s="35">
        <f t="shared" si="5"/>
        <v>0</v>
      </c>
      <c r="BV23" s="91">
        <f>IF(BU23&gt;0,SUM(BU$7:BU23)-SUM(BT$7:BT23),0)</f>
        <v>0</v>
      </c>
      <c r="BW23" s="45">
        <f t="shared" si="28"/>
        <v>0</v>
      </c>
      <c r="BY23" s="47">
        <f t="shared" si="29"/>
        <v>40833</v>
      </c>
      <c r="BZ23" s="54" t="str">
        <f t="shared" si="12"/>
        <v>dom</v>
      </c>
      <c r="CA23" s="75"/>
      <c r="CB23" s="75"/>
      <c r="CC23" s="90">
        <f>IF(CB23&gt;0,SUM(CB$7:CB23)-SUM(CA$7:CA23),0)</f>
        <v>0</v>
      </c>
      <c r="CD23" s="45">
        <f t="shared" si="30"/>
        <v>0</v>
      </c>
    </row>
    <row r="24" spans="1:82" x14ac:dyDescent="0.25">
      <c r="A24" s="47">
        <f t="shared" si="13"/>
        <v>40834</v>
      </c>
      <c r="B24" s="54" t="s">
        <v>27</v>
      </c>
      <c r="C24" s="75">
        <v>12900</v>
      </c>
      <c r="D24" s="75">
        <v>10533</v>
      </c>
      <c r="E24" s="90">
        <f>IF(D24&gt;0,SUM(D$7:D24)-SUM(C$7:C24),0)</f>
        <v>-28913</v>
      </c>
      <c r="F24" s="45">
        <f t="shared" si="14"/>
        <v>0.81651162790697673</v>
      </c>
      <c r="G24" s="75">
        <v>12900</v>
      </c>
      <c r="H24" s="75">
        <v>10475</v>
      </c>
      <c r="I24" s="75">
        <f>IF(H24&gt;0,SUM(H$7:H24)-SUM(G$7:G24),0)</f>
        <v>-33389</v>
      </c>
      <c r="J24" s="45">
        <f t="shared" si="33"/>
        <v>0.81201550387596899</v>
      </c>
      <c r="K24" s="75">
        <v>12900</v>
      </c>
      <c r="L24" s="75">
        <v>12892</v>
      </c>
      <c r="M24" s="90">
        <f>IF(L24&gt;0,SUM(L$7:L24)-SUM(K$7:K24),0)</f>
        <v>-32826</v>
      </c>
      <c r="N24" s="45">
        <f t="shared" si="35"/>
        <v>0.99937984496124033</v>
      </c>
      <c r="O24" s="35">
        <f t="shared" si="34"/>
        <v>38700</v>
      </c>
      <c r="P24" s="35">
        <f t="shared" si="6"/>
        <v>33900</v>
      </c>
      <c r="Q24" s="91">
        <f>IF(P24&gt;0,SUM(P$7:P24)-SUM(O$7:O24),0)</f>
        <v>-95128</v>
      </c>
      <c r="R24" s="45">
        <f t="shared" si="15"/>
        <v>0.87596899224806202</v>
      </c>
      <c r="T24" s="47">
        <f t="shared" si="16"/>
        <v>40834</v>
      </c>
      <c r="U24" s="54" t="str">
        <f t="shared" si="7"/>
        <v>seg</v>
      </c>
      <c r="V24" s="75">
        <v>12340</v>
      </c>
      <c r="W24" s="75">
        <v>9123</v>
      </c>
      <c r="X24" s="92">
        <f>IF(W24&gt;0,SUM(W$7:W24)-SUM(V$7:V24),0)</f>
        <v>41306</v>
      </c>
      <c r="Y24" s="60">
        <f t="shared" si="17"/>
        <v>0.73930307941653162</v>
      </c>
      <c r="Z24" s="75">
        <v>12340</v>
      </c>
      <c r="AA24" s="75">
        <v>9608</v>
      </c>
      <c r="AB24" s="92">
        <f>IF(AA24&gt;0,SUM(AA$7:AA24)-SUM(Z$7:Z24),0)</f>
        <v>-38835</v>
      </c>
      <c r="AC24" s="60">
        <f t="shared" si="18"/>
        <v>0.77860615883306317</v>
      </c>
      <c r="AD24" s="75">
        <v>12340</v>
      </c>
      <c r="AE24" s="75">
        <v>9594</v>
      </c>
      <c r="AF24" s="92">
        <f>IF(AE24&gt;0,SUM(AE$7:AE24)-SUM(AD$7:AD24),0)</f>
        <v>9588</v>
      </c>
      <c r="AG24" s="60">
        <f t="shared" si="19"/>
        <v>0.77747163695299837</v>
      </c>
      <c r="AH24" s="41">
        <f t="shared" si="3"/>
        <v>37020</v>
      </c>
      <c r="AI24" s="41">
        <f t="shared" si="8"/>
        <v>28325</v>
      </c>
      <c r="AJ24" s="93">
        <f>IF(AI24&gt;0,SUM(AI$7:AI24)-SUM(AH$7:AH24),0)</f>
        <v>12059</v>
      </c>
      <c r="AK24" s="60">
        <f t="shared" si="20"/>
        <v>0.76512695840086442</v>
      </c>
      <c r="AM24" s="47">
        <f t="shared" si="21"/>
        <v>40834</v>
      </c>
      <c r="AN24" s="54" t="str">
        <f t="shared" si="9"/>
        <v>seg</v>
      </c>
      <c r="AO24" s="75">
        <v>7700</v>
      </c>
      <c r="AP24" s="75">
        <v>6310</v>
      </c>
      <c r="AQ24" s="75">
        <f>IF(AP24&gt;0,SUM(AP$7:AP24)-SUM(AO$7:AO24),0)</f>
        <v>30375</v>
      </c>
      <c r="AR24" s="45">
        <f t="shared" si="22"/>
        <v>0.81948051948051948</v>
      </c>
      <c r="AS24" s="75">
        <v>7700</v>
      </c>
      <c r="AT24" s="75">
        <v>8584</v>
      </c>
      <c r="AU24" s="90">
        <f>IF(AT24&gt;0,SUM(AT$7:AT24)-SUM(AS$7:AS24),0)</f>
        <v>7971</v>
      </c>
      <c r="AV24" s="45">
        <f t="shared" si="23"/>
        <v>1.1148051948051949</v>
      </c>
      <c r="AW24" s="75">
        <v>7700</v>
      </c>
      <c r="AX24" s="75">
        <v>5198</v>
      </c>
      <c r="AY24" s="90">
        <f>IF(AX24&gt;0,SUM(AX$7:AX24)-SUM(AW$7:AW24),0)</f>
        <v>-35037</v>
      </c>
      <c r="AZ24" s="45">
        <f t="shared" si="31"/>
        <v>0.67506493506493503</v>
      </c>
      <c r="BA24" s="35">
        <f t="shared" si="4"/>
        <v>23100</v>
      </c>
      <c r="BB24" s="35">
        <f t="shared" si="10"/>
        <v>20092</v>
      </c>
      <c r="BC24" s="91">
        <f>IF(BB24&gt;0,SUM(BB$7:BB24)-SUM(BA$7:BA24),0)</f>
        <v>3309</v>
      </c>
      <c r="BD24" s="45">
        <f t="shared" si="24"/>
        <v>0.86978354978354977</v>
      </c>
      <c r="BF24" s="47">
        <f t="shared" si="25"/>
        <v>40834</v>
      </c>
      <c r="BG24" s="54" t="str">
        <f t="shared" si="11"/>
        <v>seg</v>
      </c>
      <c r="BH24" s="75">
        <v>18200</v>
      </c>
      <c r="BI24" s="75">
        <v>12132</v>
      </c>
      <c r="BJ24" s="75">
        <f>IF(BI24&gt;0,SUM(BI$7:BI24)-SUM(BH$7:BH24),0)</f>
        <v>-27707</v>
      </c>
      <c r="BK24" s="45">
        <f t="shared" si="26"/>
        <v>0.6665934065934066</v>
      </c>
      <c r="BL24" s="75">
        <v>8000</v>
      </c>
      <c r="BM24" s="75">
        <v>7990</v>
      </c>
      <c r="BN24" s="90">
        <f>IF(BM24&gt;0,SUM(BM$7:BM24)-SUM(BL$7:BL24),0)</f>
        <v>-16099</v>
      </c>
      <c r="BO24" s="45">
        <f t="shared" si="27"/>
        <v>0.99875000000000003</v>
      </c>
      <c r="BP24" s="75">
        <v>11000</v>
      </c>
      <c r="BQ24" s="75">
        <v>10550</v>
      </c>
      <c r="BR24" s="90">
        <f>IF(BQ24&gt;0,SUM(BQ$7:BQ24)-SUM(BP$7:BP24),0)</f>
        <v>9540</v>
      </c>
      <c r="BS24" s="45">
        <f t="shared" si="32"/>
        <v>0.95909090909090911</v>
      </c>
      <c r="BT24" s="35">
        <f t="shared" si="5"/>
        <v>37200</v>
      </c>
      <c r="BU24" s="35">
        <f t="shared" si="5"/>
        <v>30672</v>
      </c>
      <c r="BV24" s="91">
        <f>IF(BU24&gt;0,SUM(BU$7:BU24)-SUM(BT$7:BT24),0)</f>
        <v>-34266</v>
      </c>
      <c r="BW24" s="45">
        <f t="shared" si="28"/>
        <v>0.82451612903225802</v>
      </c>
      <c r="BY24" s="47">
        <f t="shared" si="29"/>
        <v>40834</v>
      </c>
      <c r="BZ24" s="54" t="str">
        <f t="shared" si="12"/>
        <v>seg</v>
      </c>
      <c r="CA24" s="75">
        <v>4736</v>
      </c>
      <c r="CB24" s="75">
        <v>6671</v>
      </c>
      <c r="CC24" s="90">
        <f>IF(CB24&gt;0,SUM(CB$7:CB24)-SUM(CA$7:CA24),0)</f>
        <v>-12043</v>
      </c>
      <c r="CD24" s="45">
        <f t="shared" si="30"/>
        <v>1.4085726351351351</v>
      </c>
    </row>
    <row r="25" spans="1:82" x14ac:dyDescent="0.25">
      <c r="A25" s="47">
        <f t="shared" si="13"/>
        <v>40835</v>
      </c>
      <c r="B25" s="54" t="s">
        <v>28</v>
      </c>
      <c r="C25" s="75">
        <v>12900</v>
      </c>
      <c r="D25" s="75">
        <v>11434</v>
      </c>
      <c r="E25" s="90">
        <f>IF(D25&gt;0,SUM(D$7:D25)-SUM(C$7:C25),0)</f>
        <v>-30379</v>
      </c>
      <c r="F25" s="45">
        <f t="shared" si="14"/>
        <v>0.88635658914728677</v>
      </c>
      <c r="G25" s="75">
        <v>12900</v>
      </c>
      <c r="H25" s="75">
        <v>15447</v>
      </c>
      <c r="I25" s="75">
        <f>IF(H25&gt;0,SUM(H$7:H25)-SUM(G$7:G25),0)</f>
        <v>-30842</v>
      </c>
      <c r="J25" s="45">
        <f t="shared" si="33"/>
        <v>1.1974418604651162</v>
      </c>
      <c r="K25" s="75">
        <v>12900</v>
      </c>
      <c r="L25" s="75">
        <v>14008</v>
      </c>
      <c r="M25" s="90">
        <f>IF(L25&gt;0,SUM(L$7:L25)-SUM(K$7:K25),0)</f>
        <v>-31718</v>
      </c>
      <c r="N25" s="45">
        <f t="shared" si="35"/>
        <v>1.085891472868217</v>
      </c>
      <c r="O25" s="35">
        <f t="shared" si="34"/>
        <v>38700</v>
      </c>
      <c r="P25" s="35">
        <f t="shared" si="6"/>
        <v>40889</v>
      </c>
      <c r="Q25" s="91">
        <f>IF(P25&gt;0,SUM(P$7:P25)-SUM(O$7:O25),0)</f>
        <v>-92939</v>
      </c>
      <c r="R25" s="45">
        <f t="shared" si="15"/>
        <v>1.0565633074935401</v>
      </c>
      <c r="T25" s="47">
        <f t="shared" si="16"/>
        <v>40835</v>
      </c>
      <c r="U25" s="54" t="str">
        <f t="shared" si="7"/>
        <v>ter</v>
      </c>
      <c r="V25" s="75">
        <v>12340</v>
      </c>
      <c r="W25" s="75">
        <v>9171</v>
      </c>
      <c r="X25" s="92">
        <f>IF(W25&gt;0,SUM(W$7:W25)-SUM(V$7:V25),0)</f>
        <v>38137</v>
      </c>
      <c r="Y25" s="60">
        <f t="shared" si="17"/>
        <v>0.74319286871961099</v>
      </c>
      <c r="Z25" s="75">
        <v>12340</v>
      </c>
      <c r="AA25" s="75">
        <v>9466</v>
      </c>
      <c r="AB25" s="92">
        <f>IF(AA25&gt;0,SUM(AA$7:AA25)-SUM(Z$7:Z25),0)</f>
        <v>-41709</v>
      </c>
      <c r="AC25" s="60">
        <f t="shared" si="18"/>
        <v>0.7670988654781199</v>
      </c>
      <c r="AD25" s="75">
        <v>12340</v>
      </c>
      <c r="AE25" s="75">
        <v>11666</v>
      </c>
      <c r="AF25" s="92">
        <f>IF(AE25&gt;0,SUM(AE$7:AE25)-SUM(AD$7:AD25),0)</f>
        <v>8914</v>
      </c>
      <c r="AG25" s="60">
        <f t="shared" si="19"/>
        <v>0.94538087520259317</v>
      </c>
      <c r="AH25" s="41">
        <f t="shared" si="3"/>
        <v>37020</v>
      </c>
      <c r="AI25" s="41">
        <f t="shared" si="8"/>
        <v>30303</v>
      </c>
      <c r="AJ25" s="93">
        <f>IF(AI25&gt;0,SUM(AI$7:AI25)-SUM(AH$7:AH25),0)</f>
        <v>5342</v>
      </c>
      <c r="AK25" s="60">
        <f t="shared" si="20"/>
        <v>0.81855753646677476</v>
      </c>
      <c r="AM25" s="47">
        <f t="shared" si="21"/>
        <v>40835</v>
      </c>
      <c r="AN25" s="54" t="str">
        <f t="shared" si="9"/>
        <v>ter</v>
      </c>
      <c r="AO25" s="75">
        <v>7700</v>
      </c>
      <c r="AP25" s="75">
        <v>8841</v>
      </c>
      <c r="AQ25" s="75">
        <f>IF(AP25&gt;0,SUM(AP$7:AP25)-SUM(AO$7:AO25),0)</f>
        <v>31516</v>
      </c>
      <c r="AR25" s="45">
        <f t="shared" si="22"/>
        <v>1.1481818181818182</v>
      </c>
      <c r="AS25" s="75">
        <v>7700</v>
      </c>
      <c r="AT25" s="75">
        <v>9501</v>
      </c>
      <c r="AU25" s="90">
        <f>IF(AT25&gt;0,SUM(AT$7:AT25)-SUM(AS$7:AS25),0)</f>
        <v>9772</v>
      </c>
      <c r="AV25" s="45">
        <f t="shared" si="23"/>
        <v>1.2338961038961038</v>
      </c>
      <c r="AW25" s="75">
        <v>7700</v>
      </c>
      <c r="AX25" s="75">
        <v>3659</v>
      </c>
      <c r="AY25" s="90">
        <f>IF(AX25&gt;0,SUM(AX$7:AX25)-SUM(AW$7:AW25),0)</f>
        <v>-39078</v>
      </c>
      <c r="AZ25" s="45">
        <f t="shared" si="31"/>
        <v>0.47519480519480517</v>
      </c>
      <c r="BA25" s="35">
        <f t="shared" si="4"/>
        <v>23100</v>
      </c>
      <c r="BB25" s="35">
        <f t="shared" si="10"/>
        <v>22001</v>
      </c>
      <c r="BC25" s="91">
        <f>IF(BB25&gt;0,SUM(BB$7:BB25)-SUM(BA$7:BA25),0)</f>
        <v>2210</v>
      </c>
      <c r="BD25" s="45">
        <f t="shared" si="24"/>
        <v>0.9524242424242424</v>
      </c>
      <c r="BF25" s="47">
        <f t="shared" si="25"/>
        <v>40835</v>
      </c>
      <c r="BG25" s="54" t="str">
        <f t="shared" si="11"/>
        <v>ter</v>
      </c>
      <c r="BH25" s="75">
        <v>18200</v>
      </c>
      <c r="BI25" s="75">
        <v>14309</v>
      </c>
      <c r="BJ25" s="75">
        <f>IF(BI25&gt;0,SUM(BI$7:BI25)-SUM(BH$7:BH25),0)</f>
        <v>-31598</v>
      </c>
      <c r="BK25" s="45">
        <f t="shared" si="26"/>
        <v>0.78620879120879117</v>
      </c>
      <c r="BL25" s="75">
        <v>8000</v>
      </c>
      <c r="BM25" s="75">
        <v>7695</v>
      </c>
      <c r="BN25" s="90">
        <f>IF(BM25&gt;0,SUM(BM$7:BM25)-SUM(BL$7:BL25),0)</f>
        <v>-16404</v>
      </c>
      <c r="BO25" s="45">
        <f t="shared" si="27"/>
        <v>0.96187500000000004</v>
      </c>
      <c r="BP25" s="75">
        <v>11000</v>
      </c>
      <c r="BQ25" s="75">
        <v>12932</v>
      </c>
      <c r="BR25" s="90">
        <f>IF(BQ25&gt;0,SUM(BQ$7:BQ25)-SUM(BP$7:BP25),0)</f>
        <v>11472</v>
      </c>
      <c r="BS25" s="45">
        <f t="shared" si="32"/>
        <v>1.1756363636363636</v>
      </c>
      <c r="BT25" s="35">
        <f t="shared" si="5"/>
        <v>37200</v>
      </c>
      <c r="BU25" s="35">
        <f t="shared" si="5"/>
        <v>34936</v>
      </c>
      <c r="BV25" s="91">
        <f>IF(BU25&gt;0,SUM(BU$7:BU25)-SUM(BT$7:BT25),0)</f>
        <v>-36530</v>
      </c>
      <c r="BW25" s="45">
        <f t="shared" si="28"/>
        <v>0.93913978494623651</v>
      </c>
      <c r="BY25" s="47">
        <f t="shared" si="29"/>
        <v>40835</v>
      </c>
      <c r="BZ25" s="54" t="str">
        <f t="shared" si="12"/>
        <v>ter</v>
      </c>
      <c r="CA25" s="75">
        <v>4736</v>
      </c>
      <c r="CB25" s="75">
        <v>10364</v>
      </c>
      <c r="CC25" s="90">
        <f>IF(CB25&gt;0,SUM(CB$7:CB25)-SUM(CA$7:CA25),0)</f>
        <v>-6415</v>
      </c>
      <c r="CD25" s="45">
        <f t="shared" si="30"/>
        <v>2.1883445945945947</v>
      </c>
    </row>
    <row r="26" spans="1:82" x14ac:dyDescent="0.25">
      <c r="A26" s="47">
        <f t="shared" si="13"/>
        <v>40836</v>
      </c>
      <c r="B26" s="54" t="s">
        <v>22</v>
      </c>
      <c r="C26" s="75">
        <v>12900</v>
      </c>
      <c r="D26" s="75">
        <v>13354</v>
      </c>
      <c r="E26" s="90">
        <f>IF(D26&gt;0,SUM(D$7:D26)-SUM(C$7:C26),0)</f>
        <v>-29925</v>
      </c>
      <c r="F26" s="45">
        <f t="shared" si="14"/>
        <v>1.0351937984496125</v>
      </c>
      <c r="G26" s="75">
        <v>12900</v>
      </c>
      <c r="H26" s="75">
        <v>11334</v>
      </c>
      <c r="I26" s="75">
        <f>IF(H26&gt;0,SUM(H$7:H26)-SUM(G$7:G26),0)</f>
        <v>-32408</v>
      </c>
      <c r="J26" s="45">
        <f t="shared" si="33"/>
        <v>0.87860465116279074</v>
      </c>
      <c r="K26" s="75">
        <v>12900</v>
      </c>
      <c r="L26" s="75">
        <v>9822</v>
      </c>
      <c r="M26" s="90">
        <f>IF(L26&gt;0,SUM(L$7:L26)-SUM(K$7:K26),0)</f>
        <v>-34796</v>
      </c>
      <c r="N26" s="45">
        <f t="shared" si="35"/>
        <v>0.76139534883720927</v>
      </c>
      <c r="O26" s="35">
        <f t="shared" si="34"/>
        <v>38700</v>
      </c>
      <c r="P26" s="35">
        <f t="shared" si="6"/>
        <v>34510</v>
      </c>
      <c r="Q26" s="91">
        <f>IF(P26&gt;0,SUM(P$7:P26)-SUM(O$7:O26),0)</f>
        <v>-97129</v>
      </c>
      <c r="R26" s="45">
        <f t="shared" si="15"/>
        <v>0.89173126614987075</v>
      </c>
      <c r="T26" s="47">
        <f t="shared" si="16"/>
        <v>40836</v>
      </c>
      <c r="U26" s="54" t="str">
        <f t="shared" si="7"/>
        <v>qua</v>
      </c>
      <c r="V26" s="75">
        <v>12340</v>
      </c>
      <c r="W26" s="75">
        <v>9842</v>
      </c>
      <c r="X26" s="92">
        <f>IF(W26&gt;0,SUM(W$7:W26)-SUM(V$7:V26),0)</f>
        <v>35639</v>
      </c>
      <c r="Y26" s="60">
        <f t="shared" si="17"/>
        <v>0.79756888168557538</v>
      </c>
      <c r="Z26" s="75">
        <v>12340</v>
      </c>
      <c r="AA26" s="75">
        <v>6698</v>
      </c>
      <c r="AB26" s="92">
        <f>IF(AA26&gt;0,SUM(AA$7:AA26)-SUM(Z$7:Z26),0)</f>
        <v>-47351</v>
      </c>
      <c r="AC26" s="60">
        <f t="shared" si="18"/>
        <v>0.54278768233387353</v>
      </c>
      <c r="AD26" s="75">
        <v>12340</v>
      </c>
      <c r="AE26" s="75">
        <v>9555</v>
      </c>
      <c r="AF26" s="92">
        <f>IF(AE26&gt;0,SUM(AE$7:AE26)-SUM(AD$7:AD26),0)</f>
        <v>6129</v>
      </c>
      <c r="AG26" s="60">
        <f t="shared" si="19"/>
        <v>0.77431118314424641</v>
      </c>
      <c r="AH26" s="41">
        <f t="shared" si="3"/>
        <v>37020</v>
      </c>
      <c r="AI26" s="41">
        <f t="shared" si="8"/>
        <v>26095</v>
      </c>
      <c r="AJ26" s="93">
        <f>IF(AI26&gt;0,SUM(AI$7:AI26)-SUM(AH$7:AH26),0)</f>
        <v>-5583</v>
      </c>
      <c r="AK26" s="60">
        <f t="shared" si="20"/>
        <v>0.70488924905456507</v>
      </c>
      <c r="AM26" s="47">
        <f t="shared" si="21"/>
        <v>40836</v>
      </c>
      <c r="AN26" s="54" t="str">
        <f t="shared" si="9"/>
        <v>qua</v>
      </c>
      <c r="AO26" s="75">
        <v>7700</v>
      </c>
      <c r="AP26" s="75">
        <v>7862</v>
      </c>
      <c r="AQ26" s="75">
        <f>IF(AP26&gt;0,SUM(AP$7:AP26)-SUM(AO$7:AO26),0)</f>
        <v>31678</v>
      </c>
      <c r="AR26" s="45">
        <f t="shared" si="22"/>
        <v>1.021038961038961</v>
      </c>
      <c r="AS26" s="75">
        <v>7700</v>
      </c>
      <c r="AT26" s="75">
        <v>9475</v>
      </c>
      <c r="AU26" s="90">
        <f>IF(AT26&gt;0,SUM(AT$7:AT26)-SUM(AS$7:AS26),0)</f>
        <v>11547</v>
      </c>
      <c r="AV26" s="45">
        <f t="shared" si="23"/>
        <v>1.2305194805194806</v>
      </c>
      <c r="AW26" s="75">
        <v>7700</v>
      </c>
      <c r="AX26" s="75">
        <v>5124</v>
      </c>
      <c r="AY26" s="90">
        <f>IF(AX26&gt;0,SUM(AX$7:AX26)-SUM(AW$7:AW26),0)</f>
        <v>-41654</v>
      </c>
      <c r="AZ26" s="45">
        <f t="shared" si="31"/>
        <v>0.66545454545454541</v>
      </c>
      <c r="BA26" s="35">
        <f t="shared" si="4"/>
        <v>23100</v>
      </c>
      <c r="BB26" s="35">
        <f t="shared" si="10"/>
        <v>22461</v>
      </c>
      <c r="BC26" s="91">
        <f>IF(BB26&gt;0,SUM(BB$7:BB26)-SUM(BA$7:BA26),0)</f>
        <v>1571</v>
      </c>
      <c r="BD26" s="45">
        <f t="shared" si="24"/>
        <v>0.97233766233766239</v>
      </c>
      <c r="BF26" s="47">
        <f t="shared" si="25"/>
        <v>40836</v>
      </c>
      <c r="BG26" s="54" t="str">
        <f t="shared" si="11"/>
        <v>qua</v>
      </c>
      <c r="BH26" s="75">
        <v>18200</v>
      </c>
      <c r="BI26" s="75">
        <v>15646</v>
      </c>
      <c r="BJ26" s="75">
        <f>IF(BI26&gt;0,SUM(BI$7:BI26)-SUM(BH$7:BH26),0)</f>
        <v>-34152</v>
      </c>
      <c r="BK26" s="45">
        <f t="shared" si="26"/>
        <v>0.85967032967032964</v>
      </c>
      <c r="BL26" s="75">
        <v>8000</v>
      </c>
      <c r="BM26" s="75">
        <v>6814</v>
      </c>
      <c r="BN26" s="90">
        <f>IF(BM26&gt;0,SUM(BM$7:BM26)-SUM(BL$7:BL26),0)</f>
        <v>-17590</v>
      </c>
      <c r="BO26" s="45">
        <f t="shared" si="27"/>
        <v>0.85175000000000001</v>
      </c>
      <c r="BP26" s="75">
        <v>11000</v>
      </c>
      <c r="BQ26" s="75">
        <v>16198</v>
      </c>
      <c r="BR26" s="90">
        <f>IF(BQ26&gt;0,SUM(BQ$7:BQ26)-SUM(BP$7:BP26),0)</f>
        <v>16670</v>
      </c>
      <c r="BS26" s="45">
        <f t="shared" si="32"/>
        <v>1.4725454545454546</v>
      </c>
      <c r="BT26" s="35">
        <f t="shared" si="5"/>
        <v>37200</v>
      </c>
      <c r="BU26" s="35">
        <f t="shared" si="5"/>
        <v>38658</v>
      </c>
      <c r="BV26" s="91">
        <f>IF(BU26&gt;0,SUM(BU$7:BU26)-SUM(BT$7:BT26),0)</f>
        <v>-35072</v>
      </c>
      <c r="BW26" s="45">
        <f t="shared" si="28"/>
        <v>1.0391935483870969</v>
      </c>
      <c r="BY26" s="47">
        <f t="shared" si="29"/>
        <v>40836</v>
      </c>
      <c r="BZ26" s="54" t="str">
        <f t="shared" si="12"/>
        <v>qua</v>
      </c>
      <c r="CA26" s="75">
        <v>4736</v>
      </c>
      <c r="CB26" s="75">
        <v>10673</v>
      </c>
      <c r="CC26" s="90">
        <f>IF(CB26&gt;0,SUM(CB$7:CB26)-SUM(CA$7:CA26),0)</f>
        <v>-478</v>
      </c>
      <c r="CD26" s="45">
        <f t="shared" si="30"/>
        <v>2.2535895270270272</v>
      </c>
    </row>
    <row r="27" spans="1:82" x14ac:dyDescent="0.25">
      <c r="A27" s="47">
        <f t="shared" si="13"/>
        <v>40837</v>
      </c>
      <c r="B27" s="54" t="s">
        <v>23</v>
      </c>
      <c r="C27" s="75">
        <v>12900</v>
      </c>
      <c r="D27" s="75">
        <v>9450</v>
      </c>
      <c r="E27" s="90">
        <f>IF(D27&gt;0,SUM(D$7:D27)-SUM(C$7:C27),0)</f>
        <v>-33375</v>
      </c>
      <c r="F27" s="45">
        <f t="shared" si="14"/>
        <v>0.73255813953488369</v>
      </c>
      <c r="G27" s="75">
        <v>12900</v>
      </c>
      <c r="H27" s="75">
        <v>13794</v>
      </c>
      <c r="I27" s="75">
        <f>IF(H27&gt;0,SUM(H$7:H27)-SUM(G$7:G27),0)</f>
        <v>-31514</v>
      </c>
      <c r="J27" s="45">
        <f t="shared" si="33"/>
        <v>1.0693023255813954</v>
      </c>
      <c r="K27" s="75">
        <v>12900</v>
      </c>
      <c r="L27" s="75">
        <v>12098</v>
      </c>
      <c r="M27" s="90">
        <f>IF(L27&gt;0,SUM(L$7:L27)-SUM(K$7:K27),0)</f>
        <v>-35598</v>
      </c>
      <c r="N27" s="45">
        <f t="shared" si="35"/>
        <v>0.93782945736434109</v>
      </c>
      <c r="O27" s="35">
        <f t="shared" si="34"/>
        <v>38700</v>
      </c>
      <c r="P27" s="35">
        <f t="shared" si="6"/>
        <v>35342</v>
      </c>
      <c r="Q27" s="91">
        <f>IF(P27&gt;0,SUM(P$7:P27)-SUM(O$7:O27),0)</f>
        <v>-100487</v>
      </c>
      <c r="R27" s="45">
        <f t="shared" si="15"/>
        <v>0.91322997416020668</v>
      </c>
      <c r="T27" s="47">
        <f t="shared" si="16"/>
        <v>40837</v>
      </c>
      <c r="U27" s="54" t="str">
        <f t="shared" si="7"/>
        <v>qui</v>
      </c>
      <c r="V27" s="75">
        <v>12340</v>
      </c>
      <c r="W27" s="75">
        <v>8230</v>
      </c>
      <c r="X27" s="92">
        <f>IF(W27&gt;0,SUM(W$7:W27)-SUM(V$7:V27),0)</f>
        <v>31529</v>
      </c>
      <c r="Y27" s="60">
        <f t="shared" si="17"/>
        <v>0.66693679092382496</v>
      </c>
      <c r="Z27" s="75">
        <v>12340</v>
      </c>
      <c r="AA27" s="75">
        <v>3540</v>
      </c>
      <c r="AB27" s="92">
        <f>IF(AA27&gt;0,SUM(AA$7:AA27)-SUM(Z$7:Z27),0)</f>
        <v>-56151</v>
      </c>
      <c r="AC27" s="60">
        <f t="shared" si="18"/>
        <v>0.28687196110210694</v>
      </c>
      <c r="AD27" s="75">
        <v>12340</v>
      </c>
      <c r="AE27" s="75">
        <v>2400</v>
      </c>
      <c r="AF27" s="92">
        <f>IF(AE27&gt;0,SUM(AE$7:AE27)-SUM(AD$7:AD27),0)</f>
        <v>-3811</v>
      </c>
      <c r="AG27" s="60">
        <f t="shared" si="19"/>
        <v>0.19448946515397084</v>
      </c>
      <c r="AH27" s="41">
        <f t="shared" si="3"/>
        <v>37020</v>
      </c>
      <c r="AI27" s="41">
        <f t="shared" si="8"/>
        <v>14170</v>
      </c>
      <c r="AJ27" s="93">
        <f>IF(AI27&gt;0,SUM(AI$7:AI27)-SUM(AH$7:AH27),0)</f>
        <v>-28433</v>
      </c>
      <c r="AK27" s="60">
        <f t="shared" si="20"/>
        <v>0.3827660723933009</v>
      </c>
      <c r="AM27" s="47">
        <f t="shared" si="21"/>
        <v>40837</v>
      </c>
      <c r="AN27" s="54" t="str">
        <f t="shared" si="9"/>
        <v>qui</v>
      </c>
      <c r="AO27" s="75">
        <v>7700</v>
      </c>
      <c r="AP27" s="75">
        <v>6249</v>
      </c>
      <c r="AQ27" s="75">
        <f>IF(AP27&gt;0,SUM(AP$7:AP27)-SUM(AO$7:AO27),0)</f>
        <v>30227</v>
      </c>
      <c r="AR27" s="45">
        <f t="shared" si="22"/>
        <v>0.81155844155844159</v>
      </c>
      <c r="AS27" s="75">
        <v>7700</v>
      </c>
      <c r="AT27" s="75">
        <v>5085</v>
      </c>
      <c r="AU27" s="90">
        <f>IF(AT27&gt;0,SUM(AT$7:AT27)-SUM(AS$7:AS27),0)</f>
        <v>8932</v>
      </c>
      <c r="AV27" s="45">
        <f t="shared" si="23"/>
        <v>0.66038961038961042</v>
      </c>
      <c r="AW27" s="75">
        <v>7700</v>
      </c>
      <c r="AX27" s="75">
        <v>3515</v>
      </c>
      <c r="AY27" s="90">
        <f>IF(AX27&gt;0,SUM(AX$7:AX27)-SUM(AW$7:AW27),0)</f>
        <v>-45839</v>
      </c>
      <c r="AZ27" s="45">
        <f t="shared" si="31"/>
        <v>0.45649350649350651</v>
      </c>
      <c r="BA27" s="35">
        <f t="shared" si="4"/>
        <v>23100</v>
      </c>
      <c r="BB27" s="35">
        <f t="shared" si="10"/>
        <v>14849</v>
      </c>
      <c r="BC27" s="91">
        <f>IF(BB27&gt;0,SUM(BB$7:BB27)-SUM(BA$7:BA27),0)</f>
        <v>-6680</v>
      </c>
      <c r="BD27" s="45">
        <f t="shared" si="24"/>
        <v>0.64281385281385284</v>
      </c>
      <c r="BF27" s="47">
        <f t="shared" si="25"/>
        <v>40837</v>
      </c>
      <c r="BG27" s="54" t="str">
        <f t="shared" si="11"/>
        <v>qui</v>
      </c>
      <c r="BH27" s="75">
        <v>18200</v>
      </c>
      <c r="BI27" s="75">
        <v>11448</v>
      </c>
      <c r="BJ27" s="75">
        <f>IF(BI27&gt;0,SUM(BI$7:BI27)-SUM(BH$7:BH27),0)</f>
        <v>-40904</v>
      </c>
      <c r="BK27" s="45">
        <f t="shared" si="26"/>
        <v>0.62901098901098906</v>
      </c>
      <c r="BL27" s="75">
        <v>8000</v>
      </c>
      <c r="BM27" s="75">
        <v>3407</v>
      </c>
      <c r="BN27" s="90">
        <f>IF(BM27&gt;0,SUM(BM$7:BM27)-SUM(BL$7:BL27),0)</f>
        <v>-22183</v>
      </c>
      <c r="BO27" s="45">
        <f t="shared" si="27"/>
        <v>0.425875</v>
      </c>
      <c r="BP27" s="75">
        <v>11000</v>
      </c>
      <c r="BQ27" s="75">
        <v>15199</v>
      </c>
      <c r="BR27" s="90">
        <f>IF(BQ27&gt;0,SUM(BQ$7:BQ27)-SUM(BP$7:BP27),0)</f>
        <v>20869</v>
      </c>
      <c r="BS27" s="45">
        <f t="shared" si="32"/>
        <v>1.3817272727272727</v>
      </c>
      <c r="BT27" s="35">
        <f t="shared" si="5"/>
        <v>37200</v>
      </c>
      <c r="BU27" s="35">
        <f t="shared" si="5"/>
        <v>30054</v>
      </c>
      <c r="BV27" s="91">
        <f>IF(BU27&gt;0,SUM(BU$7:BU27)-SUM(BT$7:BT27),0)</f>
        <v>-42218</v>
      </c>
      <c r="BW27" s="45">
        <f t="shared" si="28"/>
        <v>0.80790322580645157</v>
      </c>
      <c r="BY27" s="47">
        <f t="shared" si="29"/>
        <v>40837</v>
      </c>
      <c r="BZ27" s="54" t="str">
        <f t="shared" si="12"/>
        <v>qui</v>
      </c>
      <c r="CA27" s="75">
        <v>4736</v>
      </c>
      <c r="CB27" s="75">
        <v>7695</v>
      </c>
      <c r="CC27" s="90">
        <f>IF(CB27&gt;0,SUM(CB$7:CB27)-SUM(CA$7:CA27),0)</f>
        <v>2481</v>
      </c>
      <c r="CD27" s="45">
        <f t="shared" si="30"/>
        <v>1.6247888513513513</v>
      </c>
    </row>
    <row r="28" spans="1:82" x14ac:dyDescent="0.25">
      <c r="A28" s="47">
        <f t="shared" si="13"/>
        <v>40838</v>
      </c>
      <c r="B28" s="54" t="s">
        <v>24</v>
      </c>
      <c r="C28" s="75">
        <v>12900</v>
      </c>
      <c r="D28" s="75">
        <v>8038</v>
      </c>
      <c r="E28" s="90">
        <f>IF(D28&gt;0,SUM(D$7:D28)-SUM(C$7:C28),0)</f>
        <v>-38237</v>
      </c>
      <c r="F28" s="45">
        <f t="shared" si="14"/>
        <v>0.62310077519379847</v>
      </c>
      <c r="G28" s="75">
        <v>12900</v>
      </c>
      <c r="H28" s="75">
        <v>1</v>
      </c>
      <c r="I28" s="75">
        <f>IF(H28&gt;0,SUM(H$7:H28)-SUM(G$7:G28),0)</f>
        <v>-44413</v>
      </c>
      <c r="J28" s="45">
        <f t="shared" si="33"/>
        <v>7.7519379844961245E-5</v>
      </c>
      <c r="K28" s="75">
        <v>12900</v>
      </c>
      <c r="L28" s="75">
        <v>1</v>
      </c>
      <c r="M28" s="90">
        <f>IF(L28&gt;0,SUM(L$7:L28)-SUM(K$7:K28),0)</f>
        <v>-48497</v>
      </c>
      <c r="N28" s="45" t="s">
        <v>46</v>
      </c>
      <c r="O28" s="35">
        <f t="shared" si="34"/>
        <v>38700</v>
      </c>
      <c r="P28" s="35">
        <f t="shared" si="6"/>
        <v>8040</v>
      </c>
      <c r="Q28" s="91">
        <f>IF(P28&gt;0,SUM(P$7:P28)-SUM(O$7:O28),0)</f>
        <v>-131147</v>
      </c>
      <c r="R28" s="45">
        <f t="shared" si="15"/>
        <v>0.20775193798449612</v>
      </c>
      <c r="T28" s="47">
        <f t="shared" si="16"/>
        <v>40838</v>
      </c>
      <c r="U28" s="54" t="str">
        <f t="shared" si="7"/>
        <v>sex</v>
      </c>
      <c r="V28" s="75">
        <v>12340</v>
      </c>
      <c r="W28" s="75">
        <v>3660</v>
      </c>
      <c r="X28" s="92">
        <f>IF(W28&gt;0,SUM(W$7:W28)-SUM(V$7:V28),0)</f>
        <v>22849</v>
      </c>
      <c r="Y28" s="60">
        <f t="shared" si="17"/>
        <v>0.29659643435980548</v>
      </c>
      <c r="Z28" s="75">
        <v>12340</v>
      </c>
      <c r="AA28" s="75">
        <v>1</v>
      </c>
      <c r="AB28" s="92">
        <f>IF(AA28&gt;0,SUM(AA$7:AA28)-SUM(Z$7:Z28),0)</f>
        <v>-68490</v>
      </c>
      <c r="AC28" s="60">
        <f t="shared" si="18"/>
        <v>8.1037277147487838E-5</v>
      </c>
      <c r="AD28" s="75">
        <v>12340</v>
      </c>
      <c r="AE28" s="75">
        <v>1</v>
      </c>
      <c r="AF28" s="92">
        <f>IF(AE28&gt;0,SUM(AE$7:AE28)-SUM(AD$7:AD28),0)</f>
        <v>-16150</v>
      </c>
      <c r="AG28" s="60">
        <f t="shared" si="19"/>
        <v>8.1037277147487838E-5</v>
      </c>
      <c r="AH28" s="41">
        <f t="shared" si="3"/>
        <v>37020</v>
      </c>
      <c r="AI28" s="41">
        <f t="shared" si="8"/>
        <v>3662</v>
      </c>
      <c r="AJ28" s="93">
        <f>IF(AI28&gt;0,SUM(AI$7:AI28)-SUM(AH$7:AH28),0)</f>
        <v>-61791</v>
      </c>
      <c r="AK28" s="60">
        <f t="shared" si="20"/>
        <v>9.8919502971366827E-2</v>
      </c>
      <c r="AM28" s="47">
        <f t="shared" si="21"/>
        <v>40838</v>
      </c>
      <c r="AN28" s="54" t="str">
        <f t="shared" si="9"/>
        <v>sex</v>
      </c>
      <c r="AO28" s="75">
        <v>7700</v>
      </c>
      <c r="AP28" s="75">
        <v>1753</v>
      </c>
      <c r="AQ28" s="75">
        <f>IF(AP28&gt;0,SUM(AP$7:AP28)-SUM(AO$7:AO28),0)</f>
        <v>24280</v>
      </c>
      <c r="AR28" s="45">
        <f t="shared" si="22"/>
        <v>0.22766233766233765</v>
      </c>
      <c r="AS28" s="75">
        <v>7700</v>
      </c>
      <c r="AT28" s="75">
        <v>1</v>
      </c>
      <c r="AU28" s="90">
        <f>IF(AT28&gt;0,SUM(AT$7:AT28)-SUM(AS$7:AS28),0)</f>
        <v>1233</v>
      </c>
      <c r="AV28" s="45">
        <f t="shared" si="23"/>
        <v>1.2987012987012987E-4</v>
      </c>
      <c r="AW28" s="75">
        <v>7700</v>
      </c>
      <c r="AX28" s="75">
        <v>1</v>
      </c>
      <c r="AY28" s="90">
        <f>IF(AX28&gt;0,SUM(AX$7:AX28)-SUM(AW$7:AW28),0)</f>
        <v>-53538</v>
      </c>
      <c r="AZ28" s="45">
        <f t="shared" si="31"/>
        <v>1.2987012987012987E-4</v>
      </c>
      <c r="BA28" s="35">
        <f t="shared" si="4"/>
        <v>23100</v>
      </c>
      <c r="BB28" s="35">
        <f t="shared" si="10"/>
        <v>1755</v>
      </c>
      <c r="BC28" s="91">
        <f>IF(BB28&gt;0,SUM(BB$7:BB28)-SUM(BA$7:BA28),0)</f>
        <v>-28025</v>
      </c>
      <c r="BD28" s="45">
        <f t="shared" si="24"/>
        <v>7.5974025974025972E-2</v>
      </c>
      <c r="BF28" s="47">
        <f t="shared" si="25"/>
        <v>40838</v>
      </c>
      <c r="BG28" s="54" t="str">
        <f t="shared" si="11"/>
        <v>sex</v>
      </c>
      <c r="BH28" s="75">
        <v>18200</v>
      </c>
      <c r="BI28" s="75">
        <v>1144</v>
      </c>
      <c r="BJ28" s="75">
        <f>IF(BI28&gt;0,SUM(BI$7:BI28)-SUM(BH$7:BH28),0)</f>
        <v>-57960</v>
      </c>
      <c r="BK28" s="45">
        <f t="shared" si="26"/>
        <v>6.2857142857142861E-2</v>
      </c>
      <c r="BL28" s="75">
        <v>8000</v>
      </c>
      <c r="BM28" s="75">
        <v>608</v>
      </c>
      <c r="BN28" s="90">
        <f>IF(BM28&gt;0,SUM(BM$7:BM28)-SUM(BL$7:BL28),0)</f>
        <v>-29575</v>
      </c>
      <c r="BO28" s="45">
        <f t="shared" si="27"/>
        <v>7.5999999999999998E-2</v>
      </c>
      <c r="BP28" s="75">
        <v>11000</v>
      </c>
      <c r="BQ28" s="75">
        <v>3685</v>
      </c>
      <c r="BR28" s="90">
        <f>IF(BQ28&gt;0,SUM(BQ$7:BQ28)-SUM(BP$7:BP28),0)</f>
        <v>13554</v>
      </c>
      <c r="BS28" s="45">
        <f t="shared" si="32"/>
        <v>0.33500000000000002</v>
      </c>
      <c r="BT28" s="35">
        <f t="shared" si="5"/>
        <v>37200</v>
      </c>
      <c r="BU28" s="35">
        <f t="shared" si="5"/>
        <v>5437</v>
      </c>
      <c r="BV28" s="91">
        <f>IF(BU28&gt;0,SUM(BU$7:BU28)-SUM(BT$7:BT28),0)</f>
        <v>-73981</v>
      </c>
      <c r="BW28" s="45">
        <f t="shared" si="28"/>
        <v>0.14615591397849462</v>
      </c>
      <c r="BY28" s="47">
        <f t="shared" si="29"/>
        <v>40838</v>
      </c>
      <c r="BZ28" s="54" t="str">
        <f t="shared" si="12"/>
        <v>sex</v>
      </c>
      <c r="CA28" s="75">
        <v>4736</v>
      </c>
      <c r="CB28" s="75">
        <v>1</v>
      </c>
      <c r="CC28" s="90">
        <f>IF(CB28&gt;0,SUM(CB$7:CB28)-SUM(CA$7:CA28),0)</f>
        <v>-2254</v>
      </c>
      <c r="CD28" s="45">
        <f t="shared" si="30"/>
        <v>2.1114864864864866E-4</v>
      </c>
    </row>
    <row r="29" spans="1:82" x14ac:dyDescent="0.25">
      <c r="A29" s="47">
        <f t="shared" si="13"/>
        <v>40839</v>
      </c>
      <c r="B29" s="54" t="s">
        <v>25</v>
      </c>
      <c r="C29" s="75"/>
      <c r="D29" s="75"/>
      <c r="E29" s="90">
        <f>IF(D29&gt;0,SUM(D$7:D29)-SUM(C$7:C29),0)</f>
        <v>0</v>
      </c>
      <c r="F29" s="45">
        <f t="shared" si="14"/>
        <v>0</v>
      </c>
      <c r="G29" s="75"/>
      <c r="H29" s="75"/>
      <c r="I29" s="75">
        <f>IF(H29&gt;0,SUM(H$7:H29)-SUM(G$7:G29),0)</f>
        <v>0</v>
      </c>
      <c r="J29" s="45">
        <f t="shared" si="33"/>
        <v>0</v>
      </c>
      <c r="K29" s="75"/>
      <c r="L29" s="75"/>
      <c r="M29" s="90">
        <f>IF(L29&gt;0,SUM(L$7:L29)-SUM(K$7:K29),0)</f>
        <v>0</v>
      </c>
      <c r="N29" s="45">
        <f t="shared" si="35"/>
        <v>0</v>
      </c>
      <c r="O29" s="35">
        <f t="shared" si="34"/>
        <v>0</v>
      </c>
      <c r="P29" s="35">
        <f t="shared" si="6"/>
        <v>0</v>
      </c>
      <c r="Q29" s="91">
        <f>IF(P29&gt;0,SUM(P$7:P29)-SUM(O$7:O29),0)</f>
        <v>0</v>
      </c>
      <c r="R29" s="45">
        <f t="shared" si="15"/>
        <v>0</v>
      </c>
      <c r="T29" s="47">
        <f t="shared" si="16"/>
        <v>40839</v>
      </c>
      <c r="U29" s="54" t="str">
        <f t="shared" si="7"/>
        <v>sáb</v>
      </c>
      <c r="V29" s="75"/>
      <c r="W29" s="75"/>
      <c r="X29" s="92">
        <f>IF(W29&gt;0,SUM(W$7:W29)-SUM(V$7:V29),0)</f>
        <v>0</v>
      </c>
      <c r="Y29" s="60">
        <f t="shared" si="17"/>
        <v>0</v>
      </c>
      <c r="Z29" s="75"/>
      <c r="AA29" s="75"/>
      <c r="AB29" s="92">
        <f>IF(AA29&gt;0,SUM(AA$7:AA29)-SUM(Z$7:Z29),0)</f>
        <v>0</v>
      </c>
      <c r="AC29" s="60">
        <f t="shared" si="18"/>
        <v>0</v>
      </c>
      <c r="AD29" s="75"/>
      <c r="AE29" s="75"/>
      <c r="AF29" s="92">
        <f>IF(AE29&gt;0,SUM(AE$7:AE29)-SUM(AD$7:AD29),0)</f>
        <v>0</v>
      </c>
      <c r="AG29" s="60">
        <f t="shared" si="19"/>
        <v>0</v>
      </c>
      <c r="AH29" s="41">
        <f t="shared" si="3"/>
        <v>0</v>
      </c>
      <c r="AI29" s="41">
        <f t="shared" si="8"/>
        <v>0</v>
      </c>
      <c r="AJ29" s="93">
        <f>IF(AI29&gt;0,SUM(AI$7:AI29)-SUM(AH$7:AH29),0)</f>
        <v>0</v>
      </c>
      <c r="AK29" s="60">
        <f t="shared" si="20"/>
        <v>0</v>
      </c>
      <c r="AM29" s="47">
        <f t="shared" si="21"/>
        <v>40839</v>
      </c>
      <c r="AN29" s="54" t="str">
        <f t="shared" si="9"/>
        <v>sáb</v>
      </c>
      <c r="AO29" s="75"/>
      <c r="AP29" s="75"/>
      <c r="AQ29" s="75">
        <f>IF(AP29&gt;0,SUM(AP$7:AP29)-SUM(AO$7:AO29),0)</f>
        <v>0</v>
      </c>
      <c r="AR29" s="45">
        <f t="shared" si="22"/>
        <v>0</v>
      </c>
      <c r="AS29" s="75"/>
      <c r="AT29" s="75"/>
      <c r="AU29" s="90">
        <f>IF(AT29&gt;0,SUM(AT$7:AT29)-SUM(AS$7:AS29),0)</f>
        <v>0</v>
      </c>
      <c r="AV29" s="45">
        <f t="shared" si="23"/>
        <v>0</v>
      </c>
      <c r="AW29" s="75"/>
      <c r="AX29" s="75"/>
      <c r="AY29" s="90">
        <f>IF(AX29&gt;0,SUM(AX$7:AX29)-SUM(AW$7:AW29),0)</f>
        <v>0</v>
      </c>
      <c r="AZ29" s="45">
        <f t="shared" si="31"/>
        <v>0</v>
      </c>
      <c r="BA29" s="35">
        <f t="shared" si="4"/>
        <v>0</v>
      </c>
      <c r="BB29" s="35">
        <f t="shared" si="10"/>
        <v>0</v>
      </c>
      <c r="BC29" s="91">
        <f>IF(BB29&gt;0,SUM(BB$7:BB29)-SUM(BA$7:BA29),0)</f>
        <v>0</v>
      </c>
      <c r="BD29" s="45">
        <f t="shared" si="24"/>
        <v>0</v>
      </c>
      <c r="BF29" s="47">
        <f t="shared" si="25"/>
        <v>40839</v>
      </c>
      <c r="BG29" s="54" t="str">
        <f t="shared" si="11"/>
        <v>sáb</v>
      </c>
      <c r="BH29" s="75"/>
      <c r="BI29" s="75"/>
      <c r="BJ29" s="75">
        <f>IF(BI29&gt;0,SUM(BI$7:BI29)-SUM(BH$7:BH29),0)</f>
        <v>0</v>
      </c>
      <c r="BK29" s="45">
        <f t="shared" si="26"/>
        <v>0</v>
      </c>
      <c r="BL29" s="75"/>
      <c r="BM29" s="75"/>
      <c r="BN29" s="90">
        <f>IF(BM29&gt;0,SUM(BM$7:BM29)-SUM(BL$7:BL29),0)</f>
        <v>0</v>
      </c>
      <c r="BO29" s="45">
        <f t="shared" si="27"/>
        <v>0</v>
      </c>
      <c r="BP29" s="75"/>
      <c r="BQ29" s="75"/>
      <c r="BR29" s="90">
        <f>IF(BQ29&gt;0,SUM(BQ$7:BQ29)-SUM(BP$7:BP29),0)</f>
        <v>0</v>
      </c>
      <c r="BS29" s="45">
        <f t="shared" si="32"/>
        <v>0</v>
      </c>
      <c r="BT29" s="35">
        <f t="shared" si="5"/>
        <v>0</v>
      </c>
      <c r="BU29" s="35">
        <f t="shared" si="5"/>
        <v>0</v>
      </c>
      <c r="BV29" s="91">
        <f>IF(BU29&gt;0,SUM(BU$7:BU29)-SUM(BT$7:BT29),0)</f>
        <v>0</v>
      </c>
      <c r="BW29" s="45">
        <f t="shared" si="28"/>
        <v>0</v>
      </c>
      <c r="BY29" s="47">
        <f t="shared" si="29"/>
        <v>40839</v>
      </c>
      <c r="BZ29" s="54" t="str">
        <f t="shared" si="12"/>
        <v>sáb</v>
      </c>
      <c r="CA29" s="75"/>
      <c r="CB29" s="75"/>
      <c r="CC29" s="90">
        <f>IF(CB29&gt;0,SUM(CB$7:CB29)-SUM(CA$7:CA29),0)</f>
        <v>0</v>
      </c>
      <c r="CD29" s="45">
        <f t="shared" si="30"/>
        <v>0</v>
      </c>
    </row>
    <row r="30" spans="1:82" x14ac:dyDescent="0.25">
      <c r="A30" s="47">
        <f t="shared" si="13"/>
        <v>40840</v>
      </c>
      <c r="B30" s="54" t="s">
        <v>26</v>
      </c>
      <c r="C30" s="75"/>
      <c r="D30" s="75"/>
      <c r="E30" s="90">
        <f>IF(D30&gt;0,SUM(D$7:D30)-SUM(C$7:C30),0)</f>
        <v>0</v>
      </c>
      <c r="F30" s="45">
        <f t="shared" si="14"/>
        <v>0</v>
      </c>
      <c r="G30" s="75"/>
      <c r="H30" s="75"/>
      <c r="I30" s="75">
        <f>IF(H30&gt;0,SUM(H$7:H30)-SUM(G$7:G30),0)</f>
        <v>0</v>
      </c>
      <c r="J30" s="45">
        <f t="shared" si="33"/>
        <v>0</v>
      </c>
      <c r="K30" s="75"/>
      <c r="L30" s="75"/>
      <c r="M30" s="90">
        <f>IF(L30&gt;0,SUM(L$7:L30)-SUM(K$7:K30),0)</f>
        <v>0</v>
      </c>
      <c r="N30" s="45">
        <f t="shared" si="35"/>
        <v>0</v>
      </c>
      <c r="O30" s="35">
        <f t="shared" si="34"/>
        <v>0</v>
      </c>
      <c r="P30" s="35">
        <f t="shared" si="6"/>
        <v>0</v>
      </c>
      <c r="Q30" s="91">
        <f>IF(P30&gt;0,SUM(P$7:P30)-SUM(O$7:O30),0)</f>
        <v>0</v>
      </c>
      <c r="R30" s="45">
        <f t="shared" si="15"/>
        <v>0</v>
      </c>
      <c r="T30" s="47">
        <f t="shared" si="16"/>
        <v>40840</v>
      </c>
      <c r="U30" s="54" t="str">
        <f t="shared" si="7"/>
        <v>dom</v>
      </c>
      <c r="V30" s="75"/>
      <c r="W30" s="75"/>
      <c r="X30" s="92">
        <f>IF(W30&gt;0,SUM(W$7:W30)-SUM(V$7:V30),0)</f>
        <v>0</v>
      </c>
      <c r="Y30" s="60">
        <f t="shared" si="17"/>
        <v>0</v>
      </c>
      <c r="Z30" s="75"/>
      <c r="AA30" s="75"/>
      <c r="AB30" s="92">
        <f>IF(AA30&gt;0,SUM(AA$7:AA30)-SUM(Z$7:Z30),0)</f>
        <v>0</v>
      </c>
      <c r="AC30" s="60">
        <f t="shared" si="18"/>
        <v>0</v>
      </c>
      <c r="AD30" s="75"/>
      <c r="AE30" s="75"/>
      <c r="AF30" s="92">
        <f>IF(AE30&gt;0,SUM(AE$7:AE30)-SUM(AD$7:AD30),0)</f>
        <v>0</v>
      </c>
      <c r="AG30" s="60">
        <f t="shared" si="19"/>
        <v>0</v>
      </c>
      <c r="AH30" s="41">
        <f t="shared" si="3"/>
        <v>0</v>
      </c>
      <c r="AI30" s="41">
        <f t="shared" si="8"/>
        <v>0</v>
      </c>
      <c r="AJ30" s="93">
        <f>IF(AI30&gt;0,SUM(AI$7:AI30)-SUM(AH$7:AH30),0)</f>
        <v>0</v>
      </c>
      <c r="AK30" s="60">
        <f t="shared" si="20"/>
        <v>0</v>
      </c>
      <c r="AM30" s="47">
        <f t="shared" si="21"/>
        <v>40840</v>
      </c>
      <c r="AN30" s="54" t="str">
        <f t="shared" si="9"/>
        <v>dom</v>
      </c>
      <c r="AO30" s="75"/>
      <c r="AP30" s="75"/>
      <c r="AQ30" s="75">
        <f>IF(AP30&gt;0,SUM(AP$7:AP30)-SUM(AO$7:AO30),0)</f>
        <v>0</v>
      </c>
      <c r="AR30" s="45">
        <f t="shared" si="22"/>
        <v>0</v>
      </c>
      <c r="AS30" s="75"/>
      <c r="AT30" s="75"/>
      <c r="AU30" s="90">
        <f>IF(AT30&gt;0,SUM(AT$7:AT30)-SUM(AS$7:AS30),0)</f>
        <v>0</v>
      </c>
      <c r="AV30" s="45">
        <f t="shared" si="23"/>
        <v>0</v>
      </c>
      <c r="AW30" s="75"/>
      <c r="AX30" s="75"/>
      <c r="AY30" s="90">
        <f>IF(AX30&gt;0,SUM(AX$7:AX30)-SUM(AW$7:AW30),0)</f>
        <v>0</v>
      </c>
      <c r="AZ30" s="45">
        <f t="shared" si="31"/>
        <v>0</v>
      </c>
      <c r="BA30" s="35">
        <f t="shared" si="4"/>
        <v>0</v>
      </c>
      <c r="BB30" s="35">
        <f t="shared" si="10"/>
        <v>0</v>
      </c>
      <c r="BC30" s="91">
        <f>IF(BB30&gt;0,SUM(BB$7:BB30)-SUM(BA$7:BA30),0)</f>
        <v>0</v>
      </c>
      <c r="BD30" s="45">
        <f t="shared" si="24"/>
        <v>0</v>
      </c>
      <c r="BF30" s="47">
        <f t="shared" si="25"/>
        <v>40840</v>
      </c>
      <c r="BG30" s="54" t="str">
        <f t="shared" si="11"/>
        <v>dom</v>
      </c>
      <c r="BH30" s="75"/>
      <c r="BI30" s="75"/>
      <c r="BJ30" s="75">
        <f>IF(BI30&gt;0,SUM(BI$7:BI30)-SUM(BH$7:BH30),0)</f>
        <v>0</v>
      </c>
      <c r="BK30" s="45">
        <f t="shared" si="26"/>
        <v>0</v>
      </c>
      <c r="BL30" s="75"/>
      <c r="BM30" s="75"/>
      <c r="BN30" s="90">
        <f>IF(BM30&gt;0,SUM(BM$7:BM30)-SUM(BL$7:BL30),0)</f>
        <v>0</v>
      </c>
      <c r="BO30" s="45">
        <f t="shared" si="27"/>
        <v>0</v>
      </c>
      <c r="BP30" s="75"/>
      <c r="BQ30" s="75"/>
      <c r="BR30" s="90">
        <f>IF(BQ30&gt;0,SUM(BQ$7:BQ30)-SUM(BP$7:BP30),0)</f>
        <v>0</v>
      </c>
      <c r="BS30" s="45">
        <f t="shared" si="32"/>
        <v>0</v>
      </c>
      <c r="BT30" s="35">
        <f t="shared" si="5"/>
        <v>0</v>
      </c>
      <c r="BU30" s="35">
        <f t="shared" si="5"/>
        <v>0</v>
      </c>
      <c r="BV30" s="91">
        <f>IF(BU30&gt;0,SUM(BU$7:BU30)-SUM(BT$7:BT30),0)</f>
        <v>0</v>
      </c>
      <c r="BW30" s="45">
        <f t="shared" si="28"/>
        <v>0</v>
      </c>
      <c r="BY30" s="47">
        <f t="shared" si="29"/>
        <v>40840</v>
      </c>
      <c r="BZ30" s="54" t="str">
        <f t="shared" si="12"/>
        <v>dom</v>
      </c>
      <c r="CA30" s="75"/>
      <c r="CB30" s="75"/>
      <c r="CC30" s="90">
        <f>IF(CB30&gt;0,SUM(CB$7:CB30)-SUM(CA$7:CA30),0)</f>
        <v>0</v>
      </c>
      <c r="CD30" s="45">
        <f t="shared" si="30"/>
        <v>0</v>
      </c>
    </row>
    <row r="31" spans="1:82" x14ac:dyDescent="0.25">
      <c r="A31" s="47">
        <f t="shared" si="13"/>
        <v>40841</v>
      </c>
      <c r="B31" s="54" t="s">
        <v>27</v>
      </c>
      <c r="C31" s="75"/>
      <c r="D31" s="75"/>
      <c r="E31" s="90">
        <f>IF(D31&gt;0,SUM(D$7:D31)-SUM(C$7:C31),0)</f>
        <v>0</v>
      </c>
      <c r="F31" s="45">
        <f t="shared" si="14"/>
        <v>0</v>
      </c>
      <c r="G31" s="75"/>
      <c r="H31" s="75"/>
      <c r="I31" s="75">
        <f>IF(H31&gt;0,SUM(H$7:H31)-SUM(G$7:G31),0)</f>
        <v>0</v>
      </c>
      <c r="J31" s="45">
        <f t="shared" si="33"/>
        <v>0</v>
      </c>
      <c r="K31" s="75"/>
      <c r="L31" s="75"/>
      <c r="M31" s="90">
        <f>IF(L31&gt;0,SUM(L$7:L31)-SUM(K$7:K31),0)</f>
        <v>0</v>
      </c>
      <c r="N31" s="45">
        <f t="shared" si="35"/>
        <v>0</v>
      </c>
      <c r="O31" s="35">
        <f t="shared" si="34"/>
        <v>0</v>
      </c>
      <c r="P31" s="35">
        <f t="shared" si="6"/>
        <v>0</v>
      </c>
      <c r="Q31" s="91">
        <f>IF(P31&gt;0,SUM(P$7:P31)-SUM(O$7:O31),0)</f>
        <v>0</v>
      </c>
      <c r="R31" s="45">
        <f t="shared" si="15"/>
        <v>0</v>
      </c>
      <c r="T31" s="47">
        <f t="shared" si="16"/>
        <v>40841</v>
      </c>
      <c r="U31" s="54" t="str">
        <f t="shared" si="7"/>
        <v>seg</v>
      </c>
      <c r="V31" s="75"/>
      <c r="W31" s="75"/>
      <c r="X31" s="92">
        <f>IF(W31&gt;0,SUM(W$7:W31)-SUM(V$7:V31),0)</f>
        <v>0</v>
      </c>
      <c r="Y31" s="60">
        <f t="shared" si="17"/>
        <v>0</v>
      </c>
      <c r="Z31" s="75"/>
      <c r="AA31" s="75"/>
      <c r="AB31" s="92">
        <f>IF(AA31&gt;0,SUM(AA$7:AA31)-SUM(Z$7:Z31),0)</f>
        <v>0</v>
      </c>
      <c r="AC31" s="60">
        <f t="shared" si="18"/>
        <v>0</v>
      </c>
      <c r="AD31" s="75"/>
      <c r="AE31" s="75"/>
      <c r="AF31" s="92">
        <f>IF(AE31&gt;0,SUM(AE$7:AE31)-SUM(AD$7:AD31),0)</f>
        <v>0</v>
      </c>
      <c r="AG31" s="60">
        <f t="shared" si="19"/>
        <v>0</v>
      </c>
      <c r="AH31" s="41">
        <f t="shared" si="3"/>
        <v>0</v>
      </c>
      <c r="AI31" s="41">
        <f t="shared" si="8"/>
        <v>0</v>
      </c>
      <c r="AJ31" s="93">
        <f>IF(AI31&gt;0,SUM(AI$7:AI31)-SUM(AH$7:AH31),0)</f>
        <v>0</v>
      </c>
      <c r="AK31" s="60">
        <f t="shared" si="20"/>
        <v>0</v>
      </c>
      <c r="AM31" s="47">
        <f t="shared" si="21"/>
        <v>40841</v>
      </c>
      <c r="AN31" s="54" t="str">
        <f t="shared" si="9"/>
        <v>seg</v>
      </c>
      <c r="AO31" s="75"/>
      <c r="AP31" s="75"/>
      <c r="AQ31" s="75">
        <f>IF(AP31&gt;0,SUM(AP$7:AP31)-SUM(AO$7:AO31),0)</f>
        <v>0</v>
      </c>
      <c r="AR31" s="45">
        <f t="shared" si="22"/>
        <v>0</v>
      </c>
      <c r="AS31" s="75"/>
      <c r="AT31" s="75"/>
      <c r="AU31" s="90">
        <f>IF(AT31&gt;0,SUM(AT$7:AT31)-SUM(AS$7:AS31),0)</f>
        <v>0</v>
      </c>
      <c r="AV31" s="45">
        <f t="shared" si="23"/>
        <v>0</v>
      </c>
      <c r="AW31" s="75"/>
      <c r="AX31" s="75"/>
      <c r="AY31" s="90">
        <f>IF(AX31&gt;0,SUM(AX$7:AX31)-SUM(AW$7:AW31),0)</f>
        <v>0</v>
      </c>
      <c r="AZ31" s="45">
        <f t="shared" si="31"/>
        <v>0</v>
      </c>
      <c r="BA31" s="35">
        <f t="shared" si="4"/>
        <v>0</v>
      </c>
      <c r="BB31" s="35">
        <f t="shared" si="10"/>
        <v>0</v>
      </c>
      <c r="BC31" s="91">
        <f>IF(BB31&gt;0,SUM(BB$7:BB31)-SUM(BA$7:BA31),0)</f>
        <v>0</v>
      </c>
      <c r="BD31" s="45">
        <f t="shared" si="24"/>
        <v>0</v>
      </c>
      <c r="BF31" s="47">
        <f t="shared" si="25"/>
        <v>40841</v>
      </c>
      <c r="BG31" s="54" t="str">
        <f t="shared" si="11"/>
        <v>seg</v>
      </c>
      <c r="BH31" s="75"/>
      <c r="BI31" s="75"/>
      <c r="BJ31" s="75">
        <f>IF(BI31&gt;0,SUM(BI$7:BI31)-SUM(BH$7:BH31),0)</f>
        <v>0</v>
      </c>
      <c r="BK31" s="45">
        <f t="shared" si="26"/>
        <v>0</v>
      </c>
      <c r="BL31" s="75"/>
      <c r="BM31" s="75"/>
      <c r="BN31" s="90">
        <f>IF(BM31&gt;0,SUM(BM$7:BM31)-SUM(BL$7:BL31),0)</f>
        <v>0</v>
      </c>
      <c r="BO31" s="45">
        <f t="shared" si="27"/>
        <v>0</v>
      </c>
      <c r="BP31" s="75"/>
      <c r="BQ31" s="75"/>
      <c r="BR31" s="90">
        <f>IF(BQ31&gt;0,SUM(BQ$7:BQ31)-SUM(BP$7:BP31),0)</f>
        <v>0</v>
      </c>
      <c r="BS31" s="45">
        <f t="shared" si="32"/>
        <v>0</v>
      </c>
      <c r="BT31" s="35">
        <f t="shared" si="5"/>
        <v>0</v>
      </c>
      <c r="BU31" s="35">
        <f t="shared" si="5"/>
        <v>0</v>
      </c>
      <c r="BV31" s="91">
        <f>IF(BU31&gt;0,SUM(BU$7:BU31)-SUM(BT$7:BT31),0)</f>
        <v>0</v>
      </c>
      <c r="BW31" s="45">
        <f t="shared" si="28"/>
        <v>0</v>
      </c>
      <c r="BY31" s="47">
        <f t="shared" si="29"/>
        <v>40841</v>
      </c>
      <c r="BZ31" s="54" t="str">
        <f t="shared" si="12"/>
        <v>seg</v>
      </c>
      <c r="CA31" s="75"/>
      <c r="CB31" s="75"/>
      <c r="CC31" s="90">
        <f>IF(CB31&gt;0,SUM(CB$7:CB31)-SUM(CA$7:CA31),0)</f>
        <v>0</v>
      </c>
      <c r="CD31" s="45">
        <f t="shared" si="30"/>
        <v>0</v>
      </c>
    </row>
    <row r="32" spans="1:82" x14ac:dyDescent="0.25">
      <c r="A32" s="47">
        <f t="shared" si="13"/>
        <v>40842</v>
      </c>
      <c r="B32" s="54" t="s">
        <v>28</v>
      </c>
      <c r="C32" s="75"/>
      <c r="D32" s="75">
        <v>53361</v>
      </c>
      <c r="E32" s="90">
        <f>IF(D32&gt;0,SUM(D$7:D32)-SUM(C$7:C32),0)</f>
        <v>15124</v>
      </c>
      <c r="F32" s="45">
        <f t="shared" si="14"/>
        <v>0</v>
      </c>
      <c r="G32" s="75"/>
      <c r="H32" s="75"/>
      <c r="I32" s="75">
        <f>IF(H32&gt;0,SUM(H$7:H32)-SUM(G$7:G32),0)</f>
        <v>0</v>
      </c>
      <c r="J32" s="45">
        <f t="shared" si="33"/>
        <v>0</v>
      </c>
      <c r="K32" s="75"/>
      <c r="L32" s="75"/>
      <c r="M32" s="90">
        <f>IF(L32&gt;0,SUM(L$7:L32)-SUM(K$7:K32),0)</f>
        <v>0</v>
      </c>
      <c r="N32" s="45">
        <f t="shared" si="35"/>
        <v>0</v>
      </c>
      <c r="O32" s="35">
        <f t="shared" si="34"/>
        <v>0</v>
      </c>
      <c r="P32" s="35">
        <f t="shared" si="6"/>
        <v>53361</v>
      </c>
      <c r="Q32" s="91">
        <f>IF(P32&gt;0,SUM(P$7:P32)-SUM(O$7:O32),0)</f>
        <v>-77786</v>
      </c>
      <c r="R32" s="45">
        <f t="shared" si="15"/>
        <v>0</v>
      </c>
      <c r="T32" s="47">
        <f t="shared" si="16"/>
        <v>40842</v>
      </c>
      <c r="U32" s="54" t="str">
        <f t="shared" si="7"/>
        <v>ter</v>
      </c>
      <c r="V32" s="75"/>
      <c r="W32" s="75">
        <v>22834</v>
      </c>
      <c r="X32" s="92">
        <f>IF(W32&gt;0,SUM(W$7:W32)-SUM(V$7:V32),0)</f>
        <v>45683</v>
      </c>
      <c r="Y32" s="60">
        <f t="shared" si="17"/>
        <v>0</v>
      </c>
      <c r="Z32" s="75"/>
      <c r="AA32" s="75"/>
      <c r="AB32" s="92">
        <f>IF(AA32&gt;0,SUM(AA$7:AA32)-SUM(Z$7:Z32),0)</f>
        <v>0</v>
      </c>
      <c r="AC32" s="60">
        <f t="shared" si="18"/>
        <v>0</v>
      </c>
      <c r="AD32" s="75"/>
      <c r="AE32" s="75"/>
      <c r="AF32" s="92">
        <f>IF(AE32&gt;0,SUM(AE$7:AE32)-SUM(AD$7:AD32),0)</f>
        <v>0</v>
      </c>
      <c r="AG32" s="60">
        <f t="shared" si="19"/>
        <v>0</v>
      </c>
      <c r="AH32" s="41">
        <f t="shared" si="3"/>
        <v>0</v>
      </c>
      <c r="AI32" s="41">
        <f t="shared" si="8"/>
        <v>22834</v>
      </c>
      <c r="AJ32" s="93">
        <f>IF(AI32&gt;0,SUM(AI$7:AI32)-SUM(AH$7:AH32),0)</f>
        <v>-38957</v>
      </c>
      <c r="AK32" s="60">
        <f t="shared" si="20"/>
        <v>0</v>
      </c>
      <c r="AM32" s="47">
        <f t="shared" si="21"/>
        <v>40842</v>
      </c>
      <c r="AN32" s="54" t="str">
        <f t="shared" si="9"/>
        <v>ter</v>
      </c>
      <c r="AO32" s="75"/>
      <c r="AP32" s="75">
        <v>7431</v>
      </c>
      <c r="AQ32" s="75">
        <f>IF(AP32&gt;0,SUM(AP$7:AP32)-SUM(AO$7:AO32),0)</f>
        <v>31711</v>
      </c>
      <c r="AR32" s="45">
        <f t="shared" si="22"/>
        <v>0</v>
      </c>
      <c r="AS32" s="75"/>
      <c r="AT32" s="75"/>
      <c r="AU32" s="90">
        <f>IF(AT32&gt;0,SUM(AT$7:AT32)-SUM(AS$7:AS32),0)</f>
        <v>0</v>
      </c>
      <c r="AV32" s="45">
        <f t="shared" si="23"/>
        <v>0</v>
      </c>
      <c r="AW32" s="75"/>
      <c r="AX32" s="75"/>
      <c r="AY32" s="90">
        <f>IF(AX32&gt;0,SUM(AX$7:AX32)-SUM(AW$7:AW32),0)</f>
        <v>0</v>
      </c>
      <c r="AZ32" s="45">
        <f t="shared" si="31"/>
        <v>0</v>
      </c>
      <c r="BA32" s="35">
        <f t="shared" si="4"/>
        <v>0</v>
      </c>
      <c r="BB32" s="35">
        <f t="shared" si="10"/>
        <v>7431</v>
      </c>
      <c r="BC32" s="91">
        <f>IF(BB32&gt;0,SUM(BB$7:BB32)-SUM(BA$7:BA32),0)</f>
        <v>-20594</v>
      </c>
      <c r="BD32" s="45">
        <f t="shared" si="24"/>
        <v>0</v>
      </c>
      <c r="BF32" s="47">
        <f t="shared" si="25"/>
        <v>40842</v>
      </c>
      <c r="BG32" s="54" t="str">
        <f t="shared" si="11"/>
        <v>ter</v>
      </c>
      <c r="BH32" s="75"/>
      <c r="BI32" s="75">
        <v>6445</v>
      </c>
      <c r="BJ32" s="75">
        <f>IF(BI32&gt;0,SUM(BI$7:BI32)-SUM(BH$7:BH32),0)</f>
        <v>-51515</v>
      </c>
      <c r="BK32" s="45">
        <f t="shared" si="26"/>
        <v>0</v>
      </c>
      <c r="BL32" s="75"/>
      <c r="BM32" s="75">
        <v>984</v>
      </c>
      <c r="BN32" s="90">
        <f>IF(BM32&gt;0,SUM(BM$7:BM32)-SUM(BL$7:BL32),0)</f>
        <v>-28591</v>
      </c>
      <c r="BO32" s="45">
        <f t="shared" si="27"/>
        <v>0</v>
      </c>
      <c r="BP32" s="75"/>
      <c r="BQ32" s="75">
        <v>10372</v>
      </c>
      <c r="BR32" s="90">
        <f>IF(BQ32&gt;0,SUM(BQ$7:BQ32)-SUM(BP$7:BP32),0)</f>
        <v>23926</v>
      </c>
      <c r="BS32" s="45">
        <f t="shared" si="32"/>
        <v>0</v>
      </c>
      <c r="BT32" s="35">
        <f t="shared" si="5"/>
        <v>0</v>
      </c>
      <c r="BU32" s="35">
        <f t="shared" si="5"/>
        <v>17801</v>
      </c>
      <c r="BV32" s="91">
        <f>IF(BU32&gt;0,SUM(BU$7:BU32)-SUM(BT$7:BT32),0)</f>
        <v>-56180</v>
      </c>
      <c r="BW32" s="45">
        <f t="shared" si="28"/>
        <v>0</v>
      </c>
      <c r="BY32" s="47">
        <f t="shared" si="29"/>
        <v>40842</v>
      </c>
      <c r="BZ32" s="54" t="str">
        <f t="shared" si="12"/>
        <v>ter</v>
      </c>
      <c r="CA32" s="75"/>
      <c r="CB32" s="75">
        <v>1</v>
      </c>
      <c r="CC32" s="90">
        <f>IF(CB32&gt;0,SUM(CB$7:CB32)-SUM(CA$7:CA32),0)</f>
        <v>-2253</v>
      </c>
      <c r="CD32" s="45">
        <f t="shared" si="30"/>
        <v>0</v>
      </c>
    </row>
    <row r="33" spans="1:82" x14ac:dyDescent="0.25">
      <c r="A33" s="47">
        <f t="shared" si="13"/>
        <v>40843</v>
      </c>
      <c r="B33" s="54" t="s">
        <v>22</v>
      </c>
      <c r="C33" s="75"/>
      <c r="D33" s="75"/>
      <c r="E33" s="90">
        <f>IF(D33&gt;0,SUM(D$7:D33)-SUM(C$7:C33),0)</f>
        <v>0</v>
      </c>
      <c r="F33" s="45">
        <f t="shared" si="14"/>
        <v>0</v>
      </c>
      <c r="G33" s="75"/>
      <c r="H33" s="75"/>
      <c r="I33" s="75">
        <f>IF(H33&gt;0,SUM(H$7:H33)-SUM(G$7:G33),0)</f>
        <v>0</v>
      </c>
      <c r="J33" s="45">
        <f t="shared" si="33"/>
        <v>0</v>
      </c>
      <c r="K33" s="75"/>
      <c r="L33" s="75"/>
      <c r="M33" s="90">
        <f>IF(L33&gt;0,SUM(L$7:L33)-SUM(K$7:K33),0)</f>
        <v>0</v>
      </c>
      <c r="N33" s="45">
        <f t="shared" si="35"/>
        <v>0</v>
      </c>
      <c r="O33" s="35">
        <f t="shared" si="34"/>
        <v>0</v>
      </c>
      <c r="P33" s="35">
        <f t="shared" si="6"/>
        <v>0</v>
      </c>
      <c r="Q33" s="91">
        <f>IF(P33&gt;0,SUM(P$7:P33)-SUM(O$7:O33),0)</f>
        <v>0</v>
      </c>
      <c r="R33" s="45">
        <f t="shared" si="15"/>
        <v>0</v>
      </c>
      <c r="T33" s="47">
        <f t="shared" si="16"/>
        <v>40843</v>
      </c>
      <c r="U33" s="54" t="str">
        <f t="shared" si="7"/>
        <v>qua</v>
      </c>
      <c r="V33" s="75"/>
      <c r="W33" s="75"/>
      <c r="X33" s="92">
        <f>IF(W33&gt;0,SUM(W$7:W33)-SUM(V$7:V33),0)</f>
        <v>0</v>
      </c>
      <c r="Y33" s="60">
        <f t="shared" si="17"/>
        <v>0</v>
      </c>
      <c r="Z33" s="75"/>
      <c r="AA33" s="75"/>
      <c r="AB33" s="92">
        <f>IF(AA33&gt;0,SUM(AA$7:AA33)-SUM(Z$7:Z33),0)</f>
        <v>0</v>
      </c>
      <c r="AC33" s="60">
        <f t="shared" si="18"/>
        <v>0</v>
      </c>
      <c r="AD33" s="75"/>
      <c r="AE33" s="75"/>
      <c r="AF33" s="92">
        <f>IF(AE33&gt;0,SUM(AE$7:AE33)-SUM(AD$7:AD33),0)</f>
        <v>0</v>
      </c>
      <c r="AG33" s="60">
        <f t="shared" si="19"/>
        <v>0</v>
      </c>
      <c r="AH33" s="41">
        <f t="shared" si="3"/>
        <v>0</v>
      </c>
      <c r="AI33" s="41">
        <f t="shared" si="8"/>
        <v>0</v>
      </c>
      <c r="AJ33" s="93">
        <f>IF(AI33&gt;0,SUM(AI$7:AI33)-SUM(AH$7:AH33),0)</f>
        <v>0</v>
      </c>
      <c r="AK33" s="60">
        <f t="shared" si="20"/>
        <v>0</v>
      </c>
      <c r="AM33" s="47">
        <f t="shared" si="21"/>
        <v>40843</v>
      </c>
      <c r="AN33" s="54" t="str">
        <f t="shared" si="9"/>
        <v>qua</v>
      </c>
      <c r="AO33" s="75"/>
      <c r="AP33" s="75"/>
      <c r="AQ33" s="75">
        <f>IF(AP33&gt;0,SUM(AP$7:AP33)-SUM(AO$7:AO33),0)</f>
        <v>0</v>
      </c>
      <c r="AR33" s="45">
        <f t="shared" si="22"/>
        <v>0</v>
      </c>
      <c r="AS33" s="75"/>
      <c r="AT33" s="75"/>
      <c r="AU33" s="90">
        <f>IF(AT33&gt;0,SUM(AT$7:AT33)-SUM(AS$7:AS33),0)</f>
        <v>0</v>
      </c>
      <c r="AV33" s="45">
        <f t="shared" si="23"/>
        <v>0</v>
      </c>
      <c r="AW33" s="75"/>
      <c r="AX33" s="75"/>
      <c r="AY33" s="90">
        <f>IF(AX33&gt;0,SUM(AX$7:AX33)-SUM(AW$7:AW33),0)</f>
        <v>0</v>
      </c>
      <c r="AZ33" s="45">
        <f t="shared" si="31"/>
        <v>0</v>
      </c>
      <c r="BA33" s="35">
        <f t="shared" si="4"/>
        <v>0</v>
      </c>
      <c r="BB33" s="35">
        <f t="shared" si="10"/>
        <v>0</v>
      </c>
      <c r="BC33" s="91">
        <f>IF(BB33&gt;0,SUM(BB$7:BB33)-SUM(BA$7:BA33),0)</f>
        <v>0</v>
      </c>
      <c r="BD33" s="45">
        <f t="shared" si="24"/>
        <v>0</v>
      </c>
      <c r="BF33" s="47">
        <f t="shared" si="25"/>
        <v>40843</v>
      </c>
      <c r="BG33" s="54" t="str">
        <f t="shared" si="11"/>
        <v>qua</v>
      </c>
      <c r="BH33" s="75"/>
      <c r="BI33" s="75"/>
      <c r="BJ33" s="75">
        <f>IF(BI33&gt;0,SUM(BI$7:BI33)-SUM(BH$7:BH33),0)</f>
        <v>0</v>
      </c>
      <c r="BK33" s="45">
        <f t="shared" si="26"/>
        <v>0</v>
      </c>
      <c r="BL33" s="75"/>
      <c r="BM33" s="75"/>
      <c r="BN33" s="90">
        <f>IF(BM33&gt;0,SUM(BM$7:BM33)-SUM(BL$7:BL33),0)</f>
        <v>0</v>
      </c>
      <c r="BO33" s="45">
        <f t="shared" si="27"/>
        <v>0</v>
      </c>
      <c r="BP33" s="75"/>
      <c r="BQ33" s="75"/>
      <c r="BR33" s="90">
        <f>IF(BQ33&gt;0,SUM(BQ$7:BQ33)-SUM(BP$7:BP33),0)</f>
        <v>0</v>
      </c>
      <c r="BS33" s="45">
        <f t="shared" si="32"/>
        <v>0</v>
      </c>
      <c r="BT33" s="35">
        <f t="shared" si="5"/>
        <v>0</v>
      </c>
      <c r="BU33" s="35">
        <f t="shared" si="5"/>
        <v>0</v>
      </c>
      <c r="BV33" s="91">
        <f>IF(BU33&gt;0,SUM(BU$7:BU33)-SUM(BT$7:BT33),0)</f>
        <v>0</v>
      </c>
      <c r="BW33" s="45">
        <f t="shared" si="28"/>
        <v>0</v>
      </c>
      <c r="BY33" s="47">
        <f t="shared" si="29"/>
        <v>40843</v>
      </c>
      <c r="BZ33" s="54" t="str">
        <f t="shared" si="12"/>
        <v>qua</v>
      </c>
      <c r="CA33" s="75"/>
      <c r="CB33" s="75"/>
      <c r="CC33" s="90">
        <f>IF(CB33&gt;0,SUM(CB$7:CB33)-SUM(CA$7:CA33),0)</f>
        <v>0</v>
      </c>
      <c r="CD33" s="45">
        <f t="shared" si="30"/>
        <v>0</v>
      </c>
    </row>
    <row r="34" spans="1:82" x14ac:dyDescent="0.25">
      <c r="A34" s="47">
        <f t="shared" si="13"/>
        <v>40844</v>
      </c>
      <c r="B34" s="54" t="s">
        <v>23</v>
      </c>
      <c r="C34" s="75"/>
      <c r="D34" s="75">
        <v>41055</v>
      </c>
      <c r="E34" s="90">
        <f>IF(D34&gt;0,SUM(D$7:D34)-SUM(C$7:C34),0)</f>
        <v>56179</v>
      </c>
      <c r="F34" s="45">
        <f t="shared" si="14"/>
        <v>0</v>
      </c>
      <c r="G34" s="75"/>
      <c r="H34" s="75"/>
      <c r="I34" s="75">
        <f>IF(H34&gt;0,SUM(H$7:H34)-SUM(G$7:G34),0)</f>
        <v>0</v>
      </c>
      <c r="J34" s="45">
        <f t="shared" si="33"/>
        <v>0</v>
      </c>
      <c r="K34" s="75"/>
      <c r="L34" s="75"/>
      <c r="M34" s="90">
        <f>IF(L34&gt;0,SUM(L$7:L34)-SUM(K$7:K34),0)</f>
        <v>0</v>
      </c>
      <c r="N34" s="45">
        <f t="shared" si="35"/>
        <v>0</v>
      </c>
      <c r="O34" s="35">
        <f t="shared" si="34"/>
        <v>0</v>
      </c>
      <c r="P34" s="35">
        <f t="shared" si="6"/>
        <v>41055</v>
      </c>
      <c r="Q34" s="91">
        <f>IF(P34&gt;0,SUM(P$7:P34)-SUM(O$7:O34),0)</f>
        <v>-36731</v>
      </c>
      <c r="R34" s="45">
        <f t="shared" si="15"/>
        <v>0</v>
      </c>
      <c r="T34" s="47">
        <f t="shared" si="16"/>
        <v>40844</v>
      </c>
      <c r="U34" s="54" t="str">
        <f t="shared" si="7"/>
        <v>qui</v>
      </c>
      <c r="V34" s="75"/>
      <c r="W34" s="75">
        <v>25052</v>
      </c>
      <c r="X34" s="92">
        <f>IF(W34&gt;0,SUM(W$7:W34)-SUM(V$7:V34),0)</f>
        <v>70735</v>
      </c>
      <c r="Y34" s="60">
        <f t="shared" si="17"/>
        <v>0</v>
      </c>
      <c r="Z34" s="75"/>
      <c r="AA34" s="75"/>
      <c r="AB34" s="92">
        <f>IF(AA34&gt;0,SUM(AA$7:AA34)-SUM(Z$7:Z34),0)</f>
        <v>0</v>
      </c>
      <c r="AC34" s="60">
        <f t="shared" si="18"/>
        <v>0</v>
      </c>
      <c r="AD34" s="75"/>
      <c r="AE34" s="75"/>
      <c r="AF34" s="92">
        <f>IF(AE34&gt;0,SUM(AE$7:AE34)-SUM(AD$7:AD34),0)</f>
        <v>0</v>
      </c>
      <c r="AG34" s="60">
        <f t="shared" si="19"/>
        <v>0</v>
      </c>
      <c r="AH34" s="41">
        <f t="shared" si="3"/>
        <v>0</v>
      </c>
      <c r="AI34" s="41">
        <f t="shared" si="8"/>
        <v>25052</v>
      </c>
      <c r="AJ34" s="93">
        <f>IF(AI34&gt;0,SUM(AI$7:AI34)-SUM(AH$7:AH34),0)</f>
        <v>-13905</v>
      </c>
      <c r="AK34" s="60">
        <f t="shared" si="20"/>
        <v>0</v>
      </c>
      <c r="AM34" s="47">
        <f t="shared" si="21"/>
        <v>40844</v>
      </c>
      <c r="AN34" s="54" t="str">
        <f t="shared" si="9"/>
        <v>qui</v>
      </c>
      <c r="AO34" s="75"/>
      <c r="AP34" s="75">
        <v>18002</v>
      </c>
      <c r="AQ34" s="75">
        <f>IF(AP34&gt;0,SUM(AP$7:AP34)-SUM(AO$7:AO34),0)</f>
        <v>49713</v>
      </c>
      <c r="AR34" s="45">
        <f t="shared" si="22"/>
        <v>0</v>
      </c>
      <c r="AS34" s="75"/>
      <c r="AT34" s="75"/>
      <c r="AU34" s="90">
        <f>IF(AT34&gt;0,SUM(AT$7:AT34)-SUM(AS$7:AS34),0)</f>
        <v>0</v>
      </c>
      <c r="AV34" s="45">
        <f t="shared" si="23"/>
        <v>0</v>
      </c>
      <c r="AW34" s="75"/>
      <c r="AX34" s="75"/>
      <c r="AY34" s="90">
        <f>IF(AX34&gt;0,SUM(AX$7:AX34)-SUM(AW$7:AW34),0)</f>
        <v>0</v>
      </c>
      <c r="AZ34" s="45">
        <f t="shared" si="31"/>
        <v>0</v>
      </c>
      <c r="BA34" s="35">
        <f t="shared" si="4"/>
        <v>0</v>
      </c>
      <c r="BB34" s="35">
        <f t="shared" si="10"/>
        <v>18002</v>
      </c>
      <c r="BC34" s="91">
        <f>IF(BB34&gt;0,SUM(BB$7:BB34)-SUM(BA$7:BA34),0)</f>
        <v>-2592</v>
      </c>
      <c r="BD34" s="45">
        <f t="shared" si="24"/>
        <v>0</v>
      </c>
      <c r="BF34" s="47">
        <f t="shared" si="25"/>
        <v>40844</v>
      </c>
      <c r="BG34" s="54" t="str">
        <f t="shared" si="11"/>
        <v>qui</v>
      </c>
      <c r="BH34" s="75"/>
      <c r="BI34" s="75">
        <v>13842</v>
      </c>
      <c r="BJ34" s="75">
        <f>IF(BI34&gt;0,SUM(BI$7:BI34)-SUM(BH$7:BH34),0)</f>
        <v>-37673</v>
      </c>
      <c r="BK34" s="45">
        <f t="shared" si="26"/>
        <v>0</v>
      </c>
      <c r="BL34" s="75"/>
      <c r="BM34" s="75">
        <v>4249</v>
      </c>
      <c r="BN34" s="90">
        <f>IF(BM34&gt;0,SUM(BM$7:BM34)-SUM(BL$7:BL34),0)</f>
        <v>-24342</v>
      </c>
      <c r="BO34" s="45">
        <f t="shared" si="27"/>
        <v>0</v>
      </c>
      <c r="BP34" s="75"/>
      <c r="BQ34" s="75">
        <v>9784</v>
      </c>
      <c r="BR34" s="90">
        <f>IF(BQ34&gt;0,SUM(BQ$7:BQ34)-SUM(BP$7:BP34),0)</f>
        <v>33710</v>
      </c>
      <c r="BS34" s="45">
        <f t="shared" si="32"/>
        <v>0</v>
      </c>
      <c r="BT34" s="35">
        <f t="shared" si="5"/>
        <v>0</v>
      </c>
      <c r="BU34" s="35">
        <f t="shared" si="5"/>
        <v>27875</v>
      </c>
      <c r="BV34" s="91">
        <f>IF(BU34&gt;0,SUM(BU$7:BU34)-SUM(BT$7:BT34),0)</f>
        <v>-28305</v>
      </c>
      <c r="BW34" s="45">
        <f t="shared" si="28"/>
        <v>0</v>
      </c>
      <c r="BY34" s="47">
        <f t="shared" si="29"/>
        <v>40844</v>
      </c>
      <c r="BZ34" s="54" t="str">
        <f t="shared" si="12"/>
        <v>qui</v>
      </c>
      <c r="CA34" s="75"/>
      <c r="CB34" s="75">
        <v>4049</v>
      </c>
      <c r="CC34" s="90">
        <f>IF(CB34&gt;0,SUM(CB$7:CB34)-SUM(CA$7:CA34),0)</f>
        <v>1796</v>
      </c>
      <c r="CD34" s="45">
        <f t="shared" si="30"/>
        <v>0</v>
      </c>
    </row>
    <row r="35" spans="1:82" x14ac:dyDescent="0.25">
      <c r="A35" s="47">
        <f t="shared" si="13"/>
        <v>40845</v>
      </c>
      <c r="B35" s="54" t="s">
        <v>24</v>
      </c>
      <c r="C35" s="75"/>
      <c r="D35" s="75">
        <v>18787</v>
      </c>
      <c r="E35" s="90">
        <f>IF(D35&gt;0,SUM(D$7:D35)-SUM(C$7:C35),0)</f>
        <v>74966</v>
      </c>
      <c r="F35" s="45">
        <f t="shared" si="14"/>
        <v>0</v>
      </c>
      <c r="G35" s="75"/>
      <c r="H35" s="75"/>
      <c r="I35" s="75">
        <f>IF(H35&gt;0,SUM(H$7:H35)-SUM(G$7:G35),0)</f>
        <v>0</v>
      </c>
      <c r="J35" s="45">
        <f t="shared" si="33"/>
        <v>0</v>
      </c>
      <c r="K35" s="75"/>
      <c r="L35" s="75"/>
      <c r="M35" s="90">
        <f>IF(L35&gt;0,SUM(L$7:L35)-SUM(K$7:K35),0)</f>
        <v>0</v>
      </c>
      <c r="N35" s="45">
        <f t="shared" si="35"/>
        <v>0</v>
      </c>
      <c r="O35" s="35">
        <f t="shared" si="34"/>
        <v>0</v>
      </c>
      <c r="P35" s="35">
        <f t="shared" si="6"/>
        <v>18787</v>
      </c>
      <c r="Q35" s="91">
        <f>IF(P35&gt;0,SUM(P$7:P35)-SUM(O$7:O35),0)</f>
        <v>-17944</v>
      </c>
      <c r="R35" s="45">
        <f t="shared" si="15"/>
        <v>0</v>
      </c>
      <c r="T35" s="47">
        <f t="shared" si="16"/>
        <v>40845</v>
      </c>
      <c r="U35" s="54" t="str">
        <f t="shared" si="7"/>
        <v>sex</v>
      </c>
      <c r="V35" s="75"/>
      <c r="W35" s="75">
        <v>21062</v>
      </c>
      <c r="X35" s="92">
        <f>IF(W35&gt;0,SUM(W$7:W35)-SUM(V$7:V35),0)</f>
        <v>91797</v>
      </c>
      <c r="Y35" s="60">
        <f t="shared" si="17"/>
        <v>0</v>
      </c>
      <c r="Z35" s="75"/>
      <c r="AA35" s="75"/>
      <c r="AB35" s="92">
        <f>IF(AA35&gt;0,SUM(AA$7:AA35)-SUM(Z$7:Z35),0)</f>
        <v>0</v>
      </c>
      <c r="AC35" s="60">
        <f t="shared" si="18"/>
        <v>0</v>
      </c>
      <c r="AD35" s="75"/>
      <c r="AE35" s="75"/>
      <c r="AF35" s="92">
        <f>IF(AE35&gt;0,SUM(AE$7:AE35)-SUM(AD$7:AD35),0)</f>
        <v>0</v>
      </c>
      <c r="AG35" s="60">
        <f t="shared" si="19"/>
        <v>0</v>
      </c>
      <c r="AH35" s="41">
        <f t="shared" si="3"/>
        <v>0</v>
      </c>
      <c r="AI35" s="41">
        <f t="shared" si="8"/>
        <v>21062</v>
      </c>
      <c r="AJ35" s="93">
        <f>IF(AI35&gt;0,SUM(AI$7:AI35)-SUM(AH$7:AH35),0)</f>
        <v>7157</v>
      </c>
      <c r="AK35" s="60">
        <f t="shared" si="20"/>
        <v>0</v>
      </c>
      <c r="AM35" s="47">
        <f t="shared" si="21"/>
        <v>40845</v>
      </c>
      <c r="AN35" s="54" t="str">
        <f t="shared" si="9"/>
        <v>sex</v>
      </c>
      <c r="AO35" s="75"/>
      <c r="AP35" s="75">
        <v>18882</v>
      </c>
      <c r="AQ35" s="75">
        <f>IF(AP35&gt;0,SUM(AP$7:AP35)-SUM(AO$7:AO35),0)</f>
        <v>68595</v>
      </c>
      <c r="AR35" s="45">
        <f t="shared" si="22"/>
        <v>0</v>
      </c>
      <c r="AS35" s="75"/>
      <c r="AT35" s="75"/>
      <c r="AU35" s="90">
        <f>IF(AT35&gt;0,SUM(AT$7:AT35)-SUM(AS$7:AS35),0)</f>
        <v>0</v>
      </c>
      <c r="AV35" s="45">
        <f t="shared" si="23"/>
        <v>0</v>
      </c>
      <c r="AW35" s="75"/>
      <c r="AX35" s="75"/>
      <c r="AY35" s="90">
        <f>IF(AX35&gt;0,SUM(AX$7:AX35)-SUM(AW$7:AW35),0)</f>
        <v>0</v>
      </c>
      <c r="AZ35" s="45">
        <f t="shared" si="31"/>
        <v>0</v>
      </c>
      <c r="BA35" s="35">
        <f t="shared" si="4"/>
        <v>0</v>
      </c>
      <c r="BB35" s="35">
        <f t="shared" si="10"/>
        <v>18882</v>
      </c>
      <c r="BC35" s="91">
        <f>IF(BB35&gt;0,SUM(BB$7:BB35)-SUM(BA$7:BA35),0)</f>
        <v>16290</v>
      </c>
      <c r="BD35" s="45">
        <f t="shared" si="24"/>
        <v>0</v>
      </c>
      <c r="BF35" s="47">
        <f t="shared" si="25"/>
        <v>40845</v>
      </c>
      <c r="BG35" s="54" t="str">
        <f t="shared" si="11"/>
        <v>sex</v>
      </c>
      <c r="BH35" s="75"/>
      <c r="BI35" s="75">
        <v>13964</v>
      </c>
      <c r="BJ35" s="75">
        <f>IF(BI35&gt;0,SUM(BI$7:BI35)-SUM(BH$7:BH35),0)</f>
        <v>-23709</v>
      </c>
      <c r="BK35" s="45">
        <f t="shared" si="26"/>
        <v>0</v>
      </c>
      <c r="BL35" s="75"/>
      <c r="BM35" s="75">
        <v>4918</v>
      </c>
      <c r="BN35" s="90">
        <f>IF(BM35&gt;0,SUM(BM$7:BM35)-SUM(BL$7:BL35),0)</f>
        <v>-19424</v>
      </c>
      <c r="BO35" s="45">
        <f t="shared" si="27"/>
        <v>0</v>
      </c>
      <c r="BP35" s="75"/>
      <c r="BQ35" s="75">
        <v>2958</v>
      </c>
      <c r="BR35" s="90">
        <f>IF(BQ35&gt;0,SUM(BQ$7:BQ35)-SUM(BP$7:BP35),0)</f>
        <v>36668</v>
      </c>
      <c r="BS35" s="45">
        <f t="shared" si="32"/>
        <v>0</v>
      </c>
      <c r="BT35" s="35">
        <f t="shared" si="5"/>
        <v>0</v>
      </c>
      <c r="BU35" s="35">
        <f t="shared" si="5"/>
        <v>21840</v>
      </c>
      <c r="BV35" s="91">
        <f>IF(BU35&gt;0,SUM(BU$7:BU35)-SUM(BT$7:BT35),0)</f>
        <v>-6465</v>
      </c>
      <c r="BW35" s="45">
        <f t="shared" si="28"/>
        <v>0</v>
      </c>
      <c r="BY35" s="47">
        <f t="shared" si="29"/>
        <v>40845</v>
      </c>
      <c r="BZ35" s="54" t="str">
        <f t="shared" si="12"/>
        <v>sex</v>
      </c>
      <c r="CA35" s="75"/>
      <c r="CB35" s="75">
        <v>5734</v>
      </c>
      <c r="CC35" s="90">
        <f>IF(CB35&gt;0,SUM(CB$7:CB35)-SUM(CA$7:CA35),0)</f>
        <v>7530</v>
      </c>
      <c r="CD35" s="45">
        <f t="shared" si="30"/>
        <v>0</v>
      </c>
    </row>
    <row r="36" spans="1:82" x14ac:dyDescent="0.25">
      <c r="A36" s="47">
        <f t="shared" si="13"/>
        <v>40846</v>
      </c>
      <c r="B36" s="54" t="s">
        <v>25</v>
      </c>
      <c r="C36" s="75"/>
      <c r="D36" s="75"/>
      <c r="E36" s="90">
        <f>IF(D36&gt;0,SUM(D$7:D36)-SUM(C$7:C36),0)</f>
        <v>0</v>
      </c>
      <c r="F36" s="45">
        <f t="shared" si="14"/>
        <v>0</v>
      </c>
      <c r="G36" s="75"/>
      <c r="H36" s="75"/>
      <c r="I36" s="75">
        <f>IF(H36&gt;0,SUM(H$7:H36)-SUM(G$7:G36),0)</f>
        <v>0</v>
      </c>
      <c r="J36" s="45">
        <f t="shared" si="33"/>
        <v>0</v>
      </c>
      <c r="K36" s="75"/>
      <c r="L36" s="75"/>
      <c r="M36" s="90">
        <f>IF(L36&gt;0,SUM(L$7:L36)-SUM(K$7:K36),0)</f>
        <v>0</v>
      </c>
      <c r="N36" s="45">
        <f t="shared" si="35"/>
        <v>0</v>
      </c>
      <c r="O36" s="35">
        <f t="shared" si="34"/>
        <v>0</v>
      </c>
      <c r="P36" s="35">
        <f t="shared" si="6"/>
        <v>0</v>
      </c>
      <c r="Q36" s="91">
        <f>IF(P36&gt;0,SUM(P$7:P36)-SUM(O$7:O36),0)</f>
        <v>0</v>
      </c>
      <c r="R36" s="45">
        <f t="shared" si="15"/>
        <v>0</v>
      </c>
      <c r="T36" s="47">
        <f t="shared" si="16"/>
        <v>40846</v>
      </c>
      <c r="U36" s="54" t="str">
        <f t="shared" si="7"/>
        <v>sáb</v>
      </c>
      <c r="V36" s="75"/>
      <c r="W36" s="75"/>
      <c r="X36" s="92">
        <f>IF(W36&gt;0,SUM(W$7:W36)-SUM(V$7:V36),0)</f>
        <v>0</v>
      </c>
      <c r="Y36" s="60">
        <f t="shared" si="17"/>
        <v>0</v>
      </c>
      <c r="Z36" s="75"/>
      <c r="AA36" s="75"/>
      <c r="AB36" s="92">
        <f>IF(AA36&gt;0,SUM(AA$7:AA36)-SUM(Z$7:Z36),0)</f>
        <v>0</v>
      </c>
      <c r="AC36" s="60">
        <f t="shared" si="18"/>
        <v>0</v>
      </c>
      <c r="AD36" s="75"/>
      <c r="AE36" s="75"/>
      <c r="AF36" s="92">
        <f>IF(AE36&gt;0,SUM(AE$7:AE36)-SUM(AD$7:AD36),0)</f>
        <v>0</v>
      </c>
      <c r="AG36" s="60">
        <f t="shared" si="19"/>
        <v>0</v>
      </c>
      <c r="AH36" s="41">
        <f t="shared" si="3"/>
        <v>0</v>
      </c>
      <c r="AI36" s="41">
        <f t="shared" si="8"/>
        <v>0</v>
      </c>
      <c r="AJ36" s="93">
        <f>IF(AI36&gt;0,SUM(AI$7:AI36)-SUM(AH$7:AH36),0)</f>
        <v>0</v>
      </c>
      <c r="AK36" s="60">
        <f t="shared" si="20"/>
        <v>0</v>
      </c>
      <c r="AM36" s="47">
        <f t="shared" si="21"/>
        <v>40846</v>
      </c>
      <c r="AN36" s="54" t="str">
        <f t="shared" si="9"/>
        <v>sáb</v>
      </c>
      <c r="AO36" s="75"/>
      <c r="AP36" s="75"/>
      <c r="AQ36" s="75">
        <f>IF(AP36&gt;0,SUM(AP$7:AP36)-SUM(AO$7:AO36),0)</f>
        <v>0</v>
      </c>
      <c r="AR36" s="45">
        <f t="shared" si="22"/>
        <v>0</v>
      </c>
      <c r="AS36" s="75"/>
      <c r="AT36" s="75"/>
      <c r="AU36" s="90">
        <f>IF(AT36&gt;0,SUM(AT$7:AT36)-SUM(AS$7:AS36),0)</f>
        <v>0</v>
      </c>
      <c r="AV36" s="45">
        <f t="shared" si="23"/>
        <v>0</v>
      </c>
      <c r="AW36" s="75"/>
      <c r="AX36" s="75"/>
      <c r="AY36" s="90">
        <f>IF(AX36&gt;0,SUM(AX$7:AX36)-SUM(AW$7:AW36),0)</f>
        <v>0</v>
      </c>
      <c r="AZ36" s="45">
        <f t="shared" si="31"/>
        <v>0</v>
      </c>
      <c r="BA36" s="35">
        <f t="shared" si="4"/>
        <v>0</v>
      </c>
      <c r="BB36" s="35">
        <f t="shared" si="10"/>
        <v>0</v>
      </c>
      <c r="BC36" s="91">
        <f>IF(BB36&gt;0,SUM(BB$7:BB36)-SUM(BA$7:BA36),0)</f>
        <v>0</v>
      </c>
      <c r="BD36" s="45">
        <f t="shared" si="24"/>
        <v>0</v>
      </c>
      <c r="BF36" s="47">
        <f t="shared" si="25"/>
        <v>40846</v>
      </c>
      <c r="BG36" s="54" t="str">
        <f t="shared" si="11"/>
        <v>sáb</v>
      </c>
      <c r="BH36" s="75"/>
      <c r="BI36" s="75"/>
      <c r="BJ36" s="75">
        <f>IF(BI36&gt;0,SUM(BI$7:BI36)-SUM(BH$7:BH36),0)</f>
        <v>0</v>
      </c>
      <c r="BK36" s="45">
        <f t="shared" si="26"/>
        <v>0</v>
      </c>
      <c r="BL36" s="75"/>
      <c r="BM36" s="75"/>
      <c r="BN36" s="90">
        <f>IF(BM36&gt;0,SUM(BM$7:BM36)-SUM(BL$7:BL36),0)</f>
        <v>0</v>
      </c>
      <c r="BO36" s="45">
        <f t="shared" si="27"/>
        <v>0</v>
      </c>
      <c r="BP36" s="75"/>
      <c r="BQ36" s="75"/>
      <c r="BR36" s="90">
        <f>IF(BQ36&gt;0,SUM(BQ$7:BQ36)-SUM(BP$7:BP36),0)</f>
        <v>0</v>
      </c>
      <c r="BS36" s="45">
        <f t="shared" si="32"/>
        <v>0</v>
      </c>
      <c r="BT36" s="35">
        <f t="shared" si="5"/>
        <v>0</v>
      </c>
      <c r="BU36" s="35">
        <f t="shared" si="5"/>
        <v>0</v>
      </c>
      <c r="BV36" s="91">
        <f>IF(BU36&gt;0,SUM(BU$7:BU36)-SUM(BT$7:BT36),0)</f>
        <v>0</v>
      </c>
      <c r="BW36" s="45">
        <f t="shared" si="28"/>
        <v>0</v>
      </c>
      <c r="BY36" s="47">
        <f t="shared" si="29"/>
        <v>40846</v>
      </c>
      <c r="BZ36" s="54" t="str">
        <f t="shared" si="12"/>
        <v>sáb</v>
      </c>
      <c r="CA36" s="75"/>
      <c r="CB36" s="75"/>
      <c r="CC36" s="90">
        <f>IF(CB36&gt;0,SUM(CB$7:CB36)-SUM(CA$7:CA36),0)</f>
        <v>0</v>
      </c>
      <c r="CD36" s="45">
        <f t="shared" si="30"/>
        <v>0</v>
      </c>
    </row>
    <row r="37" spans="1:82" x14ac:dyDescent="0.25">
      <c r="A37" s="47">
        <v>31</v>
      </c>
      <c r="B37" s="54" t="s">
        <v>26</v>
      </c>
      <c r="C37" s="75"/>
      <c r="D37" s="75"/>
      <c r="E37" s="90">
        <f>IF(D37&gt;0,SUM(D$7:D37)-SUM(C$7:C37),0)</f>
        <v>0</v>
      </c>
      <c r="F37" s="45">
        <f t="shared" si="14"/>
        <v>0</v>
      </c>
      <c r="G37" s="75"/>
      <c r="H37" s="75"/>
      <c r="I37" s="75">
        <f>IF(H37&gt;0,SUM(H$7:H37)-SUM(G$7:G37),0)</f>
        <v>0</v>
      </c>
      <c r="J37" s="45">
        <f>IF(H37&gt;0,IF(G37&gt;0,H37/G37,0),0)</f>
        <v>0</v>
      </c>
      <c r="K37" s="75"/>
      <c r="L37" s="75"/>
      <c r="M37" s="90">
        <f>IF(L37&gt;0,SUM(L$7:L37)-SUM(K$7:K37),0)</f>
        <v>0</v>
      </c>
      <c r="N37" s="45">
        <f t="shared" si="35"/>
        <v>0</v>
      </c>
      <c r="O37" s="35">
        <f>IF(SUM(C37,G37,K37)&gt;0,SUM(C37,G37,K37),0)</f>
        <v>0</v>
      </c>
      <c r="P37" s="35">
        <f t="shared" si="6"/>
        <v>0</v>
      </c>
      <c r="Q37" s="91">
        <f>IF(P37&gt;0,SUM(P$7:P37)-SUM(O$7:O37),0)</f>
        <v>0</v>
      </c>
      <c r="R37" s="45">
        <f t="shared" si="15"/>
        <v>0</v>
      </c>
      <c r="T37" s="47">
        <v>31</v>
      </c>
      <c r="U37" s="54" t="str">
        <f t="shared" si="7"/>
        <v>dom</v>
      </c>
      <c r="V37" s="75"/>
      <c r="W37" s="75"/>
      <c r="X37" s="92">
        <f>IF(W37&gt;0,SUM(W$7:W37)-SUM(V$7:V37),0)</f>
        <v>0</v>
      </c>
      <c r="Y37" s="60">
        <f t="shared" si="17"/>
        <v>0</v>
      </c>
      <c r="Z37" s="75"/>
      <c r="AA37" s="75"/>
      <c r="AB37" s="92">
        <f>IF(AA37&gt;0,SUM(AA$7:AA37)-SUM(Z$7:Z37),0)</f>
        <v>0</v>
      </c>
      <c r="AC37" s="60">
        <f t="shared" si="18"/>
        <v>0</v>
      </c>
      <c r="AD37" s="75"/>
      <c r="AE37" s="75"/>
      <c r="AF37" s="92">
        <f>IF(AE37&gt;0,SUM(AE$7:AE37)-SUM(AD$7:AD37),0)</f>
        <v>0</v>
      </c>
      <c r="AG37" s="60">
        <f t="shared" si="19"/>
        <v>0</v>
      </c>
      <c r="AH37" s="41">
        <f t="shared" si="3"/>
        <v>0</v>
      </c>
      <c r="AI37" s="41">
        <f t="shared" si="8"/>
        <v>0</v>
      </c>
      <c r="AJ37" s="93">
        <f>IF(AI37&gt;0,SUM(AI$7:AI37)-SUM(AH$7:AH37),0)</f>
        <v>0</v>
      </c>
      <c r="AK37" s="60">
        <f t="shared" si="20"/>
        <v>0</v>
      </c>
      <c r="AM37" s="47">
        <v>31</v>
      </c>
      <c r="AN37" s="54" t="str">
        <f t="shared" si="9"/>
        <v>dom</v>
      </c>
      <c r="AO37" s="75"/>
      <c r="AP37" s="75"/>
      <c r="AQ37" s="75">
        <f>IF(AP37&gt;0,SUM(AP$7:AP37)-SUM(AO$7:AO37),0)</f>
        <v>0</v>
      </c>
      <c r="AR37" s="45">
        <f t="shared" si="22"/>
        <v>0</v>
      </c>
      <c r="AS37" s="75"/>
      <c r="AT37" s="75"/>
      <c r="AU37" s="90">
        <f>IF(AT37&gt;0,SUM(AT$7:AT37)-SUM(AS$7:AS37),0)</f>
        <v>0</v>
      </c>
      <c r="AV37" s="45">
        <f t="shared" si="23"/>
        <v>0</v>
      </c>
      <c r="AW37" s="75"/>
      <c r="AX37" s="75"/>
      <c r="AY37" s="90">
        <f>IF(AX37&gt;0,SUM(AX$7:AX37)-SUM(AW$7:AW37),0)</f>
        <v>0</v>
      </c>
      <c r="AZ37" s="45">
        <f t="shared" si="31"/>
        <v>0</v>
      </c>
      <c r="BA37" s="35">
        <f t="shared" si="4"/>
        <v>0</v>
      </c>
      <c r="BB37" s="35">
        <f t="shared" si="10"/>
        <v>0</v>
      </c>
      <c r="BC37" s="91">
        <f>IF(BB37&gt;0,SUM(BB$7:BB37)-SUM(BA$7:BA37),0)</f>
        <v>0</v>
      </c>
      <c r="BD37" s="45">
        <f t="shared" si="24"/>
        <v>0</v>
      </c>
      <c r="BF37" s="47">
        <v>31</v>
      </c>
      <c r="BG37" s="54" t="str">
        <f t="shared" si="11"/>
        <v>dom</v>
      </c>
      <c r="BH37" s="75"/>
      <c r="BI37" s="75"/>
      <c r="BJ37" s="75">
        <f>IF(BI37&gt;0,SUM(BI$7:BI37)-SUM(BH$7:BH37),0)</f>
        <v>0</v>
      </c>
      <c r="BK37" s="45">
        <f t="shared" si="26"/>
        <v>0</v>
      </c>
      <c r="BL37" s="75"/>
      <c r="BM37" s="75"/>
      <c r="BN37" s="90">
        <f>IF(BM37&gt;0,SUM(BM$7:BM37)-SUM(BL$7:BL37),0)</f>
        <v>0</v>
      </c>
      <c r="BO37" s="45">
        <f t="shared" si="27"/>
        <v>0</v>
      </c>
      <c r="BP37" s="75"/>
      <c r="BQ37" s="75"/>
      <c r="BR37" s="90">
        <f>IF(BQ37&gt;0,SUM(BQ$7:BQ37)-SUM(BP$7:BP37),0)</f>
        <v>0</v>
      </c>
      <c r="BS37" s="45">
        <f t="shared" si="32"/>
        <v>0</v>
      </c>
      <c r="BT37" s="35">
        <f t="shared" si="5"/>
        <v>0</v>
      </c>
      <c r="BU37" s="35">
        <f t="shared" si="5"/>
        <v>0</v>
      </c>
      <c r="BV37" s="91">
        <f>IF(BU37&gt;0,SUM(BU$7:BU37)-SUM(BT$7:BT37),0)</f>
        <v>0</v>
      </c>
      <c r="BW37" s="45">
        <f t="shared" si="28"/>
        <v>0</v>
      </c>
      <c r="BY37" s="47">
        <v>31</v>
      </c>
      <c r="BZ37" s="54" t="str">
        <f t="shared" si="12"/>
        <v>dom</v>
      </c>
      <c r="CA37" s="75"/>
      <c r="CB37" s="75"/>
      <c r="CC37" s="90">
        <f>IF(CB37&gt;0,SUM(CB$7:CB37)-SUM(CA$7:CA37),0)</f>
        <v>0</v>
      </c>
      <c r="CD37" s="45">
        <f t="shared" si="30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245100</v>
      </c>
      <c r="D38" s="78">
        <f>SUM(D7:D37)</f>
        <v>320066</v>
      </c>
      <c r="E38" s="78">
        <f>D38-C38</f>
        <v>74966</v>
      </c>
      <c r="F38" s="53">
        <f t="shared" si="14"/>
        <v>1.305858833129335</v>
      </c>
      <c r="G38" s="78">
        <f>SUM(G7:G37)</f>
        <v>245100</v>
      </c>
      <c r="H38" s="78">
        <f>SUM(H7:H37)</f>
        <v>200687</v>
      </c>
      <c r="I38" s="78">
        <f>H38-G38</f>
        <v>-44413</v>
      </c>
      <c r="J38" s="53">
        <f>IF(H38&gt;0,IF(G38&gt;0,H38/G38,0),0)</f>
        <v>0.81879640962872302</v>
      </c>
      <c r="K38" s="78">
        <f>SUM(K7:K37)</f>
        <v>245100</v>
      </c>
      <c r="L38" s="78">
        <f>SUM(L7:L37)</f>
        <v>196603</v>
      </c>
      <c r="M38" s="78">
        <f>L38-K38</f>
        <v>-48497</v>
      </c>
      <c r="N38" s="45">
        <f t="shared" si="35"/>
        <v>0.8021338229294166</v>
      </c>
      <c r="O38" s="58">
        <f>IF(SUM(C38,G38,K38)&gt;0,SUM(C38,G38,K38),0)</f>
        <v>735300</v>
      </c>
      <c r="P38" s="58">
        <f>IF(SUM(D38,H38,L38)&gt;0,SUM(D38,H38,L38),0)</f>
        <v>717356</v>
      </c>
      <c r="Q38" s="58">
        <f>P38-O38</f>
        <v>-17944</v>
      </c>
      <c r="R38" s="53">
        <f t="shared" si="15"/>
        <v>0.97559635522915822</v>
      </c>
      <c r="T38" s="46" t="s">
        <v>17</v>
      </c>
      <c r="U38" s="63"/>
      <c r="V38" s="79">
        <f>SUM(V7:V37)</f>
        <v>234460</v>
      </c>
      <c r="W38" s="79">
        <f>SUM(W7:W37)</f>
        <v>326257</v>
      </c>
      <c r="X38" s="79">
        <f>W38-V38</f>
        <v>91797</v>
      </c>
      <c r="Y38" s="61">
        <f t="shared" si="17"/>
        <v>1.3915252068583128</v>
      </c>
      <c r="Z38" s="79">
        <f>SUM(Z7:Z37)</f>
        <v>234460</v>
      </c>
      <c r="AA38" s="79">
        <f>SUM(AA7:AA37)</f>
        <v>165970</v>
      </c>
      <c r="AB38" s="79">
        <f>AA38-Z38</f>
        <v>-68490</v>
      </c>
      <c r="AC38" s="61">
        <f t="shared" si="18"/>
        <v>0.70788194148255568</v>
      </c>
      <c r="AD38" s="79">
        <f>SUM(AD7:AD37)</f>
        <v>234460</v>
      </c>
      <c r="AE38" s="79">
        <f>SUM(AE7:AE37)</f>
        <v>218310</v>
      </c>
      <c r="AF38" s="79">
        <f>AE38-AD38</f>
        <v>-16150</v>
      </c>
      <c r="AG38" s="61">
        <f t="shared" si="19"/>
        <v>0.93111831442463533</v>
      </c>
      <c r="AH38" s="62">
        <f t="shared" si="3"/>
        <v>703380</v>
      </c>
      <c r="AI38" s="62">
        <f t="shared" si="3"/>
        <v>710537</v>
      </c>
      <c r="AJ38" s="62">
        <f>AI38-AH38</f>
        <v>7157</v>
      </c>
      <c r="AK38" s="61">
        <f>IF(AI38&gt;0,IF(AH38&gt;0,AI38/AH38,0),0)</f>
        <v>1.0101751542551678</v>
      </c>
      <c r="AM38" s="46" t="s">
        <v>17</v>
      </c>
      <c r="AN38" s="63"/>
      <c r="AO38" s="78">
        <f>SUM(AO7:AO37)</f>
        <v>146300</v>
      </c>
      <c r="AP38" s="78">
        <f>SUM(AP7:AP37)</f>
        <v>214895</v>
      </c>
      <c r="AQ38" s="78">
        <f>AP38-AO38</f>
        <v>68595</v>
      </c>
      <c r="AR38" s="53">
        <f t="shared" si="22"/>
        <v>1.4688653451811347</v>
      </c>
      <c r="AS38" s="78">
        <f>SUM(AS7:AS37)</f>
        <v>146300</v>
      </c>
      <c r="AT38" s="95">
        <f>SUM(AT7:AT37)</f>
        <v>147533</v>
      </c>
      <c r="AU38" s="90">
        <f>IF(AT38&gt;0,SUM(AT$7:AT38)-SUM(AS$7:AS38),0)</f>
        <v>2466</v>
      </c>
      <c r="AV38" s="96">
        <f t="shared" si="23"/>
        <v>1.008427887901572</v>
      </c>
      <c r="AW38" s="78">
        <f>SUM(AW7:AW37)</f>
        <v>146300</v>
      </c>
      <c r="AX38" s="78">
        <f>SUM(AX7:AX37)</f>
        <v>92762</v>
      </c>
      <c r="AY38" s="78">
        <f>AX38-AW38</f>
        <v>-53538</v>
      </c>
      <c r="AZ38" s="53">
        <f t="shared" si="31"/>
        <v>0.63405331510594665</v>
      </c>
      <c r="BA38" s="58">
        <f t="shared" si="4"/>
        <v>438900</v>
      </c>
      <c r="BB38" s="58">
        <f>IF(SUM(AP38,AT38,AX38)&gt;0,SUM(AP38,AT38,AX38),0)</f>
        <v>455190</v>
      </c>
      <c r="BC38" s="58">
        <f>BB38-BA38</f>
        <v>16290</v>
      </c>
      <c r="BD38" s="53">
        <f t="shared" si="24"/>
        <v>1.0371155160628844</v>
      </c>
      <c r="BF38" s="46" t="s">
        <v>17</v>
      </c>
      <c r="BG38" s="63"/>
      <c r="BH38" s="75">
        <f>SUM(BH7:BH37)</f>
        <v>345800</v>
      </c>
      <c r="BI38" s="78">
        <f>SUM(BI7:BI37)</f>
        <v>322091</v>
      </c>
      <c r="BJ38" s="78">
        <f>BI38-BH38</f>
        <v>-23709</v>
      </c>
      <c r="BK38" s="53">
        <f t="shared" si="26"/>
        <v>0.93143724696356278</v>
      </c>
      <c r="BL38" s="78">
        <f>SUM(BL7:BL37)</f>
        <v>152000</v>
      </c>
      <c r="BM38" s="78">
        <f>SUM(BM7:BM37)</f>
        <v>132576</v>
      </c>
      <c r="BN38" s="78">
        <f>BM38-BL38</f>
        <v>-19424</v>
      </c>
      <c r="BO38" s="53">
        <f t="shared" si="27"/>
        <v>0.87221052631578944</v>
      </c>
      <c r="BP38" s="78">
        <f>SUM(BP7:BP37)</f>
        <v>209000</v>
      </c>
      <c r="BQ38" s="78">
        <f>SUM(BQ7:BQ37)</f>
        <v>245668</v>
      </c>
      <c r="BR38" s="78">
        <f>BQ38-BP38</f>
        <v>36668</v>
      </c>
      <c r="BS38" s="53">
        <f t="shared" si="32"/>
        <v>1.1754449760765551</v>
      </c>
      <c r="BT38" s="58">
        <f t="shared" si="5"/>
        <v>706800</v>
      </c>
      <c r="BU38" s="58">
        <f t="shared" si="5"/>
        <v>700335</v>
      </c>
      <c r="BV38" s="58">
        <f>BU38-BT38</f>
        <v>-6465</v>
      </c>
      <c r="BW38" s="53">
        <f t="shared" si="28"/>
        <v>0.9908531409168081</v>
      </c>
      <c r="BY38" s="46" t="s">
        <v>17</v>
      </c>
      <c r="BZ38" s="63"/>
      <c r="CA38" s="78">
        <f>SUM(CA7:CA37)</f>
        <v>89984</v>
      </c>
      <c r="CB38" s="78">
        <f>SUM(CB7:CB37)</f>
        <v>97514</v>
      </c>
      <c r="CC38" s="90">
        <f>CB38-CA38</f>
        <v>7530</v>
      </c>
      <c r="CD38" s="53">
        <f t="shared" si="30"/>
        <v>1.0836815433854907</v>
      </c>
    </row>
    <row r="39" spans="1:82" x14ac:dyDescent="0.25">
      <c r="O39" s="97">
        <f>SUM(O38/0.7)</f>
        <v>1050428.5714285716</v>
      </c>
      <c r="P39" s="97">
        <f>SUM(P38/0.7)</f>
        <v>1024794.2857142858</v>
      </c>
      <c r="AH39" s="97">
        <f>SUM(AH38/0.74)</f>
        <v>950513.51351351349</v>
      </c>
      <c r="AI39" s="97">
        <f>SUM(AI38/0.7)</f>
        <v>1015052.8571428572</v>
      </c>
      <c r="AU39" s="94"/>
      <c r="BA39" s="97">
        <f>SUM(BA38/0.7)</f>
        <v>627000</v>
      </c>
      <c r="BB39" s="97">
        <f>SUM(BB38/0.7)</f>
        <v>650271.42857142864</v>
      </c>
      <c r="BT39" s="97">
        <f>SUM(BT38/0.74)</f>
        <v>955135.13513513515</v>
      </c>
      <c r="BU39" s="97">
        <f>SUM(BU38/0.7)</f>
        <v>1000478.5714285715</v>
      </c>
      <c r="CA39" s="97">
        <f>SUM(CA38/0.74)</f>
        <v>121600</v>
      </c>
      <c r="CB39" s="97">
        <f>SUM(CB38/0.7)</f>
        <v>139305.71428571429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</mergeCells>
  <conditionalFormatting sqref="D8">
    <cfRule type="top10" dxfId="1100" priority="2077" rank="1"/>
  </conditionalFormatting>
  <conditionalFormatting sqref="D7:E37">
    <cfRule type="top10" dxfId="1099" priority="2120" rank="1"/>
  </conditionalFormatting>
  <conditionalFormatting sqref="H7:H37">
    <cfRule type="top10" dxfId="1098" priority="2119" rank="1"/>
  </conditionalFormatting>
  <conditionalFormatting sqref="H8">
    <cfRule type="top10" dxfId="1097" priority="2076" rank="1"/>
  </conditionalFormatting>
  <conditionalFormatting sqref="H16">
    <cfRule type="top10" dxfId="1096" priority="2117" rank="1"/>
  </conditionalFormatting>
  <conditionalFormatting sqref="H32">
    <cfRule type="top10" dxfId="1095" priority="1907" rank="1"/>
  </conditionalFormatting>
  <conditionalFormatting sqref="L7:L37">
    <cfRule type="top10" dxfId="1094" priority="1972" rank="1"/>
  </conditionalFormatting>
  <conditionalFormatting sqref="L8">
    <cfRule type="top10" dxfId="1093" priority="1971" rank="1"/>
  </conditionalFormatting>
  <conditionalFormatting sqref="P7:Q37">
    <cfRule type="top10" dxfId="1092" priority="2118" rank="1"/>
  </conditionalFormatting>
  <conditionalFormatting sqref="W7:W37">
    <cfRule type="top10" dxfId="1091" priority="1970" rank="1"/>
  </conditionalFormatting>
  <conditionalFormatting sqref="W8">
    <cfRule type="top10" dxfId="1090" priority="1969" rank="1"/>
  </conditionalFormatting>
  <conditionalFormatting sqref="X7:X37">
    <cfRule type="top10" dxfId="1089" priority="2116" rank="1"/>
  </conditionalFormatting>
  <conditionalFormatting sqref="AA7:AA23 AA25:AA37">
    <cfRule type="top10" dxfId="1088" priority="1968" rank="1"/>
  </conditionalFormatting>
  <conditionalFormatting sqref="AA8">
    <cfRule type="top10" dxfId="1087" priority="1967" rank="1"/>
  </conditionalFormatting>
  <conditionalFormatting sqref="AA24">
    <cfRule type="top10" dxfId="1086" priority="1950" rank="1"/>
  </conditionalFormatting>
  <conditionalFormatting sqref="AE7:AE37">
    <cfRule type="top10" dxfId="1085" priority="1952" rank="1"/>
  </conditionalFormatting>
  <conditionalFormatting sqref="AE8">
    <cfRule type="top10" dxfId="1084" priority="1951" rank="1"/>
  </conditionalFormatting>
  <conditionalFormatting sqref="AI7:AJ37">
    <cfRule type="top10" dxfId="1083" priority="2115" rank="1"/>
  </conditionalFormatting>
  <conditionalFormatting sqref="AP7:AP37">
    <cfRule type="top10" dxfId="1082" priority="1958" rank="1"/>
  </conditionalFormatting>
  <conditionalFormatting sqref="AP8">
    <cfRule type="top10" dxfId="1081" priority="1957" rank="1"/>
  </conditionalFormatting>
  <conditionalFormatting sqref="AQ7:AQ37">
    <cfRule type="top10" dxfId="1080" priority="2114" rank="1"/>
  </conditionalFormatting>
  <conditionalFormatting sqref="AT7:AT37">
    <cfRule type="top10" dxfId="1079" priority="1956" rank="1"/>
  </conditionalFormatting>
  <conditionalFormatting sqref="AT8">
    <cfRule type="top10" dxfId="1078" priority="1955" rank="1"/>
  </conditionalFormatting>
  <conditionalFormatting sqref="AX7:AX37">
    <cfRule type="top10" dxfId="1077" priority="1954" rank="1"/>
  </conditionalFormatting>
  <conditionalFormatting sqref="AX8">
    <cfRule type="top10" dxfId="1076" priority="1953" rank="1"/>
  </conditionalFormatting>
  <conditionalFormatting sqref="BB7:BC37">
    <cfRule type="top10" dxfId="1075" priority="2113" rank="1"/>
  </conditionalFormatting>
  <conditionalFormatting sqref="BH7:BH38">
    <cfRule type="top10" dxfId="1074" priority="2110" rank="1"/>
  </conditionalFormatting>
  <conditionalFormatting sqref="BI7:BI37">
    <cfRule type="top10" dxfId="1073" priority="1966" rank="1"/>
  </conditionalFormatting>
  <conditionalFormatting sqref="BI8">
    <cfRule type="top10" dxfId="1072" priority="1965" rank="1"/>
  </conditionalFormatting>
  <conditionalFormatting sqref="BJ7:BJ37">
    <cfRule type="top10" dxfId="1071" priority="2112" rank="1"/>
  </conditionalFormatting>
  <conditionalFormatting sqref="BL10">
    <cfRule type="top10" dxfId="1070" priority="1615" rank="1"/>
  </conditionalFormatting>
  <conditionalFormatting sqref="BL11:BL17">
    <cfRule type="top10" dxfId="1069" priority="2075" rank="1"/>
  </conditionalFormatting>
  <conditionalFormatting sqref="BL12:BL17">
    <cfRule type="top10" dxfId="1068" priority="2101" rank="1"/>
  </conditionalFormatting>
  <conditionalFormatting sqref="BL13:BL17">
    <cfRule type="top10" dxfId="1067" priority="2070" rank="1"/>
  </conditionalFormatting>
  <conditionalFormatting sqref="BL14">
    <cfRule type="top10" dxfId="1066" priority="2090" rank="1"/>
  </conditionalFormatting>
  <conditionalFormatting sqref="BL14:BL17">
    <cfRule type="top10" dxfId="1065" priority="2081" rank="1"/>
  </conditionalFormatting>
  <conditionalFormatting sqref="BL16:BL26">
    <cfRule type="top10" dxfId="1064" priority="2097" rank="1"/>
  </conditionalFormatting>
  <conditionalFormatting sqref="BL17">
    <cfRule type="top10" dxfId="1063" priority="1614" rank="1"/>
  </conditionalFormatting>
  <conditionalFormatting sqref="BL17:BL26">
    <cfRule type="top10" dxfId="1062" priority="2064" rank="1"/>
  </conditionalFormatting>
  <conditionalFormatting sqref="BL18">
    <cfRule type="top10" dxfId="1061" priority="1990" rank="1"/>
    <cfRule type="top10" dxfId="1060" priority="1989" rank="1"/>
  </conditionalFormatting>
  <conditionalFormatting sqref="BL18:BL19">
    <cfRule type="top10" dxfId="1059" priority="1932" rank="1"/>
    <cfRule type="top10" dxfId="1058" priority="1929" rank="1"/>
    <cfRule type="top10" dxfId="1057" priority="1930" rank="1"/>
    <cfRule type="top10" dxfId="1056" priority="1931" rank="1"/>
  </conditionalFormatting>
  <conditionalFormatting sqref="BL18:BL26">
    <cfRule type="top10" dxfId="1055" priority="2074" rank="1"/>
  </conditionalFormatting>
  <conditionalFormatting sqref="BL19">
    <cfRule type="top10" dxfId="1054" priority="1896" rank="1"/>
    <cfRule type="top10" dxfId="1053" priority="1895" rank="1"/>
    <cfRule type="top10" dxfId="1052" priority="1893" rank="1"/>
    <cfRule type="top10" dxfId="1051" priority="1894" rank="1"/>
  </conditionalFormatting>
  <conditionalFormatting sqref="BL19:BL26">
    <cfRule type="top10" dxfId="1050" priority="2100" rank="1"/>
  </conditionalFormatting>
  <conditionalFormatting sqref="BL20:BL23">
    <cfRule type="top10" dxfId="1049" priority="2058" rank="1"/>
  </conditionalFormatting>
  <conditionalFormatting sqref="BL20:BL24">
    <cfRule type="top10" dxfId="1048" priority="2054" rank="1"/>
  </conditionalFormatting>
  <conditionalFormatting sqref="BL20:BL26">
    <cfRule type="top10" dxfId="1047" priority="2069" rank="1"/>
  </conditionalFormatting>
  <conditionalFormatting sqref="BL21:BL26">
    <cfRule type="top10" dxfId="1046" priority="2080" rank="1"/>
  </conditionalFormatting>
  <conditionalFormatting sqref="BL22:BL24">
    <cfRule type="top10" dxfId="1045" priority="2010" rank="1"/>
    <cfRule type="top10" dxfId="1044" priority="2011" rank="1"/>
    <cfRule type="top10" dxfId="1043" priority="2013" rank="1"/>
    <cfRule type="top10" dxfId="1042" priority="2012" rank="1"/>
    <cfRule type="top10" dxfId="1041" priority="2014" rank="1"/>
  </conditionalFormatting>
  <conditionalFormatting sqref="BL22:BL26">
    <cfRule type="top10" dxfId="1040" priority="2073" rank="1"/>
  </conditionalFormatting>
  <conditionalFormatting sqref="BL23:BL31">
    <cfRule type="top10" dxfId="1039" priority="2096" rank="1"/>
  </conditionalFormatting>
  <conditionalFormatting sqref="BL24">
    <cfRule type="top10" dxfId="1038" priority="1613" rank="1"/>
  </conditionalFormatting>
  <conditionalFormatting sqref="BL24:BL33">
    <cfRule type="top10" dxfId="1037" priority="2063" rank="1"/>
  </conditionalFormatting>
  <conditionalFormatting sqref="BL25">
    <cfRule type="top10" dxfId="1036" priority="1988" rank="1"/>
    <cfRule type="top10" dxfId="1035" priority="1987" rank="1"/>
  </conditionalFormatting>
  <conditionalFormatting sqref="BL25:BL31">
    <cfRule type="top10" dxfId="1034" priority="2050" rank="1"/>
  </conditionalFormatting>
  <conditionalFormatting sqref="BL25:BL33">
    <cfRule type="top10" dxfId="1033" priority="2072" rank="1"/>
  </conditionalFormatting>
  <conditionalFormatting sqref="BL26">
    <cfRule type="top10" dxfId="1032" priority="2005" rank="1"/>
    <cfRule type="top10" dxfId="1031" priority="2006" rank="1"/>
    <cfRule type="top10" dxfId="1030" priority="2009" rank="1"/>
    <cfRule type="top10" dxfId="1029" priority="2008" rank="1"/>
    <cfRule type="top10" dxfId="1028" priority="2007" rank="1"/>
  </conditionalFormatting>
  <conditionalFormatting sqref="BL26:BL34">
    <cfRule type="top10" dxfId="1027" priority="2099" rank="1"/>
  </conditionalFormatting>
  <conditionalFormatting sqref="BL27">
    <cfRule type="top10" dxfId="1026" priority="1942" rank="1"/>
    <cfRule type="top10" dxfId="1025" priority="1948" rank="1"/>
    <cfRule type="top10" dxfId="1024" priority="1947" rank="1"/>
    <cfRule type="top10" dxfId="1023" priority="1945" rank="1"/>
    <cfRule type="top10" dxfId="1022" priority="1946" rank="1"/>
    <cfRule type="top10" dxfId="1021" priority="1941" rank="1"/>
    <cfRule type="top10" dxfId="1020" priority="1940" rank="1"/>
    <cfRule type="top10" dxfId="1019" priority="1939" rank="1"/>
    <cfRule type="top10" dxfId="1018" priority="1938" rank="1"/>
    <cfRule type="top10" dxfId="1017" priority="1944" rank="1"/>
    <cfRule type="top10" dxfId="1016" priority="1943" rank="1"/>
    <cfRule type="top10" dxfId="1015" priority="1911" rank="1"/>
    <cfRule type="top10" dxfId="1014" priority="1949" rank="1"/>
  </conditionalFormatting>
  <conditionalFormatting sqref="BL27:BL31">
    <cfRule type="top10" dxfId="1013" priority="2053" rank="1"/>
  </conditionalFormatting>
  <conditionalFormatting sqref="BL27:BL34">
    <cfRule type="top10" dxfId="1012" priority="2079" rank="1"/>
  </conditionalFormatting>
  <conditionalFormatting sqref="BL28:BL31">
    <cfRule type="top10" dxfId="1011" priority="2088" rank="1"/>
  </conditionalFormatting>
  <conditionalFormatting sqref="BL29:BL33">
    <cfRule type="top10" dxfId="1010" priority="2004" rank="1"/>
    <cfRule type="top10" dxfId="1009" priority="2018" rank="1"/>
    <cfRule type="top10" dxfId="1008" priority="2002" rank="1"/>
    <cfRule type="top10" dxfId="1007" priority="2001" rank="1"/>
    <cfRule type="top10" dxfId="1006" priority="1998" rank="1"/>
    <cfRule type="top10" dxfId="1005" priority="2003" rank="1"/>
    <cfRule type="top10" dxfId="1004" priority="1999" rank="1"/>
    <cfRule type="top10" dxfId="1003" priority="2000" rank="1"/>
  </conditionalFormatting>
  <conditionalFormatting sqref="BL30:BL35">
    <cfRule type="top10" dxfId="1002" priority="2095" rank="1"/>
  </conditionalFormatting>
  <conditionalFormatting sqref="BL31">
    <cfRule type="top10" dxfId="1001" priority="1612" rank="1"/>
  </conditionalFormatting>
  <conditionalFormatting sqref="BL31:BL34">
    <cfRule type="top10" dxfId="1000" priority="2062" rank="1"/>
  </conditionalFormatting>
  <conditionalFormatting sqref="BL31:BL35">
    <cfRule type="top10" dxfId="999" priority="2049" rank="1"/>
  </conditionalFormatting>
  <conditionalFormatting sqref="BL32">
    <cfRule type="top10" dxfId="998" priority="1986" rank="1"/>
    <cfRule type="top10" dxfId="997" priority="1985" rank="1"/>
  </conditionalFormatting>
  <conditionalFormatting sqref="BL32:BL37">
    <cfRule type="top10" dxfId="996" priority="2071" rank="1"/>
  </conditionalFormatting>
  <conditionalFormatting sqref="BL33:BL37">
    <cfRule type="top10" dxfId="995" priority="2098" rank="1"/>
  </conditionalFormatting>
  <conditionalFormatting sqref="BL34:BL37">
    <cfRule type="top10" dxfId="994" priority="2078" rank="1"/>
  </conditionalFormatting>
  <conditionalFormatting sqref="BL35">
    <cfRule type="top10" dxfId="993" priority="2086" rank="1"/>
  </conditionalFormatting>
  <conditionalFormatting sqref="BL36">
    <cfRule type="top10" dxfId="992" priority="2017" rank="1"/>
    <cfRule type="top10" dxfId="991" priority="1996" rank="1"/>
    <cfRule type="top10" dxfId="990" priority="1997" rank="1"/>
    <cfRule type="top10" dxfId="989" priority="1994" rank="1"/>
    <cfRule type="top10" dxfId="988" priority="1995" rank="1"/>
    <cfRule type="top10" dxfId="987" priority="1993" rank="1"/>
    <cfRule type="top10" dxfId="986" priority="1992" rank="1"/>
    <cfRule type="top10" dxfId="985" priority="1991" rank="1"/>
  </conditionalFormatting>
  <conditionalFormatting sqref="BL37">
    <cfRule type="top10" dxfId="984" priority="1921" rank="1"/>
    <cfRule type="top10" dxfId="983" priority="1920" rank="1"/>
    <cfRule type="top10" dxfId="982" priority="1919" rank="1"/>
    <cfRule type="top10" dxfId="981" priority="1914" rank="1"/>
    <cfRule type="top10" dxfId="980" priority="1915" rank="1"/>
    <cfRule type="top10" dxfId="979" priority="1916" rank="1"/>
    <cfRule type="top10" dxfId="978" priority="1917" rank="1"/>
    <cfRule type="top10" dxfId="977" priority="1918" rank="1"/>
  </conditionalFormatting>
  <conditionalFormatting sqref="BL33:BM37 BL7:BL32">
    <cfRule type="top10" dxfId="976" priority="2065" rank="1"/>
    <cfRule type="top10" dxfId="975" priority="2109" rank="1"/>
    <cfRule type="top10" dxfId="974" priority="2051" rank="1"/>
  </conditionalFormatting>
  <conditionalFormatting sqref="BM7:BM37">
    <cfRule type="top10" dxfId="973" priority="1964" rank="1"/>
  </conditionalFormatting>
  <conditionalFormatting sqref="BM8">
    <cfRule type="top10" dxfId="972" priority="1963" rank="1"/>
  </conditionalFormatting>
  <conditionalFormatting sqref="BP7:BP37">
    <cfRule type="top10" dxfId="971" priority="2019" rank="1"/>
    <cfRule type="top10" dxfId="970" priority="2107" rank="1"/>
    <cfRule type="top10" dxfId="969" priority="2108" rank="1"/>
    <cfRule type="top10" dxfId="968" priority="2029" rank="1"/>
    <cfRule type="top10" dxfId="967" priority="2032" rank="1"/>
    <cfRule type="top10" dxfId="966" priority="2044" rank="1"/>
    <cfRule type="top10" dxfId="965" priority="2094" rank="1"/>
    <cfRule type="top10" dxfId="964" priority="998" rank="1"/>
    <cfRule type="top10" dxfId="963" priority="999" rank="1"/>
    <cfRule type="top10" dxfId="962" priority="1616" rank="1"/>
    <cfRule type="top10" dxfId="961" priority="1617" rank="1"/>
    <cfRule type="top10" dxfId="960" priority="1618" rank="1"/>
    <cfRule type="top10" dxfId="959" priority="997" rank="1"/>
  </conditionalFormatting>
  <conditionalFormatting sqref="BP10">
    <cfRule type="top10" dxfId="958" priority="1611" rank="1"/>
  </conditionalFormatting>
  <conditionalFormatting sqref="BP11:BP17">
    <cfRule type="top10" dxfId="957" priority="2039" rank="1"/>
  </conditionalFormatting>
  <conditionalFormatting sqref="BP12:BP17">
    <cfRule type="top10" dxfId="956" priority="2047" rank="1"/>
  </conditionalFormatting>
  <conditionalFormatting sqref="BP12:BP24">
    <cfRule type="top10" dxfId="955" priority="2105" rank="1"/>
  </conditionalFormatting>
  <conditionalFormatting sqref="BP13:BP14">
    <cfRule type="top10" dxfId="954" priority="2055" rank="1"/>
  </conditionalFormatting>
  <conditionalFormatting sqref="BP13:BP17">
    <cfRule type="top10" dxfId="953" priority="2034" rank="1"/>
  </conditionalFormatting>
  <conditionalFormatting sqref="BP13:BP24">
    <cfRule type="top10" dxfId="952" priority="2068" rank="1"/>
  </conditionalFormatting>
  <conditionalFormatting sqref="BP14">
    <cfRule type="top10" dxfId="951" priority="2089" rank="1"/>
  </conditionalFormatting>
  <conditionalFormatting sqref="BP14:BP17">
    <cfRule type="top10" dxfId="950" priority="2042" rank="1"/>
  </conditionalFormatting>
  <conditionalFormatting sqref="BP16:BP18 BP20:BP21">
    <cfRule type="top10" dxfId="949" priority="2093" rank="1"/>
  </conditionalFormatting>
  <conditionalFormatting sqref="BP16:BP21">
    <cfRule type="top10" dxfId="948" priority="2043" rank="1"/>
  </conditionalFormatting>
  <conditionalFormatting sqref="BP16:BP23">
    <cfRule type="top10" dxfId="947" priority="2025" rank="1"/>
  </conditionalFormatting>
  <conditionalFormatting sqref="BP17">
    <cfRule type="top10" dxfId="946" priority="1610" rank="1"/>
  </conditionalFormatting>
  <conditionalFormatting sqref="BP17:BP18 BP20:BP21">
    <cfRule type="top10" dxfId="945" priority="2061" rank="1"/>
  </conditionalFormatting>
  <conditionalFormatting sqref="BP17:BP20">
    <cfRule type="top10" dxfId="944" priority="2028" rank="1"/>
  </conditionalFormatting>
  <conditionalFormatting sqref="BP17:BP21">
    <cfRule type="top10" dxfId="943" priority="2031" rank="1"/>
  </conditionalFormatting>
  <conditionalFormatting sqref="BP17:BP23">
    <cfRule type="top10" dxfId="942" priority="2021" rank="1"/>
  </conditionalFormatting>
  <conditionalFormatting sqref="BP18">
    <cfRule type="top10" dxfId="941" priority="1982" rank="1"/>
    <cfRule type="top10" dxfId="940" priority="1984" rank="1"/>
    <cfRule type="top10" dxfId="939" priority="1981" rank="1"/>
    <cfRule type="top10" dxfId="938" priority="1983" rank="1"/>
  </conditionalFormatting>
  <conditionalFormatting sqref="BP18:BP19">
    <cfRule type="top10" dxfId="937" priority="1925" rank="1"/>
    <cfRule type="top10" dxfId="936" priority="1926" rank="1"/>
    <cfRule type="top10" dxfId="935" priority="1928" rank="1"/>
    <cfRule type="top10" dxfId="934" priority="1927" rank="1"/>
  </conditionalFormatting>
  <conditionalFormatting sqref="BP18:BP20">
    <cfRule type="top10" dxfId="933" priority="2038" rank="1"/>
  </conditionalFormatting>
  <conditionalFormatting sqref="BP18:BP23">
    <cfRule type="top10" dxfId="932" priority="2022" rank="1"/>
  </conditionalFormatting>
  <conditionalFormatting sqref="BP19">
    <cfRule type="top10" dxfId="931" priority="1892" rank="1"/>
    <cfRule type="top10" dxfId="930" priority="1891" rank="1"/>
    <cfRule type="top10" dxfId="929" priority="1886" rank="1"/>
    <cfRule type="top10" dxfId="928" priority="1887" rank="1"/>
    <cfRule type="top10" dxfId="927" priority="1888" rank="1"/>
    <cfRule type="top10" dxfId="926" priority="1890" rank="1"/>
    <cfRule type="top10" dxfId="925" priority="1889" rank="1"/>
  </conditionalFormatting>
  <conditionalFormatting sqref="BP19:BP23">
    <cfRule type="top10" dxfId="924" priority="2048" rank="1"/>
  </conditionalFormatting>
  <conditionalFormatting sqref="BP19:BP26">
    <cfRule type="top10" dxfId="923" priority="2046" rank="1"/>
  </conditionalFormatting>
  <conditionalFormatting sqref="BP20:BP21">
    <cfRule type="top10" dxfId="922" priority="2056" rank="1"/>
  </conditionalFormatting>
  <conditionalFormatting sqref="BP20:BP23">
    <cfRule type="top10" dxfId="921" priority="2020" rank="1"/>
  </conditionalFormatting>
  <conditionalFormatting sqref="BP20:BP24">
    <cfRule type="top10" dxfId="920" priority="2104" rank="1"/>
  </conditionalFormatting>
  <conditionalFormatting sqref="BP20:BP26">
    <cfRule type="top10" dxfId="919" priority="2033" rank="1"/>
  </conditionalFormatting>
  <conditionalFormatting sqref="BP21:BP26">
    <cfRule type="top10" dxfId="918" priority="2041" rank="1"/>
  </conditionalFormatting>
  <conditionalFormatting sqref="BP22:BP26">
    <cfRule type="top10" dxfId="917" priority="2037" rank="1"/>
  </conditionalFormatting>
  <conditionalFormatting sqref="BP23:BP28">
    <cfRule type="top10" dxfId="916" priority="2092" rank="1"/>
  </conditionalFormatting>
  <conditionalFormatting sqref="BP23:BP33">
    <cfRule type="top10" dxfId="915" priority="2024" rank="1"/>
  </conditionalFormatting>
  <conditionalFormatting sqref="BP24">
    <cfRule type="top10" dxfId="914" priority="1609" rank="1"/>
  </conditionalFormatting>
  <conditionalFormatting sqref="BP24:BP28">
    <cfRule type="top10" dxfId="913" priority="2060" rank="1"/>
  </conditionalFormatting>
  <conditionalFormatting sqref="BP24:BP33">
    <cfRule type="top10" dxfId="912" priority="2030" rank="1"/>
  </conditionalFormatting>
  <conditionalFormatting sqref="BP25">
    <cfRule type="top10" dxfId="911" priority="1980" rank="1"/>
    <cfRule type="top10" dxfId="910" priority="1979" rank="1"/>
    <cfRule type="top10" dxfId="909" priority="1978" rank="1"/>
    <cfRule type="top10" dxfId="908" priority="1977" rank="1"/>
  </conditionalFormatting>
  <conditionalFormatting sqref="BP25:BP28">
    <cfRule type="top10" dxfId="907" priority="2027" rank="1"/>
  </conditionalFormatting>
  <conditionalFormatting sqref="BP25:BP33">
    <cfRule type="top10" dxfId="906" priority="2036" rank="1"/>
  </conditionalFormatting>
  <conditionalFormatting sqref="BP26">
    <cfRule type="top10" dxfId="905" priority="2083" rank="1"/>
  </conditionalFormatting>
  <conditionalFormatting sqref="BP26:BP33">
    <cfRule type="top10" dxfId="904" priority="2103" rank="1"/>
  </conditionalFormatting>
  <conditionalFormatting sqref="BP26:BP34">
    <cfRule type="top10" dxfId="903" priority="2045" rank="1"/>
  </conditionalFormatting>
  <conditionalFormatting sqref="BP27">
    <cfRule type="top10" dxfId="902" priority="1910" rank="1"/>
    <cfRule type="top10" dxfId="901" priority="1909" rank="1"/>
    <cfRule type="top10" dxfId="900" priority="1933" rank="1"/>
    <cfRule type="top10" dxfId="899" priority="1934" rank="1"/>
    <cfRule type="top10" dxfId="898" priority="1936" rank="1"/>
    <cfRule type="top10" dxfId="897" priority="1937" rank="1"/>
    <cfRule type="top10" dxfId="896" priority="1935" rank="1"/>
  </conditionalFormatting>
  <conditionalFormatting sqref="BP27:BP28">
    <cfRule type="top10" dxfId="895" priority="2057" rank="1"/>
  </conditionalFormatting>
  <conditionalFormatting sqref="BP27:BP32">
    <cfRule type="top10" dxfId="894" priority="2052" rank="1"/>
  </conditionalFormatting>
  <conditionalFormatting sqref="BP27:BP33">
    <cfRule type="top10" dxfId="893" priority="2067" rank="1"/>
  </conditionalFormatting>
  <conditionalFormatting sqref="BP27:BP34">
    <cfRule type="top10" dxfId="892" priority="2040" rank="1"/>
  </conditionalFormatting>
  <conditionalFormatting sqref="BP28">
    <cfRule type="top10" dxfId="891" priority="2087" rank="1"/>
  </conditionalFormatting>
  <conditionalFormatting sqref="BP28:BP32">
    <cfRule type="top10" dxfId="890" priority="2023" rank="1"/>
  </conditionalFormatting>
  <conditionalFormatting sqref="BP29:BP33">
    <cfRule type="top10" dxfId="889" priority="2016" rank="1"/>
  </conditionalFormatting>
  <conditionalFormatting sqref="BP30:BP35">
    <cfRule type="top10" dxfId="888" priority="2091" rank="1"/>
  </conditionalFormatting>
  <conditionalFormatting sqref="BP31:BP32">
    <cfRule type="top10" dxfId="887" priority="1608" rank="1"/>
  </conditionalFormatting>
  <conditionalFormatting sqref="BP31:BP34">
    <cfRule type="top10" dxfId="886" priority="2059" rank="1"/>
  </conditionalFormatting>
  <conditionalFormatting sqref="BP31:BP35">
    <cfRule type="top10" dxfId="885" priority="2026" rank="1"/>
  </conditionalFormatting>
  <conditionalFormatting sqref="BP32">
    <cfRule type="top10" dxfId="884" priority="1974" rank="1"/>
    <cfRule type="top10" dxfId="883" priority="1975" rank="1"/>
    <cfRule type="top10" dxfId="882" priority="1973" rank="1"/>
    <cfRule type="top10" dxfId="881" priority="1976" rank="1"/>
  </conditionalFormatting>
  <conditionalFormatting sqref="BP32:BP37">
    <cfRule type="top10" dxfId="880" priority="2035" rank="1"/>
  </conditionalFormatting>
  <conditionalFormatting sqref="BP33">
    <cfRule type="top10" dxfId="879" priority="2082" rank="1"/>
  </conditionalFormatting>
  <conditionalFormatting sqref="BP33:BP37">
    <cfRule type="top10" dxfId="878" priority="2102" rank="1"/>
  </conditionalFormatting>
  <conditionalFormatting sqref="BP34:BP37">
    <cfRule type="top10" dxfId="877" priority="2066" rank="1"/>
  </conditionalFormatting>
  <conditionalFormatting sqref="BP35">
    <cfRule type="top10" dxfId="876" priority="2085" rank="1"/>
  </conditionalFormatting>
  <conditionalFormatting sqref="BP36">
    <cfRule type="top10" dxfId="875" priority="2015" rank="1"/>
  </conditionalFormatting>
  <conditionalFormatting sqref="BP37">
    <cfRule type="top10" dxfId="874" priority="2084" rank="1"/>
    <cfRule type="top10" dxfId="873" priority="1913" rank="1"/>
  </conditionalFormatting>
  <conditionalFormatting sqref="BQ7:BQ37">
    <cfRule type="top10" dxfId="872" priority="1962" rank="1"/>
  </conditionalFormatting>
  <conditionalFormatting sqref="BQ8">
    <cfRule type="top10" dxfId="871" priority="1961" rank="1"/>
  </conditionalFormatting>
  <conditionalFormatting sqref="BU7:BV37">
    <cfRule type="top10" dxfId="870" priority="2111" rank="1"/>
  </conditionalFormatting>
  <conditionalFormatting sqref="CB7:CB37">
    <cfRule type="top10" dxfId="869" priority="1960" rank="1"/>
  </conditionalFormatting>
  <conditionalFormatting sqref="CB8">
    <cfRule type="top10" dxfId="868" priority="1959" rank="1"/>
  </conditionalFormatting>
  <conditionalFormatting sqref="CC7:CC38">
    <cfRule type="top10" dxfId="867" priority="2106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Plan158">
    <tabColor rgb="FF92D050"/>
  </sheetPr>
  <dimension ref="A1:V36"/>
  <sheetViews>
    <sheetView zoomScale="80" zoomScaleNormal="80" workbookViewId="0">
      <selection activeCell="W11" sqref="W11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43102</v>
      </c>
      <c r="C5" s="24">
        <v>116903</v>
      </c>
      <c r="D5" s="85">
        <f>SUM(C5:C5)-(F5*1)</f>
        <v>70749.153846153844</v>
      </c>
      <c r="E5" s="24">
        <f>C5/1</f>
        <v>116903</v>
      </c>
      <c r="F5" s="30">
        <f>$F$31/$G$30</f>
        <v>46153.846153846156</v>
      </c>
      <c r="G5" s="20">
        <v>1</v>
      </c>
      <c r="H5" s="89">
        <v>43102</v>
      </c>
      <c r="I5" s="12">
        <v>17208</v>
      </c>
      <c r="J5" s="10">
        <f>SUM(I5:I5)-(L5*G5)</f>
        <v>1823.3846153846152</v>
      </c>
      <c r="K5" s="10">
        <f>I5/1</f>
        <v>17208</v>
      </c>
      <c r="L5" s="10">
        <f t="shared" ref="L5:L30" si="0">$L$31/$G$30</f>
        <v>15384.615384615385</v>
      </c>
    </row>
    <row r="6" spans="2:22" ht="20.100000000000001" customHeight="1" x14ac:dyDescent="0.2">
      <c r="B6" s="89">
        <v>43103</v>
      </c>
      <c r="C6" s="26">
        <v>42972</v>
      </c>
      <c r="D6" s="85">
        <f>SUM(C$5:C6)-(F6*G6)</f>
        <v>67567.307692307688</v>
      </c>
      <c r="E6" s="24">
        <f>SUM(C$5:C6)/G6</f>
        <v>79937.5</v>
      </c>
      <c r="F6" s="30">
        <f t="shared" ref="F6:F30" si="1">$F$31/$G$30</f>
        <v>46153.846153846156</v>
      </c>
      <c r="G6" s="20">
        <v>2</v>
      </c>
      <c r="H6" s="89">
        <v>43103</v>
      </c>
      <c r="I6" s="21">
        <v>3812</v>
      </c>
      <c r="J6" s="85">
        <f>SUM(I$5:I6)-(L6*G6)</f>
        <v>-9749.2307692307695</v>
      </c>
      <c r="K6" s="10">
        <f>SUM(I$5:I6)/G6</f>
        <v>10510</v>
      </c>
      <c r="L6" s="10">
        <f t="shared" si="0"/>
        <v>15384.615384615385</v>
      </c>
    </row>
    <row r="7" spans="2:22" ht="20.100000000000001" customHeight="1" x14ac:dyDescent="0.2">
      <c r="B7" s="89">
        <v>43104</v>
      </c>
      <c r="C7" s="24">
        <v>47617</v>
      </c>
      <c r="D7" s="85">
        <f>SUM(C$5:C7)-(F7*G7)</f>
        <v>69030.461538461532</v>
      </c>
      <c r="E7" s="24">
        <f>SUM(C$5:C7)/G7</f>
        <v>69164</v>
      </c>
      <c r="F7" s="30">
        <f t="shared" si="1"/>
        <v>46153.846153846156</v>
      </c>
      <c r="G7" s="20">
        <v>3</v>
      </c>
      <c r="H7" s="89">
        <v>43104</v>
      </c>
      <c r="I7" s="21">
        <v>8217</v>
      </c>
      <c r="J7" s="85">
        <f>SUM(I$5:I7)-(L7*G7)</f>
        <v>-16916.846153846156</v>
      </c>
      <c r="K7" s="10">
        <f>SUM(I$5:I7)/G7</f>
        <v>9745.6666666666661</v>
      </c>
      <c r="L7" s="10">
        <f t="shared" si="0"/>
        <v>15384.615384615385</v>
      </c>
    </row>
    <row r="8" spans="2:22" ht="19.5" customHeight="1" x14ac:dyDescent="0.2">
      <c r="B8" s="89">
        <v>43105</v>
      </c>
      <c r="C8" s="24">
        <v>46399</v>
      </c>
      <c r="D8" s="85">
        <f>SUM(C$5:C8)-(F8*G8)</f>
        <v>69275.615384615376</v>
      </c>
      <c r="E8" s="24">
        <f>SUM(C$5:C8)/G8</f>
        <v>63472.75</v>
      </c>
      <c r="F8" s="30">
        <f t="shared" si="1"/>
        <v>46153.846153846156</v>
      </c>
      <c r="G8" s="20">
        <v>4</v>
      </c>
      <c r="H8" s="89">
        <v>43105</v>
      </c>
      <c r="I8" s="21">
        <v>15660</v>
      </c>
      <c r="J8" s="85">
        <f>SUM(I$5:I8)-(L8*G8)</f>
        <v>-16641.461538461539</v>
      </c>
      <c r="K8" s="10">
        <f>SUM(I$5:I8)/G8</f>
        <v>11224.25</v>
      </c>
      <c r="L8" s="10">
        <f t="shared" si="0"/>
        <v>15384.615384615385</v>
      </c>
    </row>
    <row r="9" spans="2:22" ht="20.100000000000001" customHeight="1" x14ac:dyDescent="0.2">
      <c r="B9" s="89">
        <v>43106</v>
      </c>
      <c r="C9" s="27">
        <v>26985</v>
      </c>
      <c r="D9" s="85">
        <f>SUM(C$5:C9)-(F9*G9)</f>
        <v>50106.76923076922</v>
      </c>
      <c r="E9" s="24">
        <f>SUM(C$5:C9)/G9</f>
        <v>56175.199999999997</v>
      </c>
      <c r="F9" s="30">
        <f t="shared" si="1"/>
        <v>46153.846153846156</v>
      </c>
      <c r="G9" s="20">
        <v>5</v>
      </c>
      <c r="H9" s="89">
        <v>43106</v>
      </c>
      <c r="I9" s="22">
        <v>13604</v>
      </c>
      <c r="J9" s="85">
        <f>SUM(I$5:I9)-(L9*G9)</f>
        <v>-18422.076923076922</v>
      </c>
      <c r="K9" s="10">
        <f>SUM(I$5:I9)/G9</f>
        <v>11700.2</v>
      </c>
      <c r="L9" s="10">
        <f t="shared" si="0"/>
        <v>15384.615384615385</v>
      </c>
    </row>
    <row r="10" spans="2:22" ht="20.100000000000001" customHeight="1" x14ac:dyDescent="0.2">
      <c r="B10" s="89">
        <v>43108</v>
      </c>
      <c r="C10" s="27">
        <v>42265</v>
      </c>
      <c r="D10" s="85">
        <f>SUM(C$5:C10)-(F10*G10)</f>
        <v>46217.923076923063</v>
      </c>
      <c r="E10" s="24">
        <f>SUM(C$5:C10)/G10</f>
        <v>53856.833333333336</v>
      </c>
      <c r="F10" s="30">
        <f t="shared" si="1"/>
        <v>46153.846153846156</v>
      </c>
      <c r="G10" s="20">
        <v>6</v>
      </c>
      <c r="H10" s="89">
        <v>43108</v>
      </c>
      <c r="I10" s="22">
        <v>7132</v>
      </c>
      <c r="J10" s="85">
        <f>SUM(I$5:I10)-(L10*G10)</f>
        <v>-26674.692307692312</v>
      </c>
      <c r="K10" s="10">
        <f>SUM(I$5:I10)/G10</f>
        <v>10938.833333333334</v>
      </c>
      <c r="L10" s="10">
        <f t="shared" si="0"/>
        <v>15384.615384615385</v>
      </c>
    </row>
    <row r="11" spans="2:22" ht="20.100000000000001" customHeight="1" x14ac:dyDescent="0.2">
      <c r="B11" s="89">
        <v>43109</v>
      </c>
      <c r="C11" s="24">
        <v>33455</v>
      </c>
      <c r="D11" s="85">
        <f>SUM(C$5:C11)-(F11*G11)</f>
        <v>33519.076923076878</v>
      </c>
      <c r="E11" s="24">
        <f>SUM(C$5:C11)/G11</f>
        <v>50942.285714285717</v>
      </c>
      <c r="F11" s="30">
        <f t="shared" si="1"/>
        <v>46153.846153846156</v>
      </c>
      <c r="G11" s="20">
        <v>7</v>
      </c>
      <c r="H11" s="89">
        <v>43109</v>
      </c>
      <c r="I11" s="21">
        <v>10051</v>
      </c>
      <c r="J11" s="85">
        <f>SUM(I$5:I11)-(L11*G11)</f>
        <v>-32008.307692307688</v>
      </c>
      <c r="K11" s="10">
        <f>SUM(I$5:I11)/G11</f>
        <v>10812</v>
      </c>
      <c r="L11" s="10">
        <f t="shared" si="0"/>
        <v>15384.615384615385</v>
      </c>
    </row>
    <row r="12" spans="2:22" ht="20.100000000000001" customHeight="1" x14ac:dyDescent="0.2">
      <c r="B12" s="89">
        <v>43110</v>
      </c>
      <c r="C12" s="24">
        <v>44652</v>
      </c>
      <c r="D12" s="85">
        <f>SUM(C$5:C12)-(F12*G12)</f>
        <v>32017.230769230751</v>
      </c>
      <c r="E12" s="24">
        <f>SUM(C$5:C12)/G12</f>
        <v>50156</v>
      </c>
      <c r="F12" s="30">
        <f t="shared" si="1"/>
        <v>46153.846153846156</v>
      </c>
      <c r="G12" s="20">
        <v>8</v>
      </c>
      <c r="H12" s="89">
        <v>43110</v>
      </c>
      <c r="I12" s="21">
        <v>17796</v>
      </c>
      <c r="J12" s="85">
        <f>SUM(I$5:I12)-(L12*G12)</f>
        <v>-29596.923076923078</v>
      </c>
      <c r="K12" s="10">
        <f>SUM(I$5:I12)/G12</f>
        <v>11685</v>
      </c>
      <c r="L12" s="10">
        <f t="shared" si="0"/>
        <v>15384.615384615385</v>
      </c>
    </row>
    <row r="13" spans="2:22" ht="20.100000000000001" customHeight="1" x14ac:dyDescent="0.2">
      <c r="B13" s="89">
        <v>43111</v>
      </c>
      <c r="C13" s="29">
        <v>34355</v>
      </c>
      <c r="D13" s="85">
        <f>SUM(C$5:C13)-(F13*G13)</f>
        <v>20218.384615384624</v>
      </c>
      <c r="E13" s="24">
        <f>SUM(C$5:C13)/G13</f>
        <v>48400.333333333336</v>
      </c>
      <c r="F13" s="30">
        <f t="shared" si="1"/>
        <v>46153.846153846156</v>
      </c>
      <c r="G13" s="20">
        <v>9</v>
      </c>
      <c r="H13" s="89">
        <v>43111</v>
      </c>
      <c r="I13" s="13">
        <v>18039</v>
      </c>
      <c r="J13" s="85">
        <f>SUM(I$5:I13)-(L13*G13)</f>
        <v>-26942.538461538468</v>
      </c>
      <c r="K13" s="10">
        <f>SUM(I$5:I13)/G13</f>
        <v>12391</v>
      </c>
      <c r="L13" s="10">
        <f t="shared" si="0"/>
        <v>15384.615384615385</v>
      </c>
    </row>
    <row r="14" spans="2:22" ht="20.100000000000001" customHeight="1" x14ac:dyDescent="0.2">
      <c r="B14" s="89">
        <v>43112</v>
      </c>
      <c r="C14" s="29">
        <v>27725</v>
      </c>
      <c r="D14" s="85">
        <f>SUM(C$5:C14)-(F14*G14)</f>
        <v>1789.5384615384392</v>
      </c>
      <c r="E14" s="24">
        <f>SUM(C$5:C14)/G14</f>
        <v>46332.800000000003</v>
      </c>
      <c r="F14" s="30">
        <f t="shared" si="1"/>
        <v>46153.846153846156</v>
      </c>
      <c r="G14" s="20">
        <v>10</v>
      </c>
      <c r="H14" s="89">
        <v>43112</v>
      </c>
      <c r="I14" s="13">
        <v>26081</v>
      </c>
      <c r="J14" s="85">
        <f>SUM(I$5:I14)-(L14*G14)</f>
        <v>-16246.153846153844</v>
      </c>
      <c r="K14" s="10">
        <f>SUM(I$5:I14)/G14</f>
        <v>13760</v>
      </c>
      <c r="L14" s="10">
        <f t="shared" si="0"/>
        <v>15384.615384615385</v>
      </c>
    </row>
    <row r="15" spans="2:22" ht="20.100000000000001" customHeight="1" x14ac:dyDescent="0.2">
      <c r="B15" s="89">
        <v>43113</v>
      </c>
      <c r="C15" s="29">
        <v>28801</v>
      </c>
      <c r="D15" s="85">
        <f>SUM(C$5:C15)-(F15*G15)</f>
        <v>-15563.307692307746</v>
      </c>
      <c r="E15" s="24">
        <f>SUM(C$5:C15)/G15</f>
        <v>44739</v>
      </c>
      <c r="F15" s="30">
        <f t="shared" si="1"/>
        <v>46153.846153846156</v>
      </c>
      <c r="G15" s="20">
        <v>11</v>
      </c>
      <c r="H15" s="89">
        <v>43113</v>
      </c>
      <c r="I15" s="13">
        <v>10330</v>
      </c>
      <c r="J15" s="85">
        <f>SUM(I$5:I15)-(L15*G15)</f>
        <v>-21300.76923076922</v>
      </c>
      <c r="K15" s="10">
        <f>SUM(I$5:I15)/G15</f>
        <v>13448.181818181818</v>
      </c>
      <c r="L15" s="10">
        <f t="shared" si="0"/>
        <v>15384.615384615385</v>
      </c>
    </row>
    <row r="16" spans="2:22" ht="19.5" customHeight="1" x14ac:dyDescent="0.2">
      <c r="B16" s="89">
        <v>43115</v>
      </c>
      <c r="C16" s="29">
        <v>43882</v>
      </c>
      <c r="D16" s="85">
        <f>SUM(C$5:C16)-(F16*G16)</f>
        <v>-17835.153846153873</v>
      </c>
      <c r="E16" s="24">
        <f>SUM(C$5:C16)/G16</f>
        <v>44667.583333333336</v>
      </c>
      <c r="F16" s="30">
        <f t="shared" si="1"/>
        <v>46153.846153846156</v>
      </c>
      <c r="G16" s="20">
        <v>12</v>
      </c>
      <c r="H16" s="89">
        <v>43115</v>
      </c>
      <c r="I16" s="13">
        <v>14385</v>
      </c>
      <c r="J16" s="85">
        <f>SUM(I$5:I16)-(L16*G16)</f>
        <v>-22300.384615384624</v>
      </c>
      <c r="K16" s="10">
        <f>SUM(I$5:I16)/G16</f>
        <v>13526.25</v>
      </c>
      <c r="L16" s="10">
        <f t="shared" si="0"/>
        <v>15384.615384615385</v>
      </c>
    </row>
    <row r="17" spans="2:12" ht="20.100000000000001" customHeight="1" x14ac:dyDescent="0.2">
      <c r="B17" s="89">
        <v>43116</v>
      </c>
      <c r="C17" s="29">
        <v>37147</v>
      </c>
      <c r="D17" s="85">
        <f>SUM(C$5:C17)-(F17*G17)</f>
        <v>-26842</v>
      </c>
      <c r="E17" s="24">
        <f>SUM(C$5:C17)/G17</f>
        <v>44089.076923076922</v>
      </c>
      <c r="F17" s="30">
        <f t="shared" si="1"/>
        <v>46153.846153846156</v>
      </c>
      <c r="G17" s="20">
        <v>13</v>
      </c>
      <c r="H17" s="89">
        <v>43116</v>
      </c>
      <c r="I17" s="13">
        <v>17316</v>
      </c>
      <c r="J17" s="85">
        <f>SUM(I$5:I17)-(L17*G17)</f>
        <v>-20369</v>
      </c>
      <c r="K17" s="10">
        <f>SUM(I$5:I17)/G17</f>
        <v>13817.76923076923</v>
      </c>
      <c r="L17" s="10">
        <f t="shared" si="0"/>
        <v>15384.615384615385</v>
      </c>
    </row>
    <row r="18" spans="2:12" ht="20.100000000000001" customHeight="1" x14ac:dyDescent="0.2">
      <c r="B18" s="89">
        <v>43117</v>
      </c>
      <c r="C18" s="29">
        <v>59634</v>
      </c>
      <c r="D18" s="85">
        <f>SUM(C$5:C18)-(F18*G18)</f>
        <v>-13361.846153846243</v>
      </c>
      <c r="E18" s="24">
        <f>SUM(C$5:C18)/G18</f>
        <v>45199.428571428572</v>
      </c>
      <c r="F18" s="30">
        <f t="shared" si="1"/>
        <v>46153.846153846156</v>
      </c>
      <c r="G18" s="20">
        <v>14</v>
      </c>
      <c r="H18" s="89">
        <v>43117</v>
      </c>
      <c r="I18" s="13">
        <v>25704</v>
      </c>
      <c r="J18" s="85">
        <f>SUM(I$5:I18)-(L18*G18)</f>
        <v>-10049.615384615376</v>
      </c>
      <c r="K18" s="10">
        <f>SUM(I$5:I18)/G18</f>
        <v>14666.785714285714</v>
      </c>
      <c r="L18" s="10">
        <f t="shared" si="0"/>
        <v>15384.615384615385</v>
      </c>
    </row>
    <row r="19" spans="2:12" ht="20.100000000000001" customHeight="1" x14ac:dyDescent="0.2">
      <c r="B19" s="89">
        <v>43118</v>
      </c>
      <c r="C19" s="24">
        <v>35061</v>
      </c>
      <c r="D19" s="85">
        <f>SUM(C$5:C19)-(F19*G19)</f>
        <v>-24454.69230769237</v>
      </c>
      <c r="E19" s="24">
        <f>SUM(C$5:C19)/G19</f>
        <v>44523.533333333333</v>
      </c>
      <c r="F19" s="30">
        <f t="shared" si="1"/>
        <v>46153.846153846156</v>
      </c>
      <c r="G19" s="20">
        <v>15</v>
      </c>
      <c r="H19" s="89">
        <v>43118</v>
      </c>
      <c r="I19" s="21">
        <v>34551</v>
      </c>
      <c r="J19" s="85">
        <f>SUM(I$5:I19)-(L19*G19)</f>
        <v>9116.7692307692196</v>
      </c>
      <c r="K19" s="10">
        <f>SUM(I$5:I19)/G19</f>
        <v>15992.4</v>
      </c>
      <c r="L19" s="10">
        <f t="shared" si="0"/>
        <v>15384.615384615385</v>
      </c>
    </row>
    <row r="20" spans="2:12" ht="20.100000000000001" customHeight="1" x14ac:dyDescent="0.2">
      <c r="B20" s="89">
        <v>43119</v>
      </c>
      <c r="C20" s="29">
        <v>23316</v>
      </c>
      <c r="D20" s="85">
        <f>SUM(C$5:C20)-(F20*G20)</f>
        <v>-47292.538461538497</v>
      </c>
      <c r="E20" s="24">
        <f>SUM(C$5:C20)/G20</f>
        <v>43198.0625</v>
      </c>
      <c r="F20" s="30">
        <f t="shared" si="1"/>
        <v>46153.846153846156</v>
      </c>
      <c r="G20" s="20">
        <v>16</v>
      </c>
      <c r="H20" s="89">
        <v>43119</v>
      </c>
      <c r="I20" s="13">
        <v>23818</v>
      </c>
      <c r="J20" s="85">
        <f>SUM(I$5:I20)-(L20*G20)</f>
        <v>17550.153846153844</v>
      </c>
      <c r="K20" s="10">
        <f>SUM(I$5:I20)/G20</f>
        <v>16481.5</v>
      </c>
      <c r="L20" s="10">
        <f t="shared" si="0"/>
        <v>15384.615384615385</v>
      </c>
    </row>
    <row r="21" spans="2:12" ht="20.100000000000001" customHeight="1" x14ac:dyDescent="0.2">
      <c r="B21" s="89">
        <v>43120</v>
      </c>
      <c r="C21" s="29">
        <v>61911</v>
      </c>
      <c r="D21" s="85">
        <f>SUM(C$5:C21)-(F21*G21)</f>
        <v>-31535.384615384624</v>
      </c>
      <c r="E21" s="24">
        <f>SUM(C$5:C21)/G21</f>
        <v>44298.823529411762</v>
      </c>
      <c r="F21" s="30">
        <f t="shared" si="1"/>
        <v>46153.846153846156</v>
      </c>
      <c r="G21" s="20">
        <v>17</v>
      </c>
      <c r="H21" s="89">
        <v>43120</v>
      </c>
      <c r="I21" s="12">
        <v>27344</v>
      </c>
      <c r="J21" s="85">
        <f>SUM(I$5:I21)-(L21*G21)</f>
        <v>29509.538461538468</v>
      </c>
      <c r="K21" s="10">
        <f>SUM(I$5:I21)/G21</f>
        <v>17120.470588235294</v>
      </c>
      <c r="L21" s="10">
        <f t="shared" si="0"/>
        <v>15384.615384615385</v>
      </c>
    </row>
    <row r="22" spans="2:12" ht="20.100000000000001" customHeight="1" x14ac:dyDescent="0.2">
      <c r="B22" s="89">
        <v>43122</v>
      </c>
      <c r="C22" s="29">
        <v>47118</v>
      </c>
      <c r="D22" s="85">
        <f>SUM(C$5:C22)-(F22*G22)</f>
        <v>-30571.230769230751</v>
      </c>
      <c r="E22" s="24">
        <f>SUM(C$5:C22)/G22</f>
        <v>44455.444444444445</v>
      </c>
      <c r="F22" s="30">
        <f t="shared" si="1"/>
        <v>46153.846153846156</v>
      </c>
      <c r="G22" s="20">
        <v>18</v>
      </c>
      <c r="H22" s="89">
        <v>43122</v>
      </c>
      <c r="I22" s="12">
        <v>12339</v>
      </c>
      <c r="J22" s="85">
        <f>SUM(I$5:I22)-(L22*G22)</f>
        <v>26463.923076923063</v>
      </c>
      <c r="K22" s="10">
        <f>SUM(I$5:I22)/G22</f>
        <v>16854.833333333332</v>
      </c>
      <c r="L22" s="10">
        <f t="shared" si="0"/>
        <v>15384.615384615385</v>
      </c>
    </row>
    <row r="23" spans="2:12" ht="20.100000000000001" customHeight="1" x14ac:dyDescent="0.2">
      <c r="B23" s="89">
        <v>43123</v>
      </c>
      <c r="C23" s="29">
        <v>45835</v>
      </c>
      <c r="D23" s="85">
        <f>SUM(C$5:C23)-(F23*G23)</f>
        <v>-30890.076923076995</v>
      </c>
      <c r="E23" s="24">
        <f>SUM(C$5:C23)/G23</f>
        <v>44528.052631578947</v>
      </c>
      <c r="F23" s="30">
        <f t="shared" si="1"/>
        <v>46153.846153846156</v>
      </c>
      <c r="G23" s="20">
        <v>19</v>
      </c>
      <c r="H23" s="89">
        <v>43123</v>
      </c>
      <c r="I23" s="12">
        <v>23586</v>
      </c>
      <c r="J23" s="85">
        <f>SUM(I$5:I23)-(L23*G23)</f>
        <v>34665.307692307688</v>
      </c>
      <c r="K23" s="10">
        <f>SUM(I$5:I23)/G23</f>
        <v>17209.105263157893</v>
      </c>
      <c r="L23" s="10">
        <f t="shared" si="0"/>
        <v>15384.615384615385</v>
      </c>
    </row>
    <row r="24" spans="2:12" ht="20.100000000000001" customHeight="1" x14ac:dyDescent="0.2">
      <c r="B24" s="89">
        <v>43124</v>
      </c>
      <c r="C24" s="29">
        <v>65888</v>
      </c>
      <c r="D24" s="85">
        <f>SUM(C$5:C24)-(F24*G24)</f>
        <v>-11155.923076923122</v>
      </c>
      <c r="E24" s="24">
        <f>SUM(C$5:C24)/G24</f>
        <v>45596.05</v>
      </c>
      <c r="F24" s="30">
        <f t="shared" si="1"/>
        <v>46153.846153846156</v>
      </c>
      <c r="G24" s="20">
        <v>20</v>
      </c>
      <c r="H24" s="89">
        <v>43124</v>
      </c>
      <c r="I24" s="12">
        <v>33495</v>
      </c>
      <c r="J24" s="85">
        <f>SUM(I$5:I24)-(L24*G24)</f>
        <v>52775.692307692312</v>
      </c>
      <c r="K24" s="10">
        <f>SUM(I$5:I24)/G24</f>
        <v>18023.400000000001</v>
      </c>
      <c r="L24" s="10">
        <f t="shared" si="0"/>
        <v>15384.615384615385</v>
      </c>
    </row>
    <row r="25" spans="2:12" ht="20.100000000000001" customHeight="1" x14ac:dyDescent="0.2">
      <c r="B25" s="89">
        <v>43125</v>
      </c>
      <c r="C25" s="29">
        <v>44857</v>
      </c>
      <c r="D25" s="85">
        <f>SUM(C$5:C25)-(F25*G25)</f>
        <v>-12452.769230769249</v>
      </c>
      <c r="E25" s="24">
        <f>SUM(C$5:C25)/G25</f>
        <v>45560.857142857145</v>
      </c>
      <c r="F25" s="30">
        <f t="shared" si="1"/>
        <v>46153.846153846156</v>
      </c>
      <c r="G25" s="20">
        <v>21</v>
      </c>
      <c r="H25" s="89">
        <v>43125</v>
      </c>
      <c r="I25" s="12">
        <v>38663</v>
      </c>
      <c r="J25" s="85">
        <f>SUM(I$5:I25)-(L25*G25)</f>
        <v>76054.076923076937</v>
      </c>
      <c r="K25" s="10">
        <f>SUM(I$5:I25)/G25</f>
        <v>19006.238095238095</v>
      </c>
      <c r="L25" s="10">
        <f t="shared" si="0"/>
        <v>15384.615384615385</v>
      </c>
    </row>
    <row r="26" spans="2:12" ht="20.100000000000001" customHeight="1" x14ac:dyDescent="0.2">
      <c r="B26" s="89">
        <v>43126</v>
      </c>
      <c r="C26" s="29">
        <v>23518</v>
      </c>
      <c r="D26" s="85">
        <f>SUM(C$5:C26)-(F26*G26)</f>
        <v>-35088.615384615492</v>
      </c>
      <c r="E26" s="24">
        <f>SUM(C$5:C26)/G26</f>
        <v>44558.909090909088</v>
      </c>
      <c r="F26" s="30">
        <f t="shared" si="1"/>
        <v>46153.846153846156</v>
      </c>
      <c r="G26" s="20">
        <v>22</v>
      </c>
      <c r="H26" s="89">
        <v>43126</v>
      </c>
      <c r="I26" s="12">
        <v>11805</v>
      </c>
      <c r="J26" s="85">
        <f>SUM(I$5:I26)-(L26*G26)</f>
        <v>72474.461538461561</v>
      </c>
      <c r="K26" s="10">
        <f>SUM(I$5:I26)/G26</f>
        <v>18678.909090909092</v>
      </c>
      <c r="L26" s="10">
        <f t="shared" si="0"/>
        <v>15384.615384615385</v>
      </c>
    </row>
    <row r="27" spans="2:12" ht="20.100000000000001" customHeight="1" x14ac:dyDescent="0.2">
      <c r="B27" s="89">
        <v>43127</v>
      </c>
      <c r="C27" s="29">
        <v>57603</v>
      </c>
      <c r="D27" s="85">
        <f>SUM(C$5:C27)-(F27*G27)</f>
        <v>-23639.461538461503</v>
      </c>
      <c r="E27" s="24">
        <f>SUM(C$5:C27)/G27</f>
        <v>45126.043478260872</v>
      </c>
      <c r="F27" s="30">
        <f t="shared" si="1"/>
        <v>46153.846153846156</v>
      </c>
      <c r="G27" s="20">
        <v>23</v>
      </c>
      <c r="H27" s="89">
        <v>43127</v>
      </c>
      <c r="I27" s="12">
        <v>27531</v>
      </c>
      <c r="J27" s="85">
        <f>SUM(I$5:I27)-(L27*G27)</f>
        <v>84620.846153846127</v>
      </c>
      <c r="K27" s="10">
        <f>SUM(I$5:I27)/G27</f>
        <v>19063.782608695652</v>
      </c>
      <c r="L27" s="10">
        <f t="shared" si="0"/>
        <v>15384.615384615385</v>
      </c>
    </row>
    <row r="28" spans="2:12" ht="20.100000000000001" customHeight="1" x14ac:dyDescent="0.2">
      <c r="B28" s="89">
        <v>43129</v>
      </c>
      <c r="C28" s="29">
        <v>55743</v>
      </c>
      <c r="D28" s="85">
        <f>SUM(C$5:C28)-(F28*G28)</f>
        <v>-14050.307692307746</v>
      </c>
      <c r="E28" s="24">
        <f>SUM(C$5:C28)/G28</f>
        <v>45568.416666666664</v>
      </c>
      <c r="F28" s="30">
        <f t="shared" si="1"/>
        <v>46153.846153846156</v>
      </c>
      <c r="G28" s="20">
        <v>24</v>
      </c>
      <c r="H28" s="89">
        <v>43129</v>
      </c>
      <c r="I28" s="12">
        <v>55329</v>
      </c>
      <c r="J28" s="85">
        <f>SUM(I$5:I28)-(L28*G28)</f>
        <v>124565.23076923075</v>
      </c>
      <c r="K28" s="10">
        <f>SUM(I$5:I28)/G28</f>
        <v>20574.833333333332</v>
      </c>
      <c r="L28" s="10">
        <f t="shared" si="0"/>
        <v>15384.615384615385</v>
      </c>
    </row>
    <row r="29" spans="2:12" ht="20.100000000000001" customHeight="1" x14ac:dyDescent="0.2">
      <c r="B29" s="89">
        <v>43130</v>
      </c>
      <c r="C29" s="29">
        <v>36471</v>
      </c>
      <c r="D29" s="85">
        <f>SUM(C$5:C29)-(F29*G29)</f>
        <v>-23733.153846153989</v>
      </c>
      <c r="E29" s="24">
        <f>SUM(C$5:C29)/G29</f>
        <v>45204.52</v>
      </c>
      <c r="F29" s="30">
        <f t="shared" si="1"/>
        <v>46153.846153846156</v>
      </c>
      <c r="G29" s="20">
        <v>25</v>
      </c>
      <c r="H29" s="89">
        <v>43130</v>
      </c>
      <c r="I29" s="12">
        <v>32028</v>
      </c>
      <c r="J29" s="85">
        <f>SUM(I$5:I29)-(L29*G29)</f>
        <v>141208.61538461538</v>
      </c>
      <c r="K29" s="10">
        <f>SUM(I$5:I29)/G29</f>
        <v>21032.959999999999</v>
      </c>
      <c r="L29" s="10">
        <f t="shared" si="0"/>
        <v>15384.615384615385</v>
      </c>
    </row>
    <row r="30" spans="2:12" ht="20.100000000000001" customHeight="1" x14ac:dyDescent="0.2">
      <c r="B30" s="89">
        <v>43131</v>
      </c>
      <c r="C30" s="29">
        <v>23843</v>
      </c>
      <c r="D30" s="85">
        <f>SUM(C$5:C30)-(F30*G30)</f>
        <v>-46044</v>
      </c>
      <c r="E30" s="24">
        <f>SUM(C$5:C30)/G30</f>
        <v>44382.923076923078</v>
      </c>
      <c r="F30" s="30">
        <f t="shared" si="1"/>
        <v>46153.846153846156</v>
      </c>
      <c r="G30" s="20">
        <v>26</v>
      </c>
      <c r="H30" s="89">
        <v>43131</v>
      </c>
      <c r="I30" s="12">
        <v>8684</v>
      </c>
      <c r="J30" s="85">
        <f>SUM(I$5:I30)-(L30*G30)</f>
        <v>134508</v>
      </c>
      <c r="K30" s="10">
        <f>SUM(I$5:I30)/G30</f>
        <v>20558</v>
      </c>
      <c r="L30" s="10">
        <f t="shared" si="0"/>
        <v>15384.615384615385</v>
      </c>
    </row>
    <row r="31" spans="2:12" ht="20.100000000000001" customHeight="1" x14ac:dyDescent="0.2">
      <c r="B31" s="19" t="s">
        <v>8</v>
      </c>
      <c r="C31" s="12">
        <f>SUM(C5:C30)</f>
        <v>1153956</v>
      </c>
      <c r="D31" s="86"/>
      <c r="E31" s="23"/>
      <c r="F31" s="30">
        <v>1200000</v>
      </c>
      <c r="G31" s="18"/>
      <c r="H31" s="11" t="s">
        <v>8</v>
      </c>
      <c r="I31" s="12">
        <f>SUM(I5:I30)</f>
        <v>534508</v>
      </c>
      <c r="J31" s="8"/>
      <c r="K31" s="8"/>
      <c r="L31" s="10">
        <v>400000</v>
      </c>
    </row>
    <row r="32" spans="2:12" ht="19.5" customHeight="1" x14ac:dyDescent="0.2"/>
    <row r="33" spans="1:12" ht="19.5" customHeight="1" x14ac:dyDescent="0.2"/>
    <row r="35" spans="1:12" x14ac:dyDescent="0.2">
      <c r="A35" s="156"/>
      <c r="B35" s="156"/>
      <c r="C35" s="156"/>
      <c r="D35" s="156"/>
      <c r="I35" s="34"/>
      <c r="J35" s="32"/>
    </row>
    <row r="36" spans="1:12" x14ac:dyDescent="0.2">
      <c r="L36" s="33"/>
    </row>
  </sheetData>
  <mergeCells count="5">
    <mergeCell ref="B1:F2"/>
    <mergeCell ref="H1:L2"/>
    <mergeCell ref="B3:F3"/>
    <mergeCell ref="H3:L3"/>
    <mergeCell ref="A35:D35"/>
  </mergeCells>
  <conditionalFormatting sqref="D5:D30 J5:J31">
    <cfRule type="cellIs" dxfId="866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Plan159">
    <tabColor rgb="FF92D050"/>
    <pageSetUpPr fitToPage="1"/>
  </sheetPr>
  <dimension ref="A1:CD55"/>
  <sheetViews>
    <sheetView topLeftCell="A13" zoomScale="80" zoomScaleNormal="80" workbookViewId="0">
      <selection activeCell="CC37" sqref="CC37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11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48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44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Janeiro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Janeiro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Janeiro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Janeiro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27</v>
      </c>
      <c r="C7" s="75"/>
      <c r="D7" s="75"/>
      <c r="E7" s="90">
        <f>IF(D7&gt;0,SUM(D$7:D7)-SUM(C$7:C7),0)</f>
        <v>0</v>
      </c>
      <c r="F7" s="45">
        <f>IF(D7&gt;0,IF(C7&gt;0,D7/C7,0),0)</f>
        <v>0</v>
      </c>
      <c r="G7" s="75"/>
      <c r="H7" s="75"/>
      <c r="I7" s="75">
        <f>IF(H7&gt;0,SUM(H$7:H7)-SUM(G$7:G7),0)</f>
        <v>0</v>
      </c>
      <c r="J7" s="45">
        <f t="shared" ref="J7:J14" si="0">IF(H7&gt;0,IF(G7&gt;0,H7/G7,0),0)</f>
        <v>0</v>
      </c>
      <c r="K7" s="75"/>
      <c r="L7" s="75"/>
      <c r="M7" s="90">
        <f>IF(L7&gt;0,SUM(L$7:L7)-SUM(K$7:K7),0)</f>
        <v>0</v>
      </c>
      <c r="N7" s="45">
        <f t="shared" ref="N7:N17" si="1">IF(L7&gt;0,IF(K7&gt;0,L7/K7,0),0)</f>
        <v>0</v>
      </c>
      <c r="O7" s="35">
        <f t="shared" ref="O7:O14" si="2">IF(SUM(C7,G7,K7)&gt;0,SUM(C7,G7,K7),0)</f>
        <v>0</v>
      </c>
      <c r="P7" s="35">
        <f>IF(SUM(D7,H7,L7,)&gt;0,SUM(D7,H7,L7,),0)</f>
        <v>0</v>
      </c>
      <c r="Q7" s="91">
        <f>IF(P7&gt;0,SUM(P$7:P7)-SUM(O$7:O7),0)</f>
        <v>0</v>
      </c>
      <c r="R7" s="45">
        <f>IF(P7&gt;0,IF(O7&gt;0,P7/O7,0),0)</f>
        <v>0</v>
      </c>
      <c r="T7" s="47">
        <v>40817</v>
      </c>
      <c r="U7" s="54" t="str">
        <f>B7</f>
        <v>seg</v>
      </c>
      <c r="V7" s="75"/>
      <c r="W7" s="75"/>
      <c r="X7" s="92">
        <f>IF(W7&gt;0,SUM(W$7:W7)-SUM(V$7:V7),0)</f>
        <v>0</v>
      </c>
      <c r="Y7" s="60">
        <f>IF(W7&gt;0,IF(V7&gt;0,W7/V7,0),0)</f>
        <v>0</v>
      </c>
      <c r="Z7" s="75"/>
      <c r="AA7" s="75"/>
      <c r="AB7" s="92">
        <f>IF(AA7&gt;0,SUM(AA$7:AA7)-SUM(Z$7:Z7),0)</f>
        <v>0</v>
      </c>
      <c r="AC7" s="60">
        <f>IF(AA7&gt;0,IF(Z7&gt;0,AA7/Z7,0),0)</f>
        <v>0</v>
      </c>
      <c r="AD7" s="75"/>
      <c r="AE7" s="75"/>
      <c r="AF7" s="92">
        <f>IF(AE7&gt;0,SUM(AE$7:AE7)-SUM(AD$7:AD7),0)</f>
        <v>0</v>
      </c>
      <c r="AG7" s="60">
        <f>IF(AE7&gt;0,IF(AD7&gt;0,AE7/AD7,0),0)</f>
        <v>0</v>
      </c>
      <c r="AH7" s="41">
        <f t="shared" ref="AH7:AI38" si="3">IF(SUM(V7,Z7,AD7)&gt;0,SUM(V7,Z7,AD7),0)</f>
        <v>0</v>
      </c>
      <c r="AI7" s="41">
        <f>IF(SUM(W7,AA7,AE7,)&gt;0,SUM(W7,AA7,AE7),0)</f>
        <v>0</v>
      </c>
      <c r="AJ7" s="93">
        <f>IF(AI7&gt;0,SUM(AI$7:AI7)-SUM(AH$7:AH7),0)</f>
        <v>0</v>
      </c>
      <c r="AK7" s="60">
        <f>IF(AI7&gt;0,IF(AH7&gt;0,AI7/AH7,0),0)</f>
        <v>0</v>
      </c>
      <c r="AM7" s="47">
        <v>40817</v>
      </c>
      <c r="AN7" s="54" t="str">
        <f>U7</f>
        <v>seg</v>
      </c>
      <c r="AO7" s="75"/>
      <c r="AP7" s="75"/>
      <c r="AQ7" s="75">
        <f>IF(AP7&gt;0,SUM(AP$7:AP7)-SUM(AO$7:AO7),0)</f>
        <v>0</v>
      </c>
      <c r="AR7" s="45">
        <f>IF(AP7&gt;0,IF(AO7&gt;0,AP7/AO7,0),0)</f>
        <v>0</v>
      </c>
      <c r="AS7" s="75"/>
      <c r="AT7" s="75"/>
      <c r="AU7" s="90">
        <f>IF(AT7&gt;0,SUM(AT$7:AT7)-SUM(AS$7:AS7),0)</f>
        <v>0</v>
      </c>
      <c r="AV7" s="45">
        <f>IF(AT7&gt;0,IF(AS7&gt;0,AT7/AS7,0),0)</f>
        <v>0</v>
      </c>
      <c r="AW7" s="75"/>
      <c r="AX7" s="75"/>
      <c r="AY7" s="90">
        <f>IF(AX7&gt;0,SUM(AX$7:AX7)-SUM(AW$7:AW7),0)</f>
        <v>0</v>
      </c>
      <c r="AZ7" s="45">
        <f>IF(AX7&gt;0,IF(AW7&gt;0,AX7/AW7,0),0)</f>
        <v>0</v>
      </c>
      <c r="BA7" s="35">
        <f t="shared" ref="BA7:BA38" si="4">IF(SUM(AO7,AS7,AW7)&gt;0,SUM(AO7,AS7,AW7),0)</f>
        <v>0</v>
      </c>
      <c r="BB7" s="35">
        <f>IF(SUM(AP7,AT7,AX7,)&gt;0,SUM(AP7,AT7,AX7,),0)</f>
        <v>0</v>
      </c>
      <c r="BC7" s="91">
        <f>IF(BB7&gt;0,SUM(BB$7:BB7)-SUM(BA$7:BA7),0)</f>
        <v>0</v>
      </c>
      <c r="BD7" s="45">
        <f>IF(BB7&gt;0,IF(BA7&gt;0,BB7/BA7,0),0)</f>
        <v>0</v>
      </c>
      <c r="BF7" s="47">
        <v>40817</v>
      </c>
      <c r="BG7" s="54" t="str">
        <f>AN7</f>
        <v>seg</v>
      </c>
      <c r="BH7" s="75"/>
      <c r="BI7" s="75"/>
      <c r="BJ7" s="75">
        <f>IF(BI7&gt;0,SUM(BI$7:BI7)-SUM(BH$7:BH7),0)</f>
        <v>0</v>
      </c>
      <c r="BK7" s="45">
        <f>IF(BI7&gt;0,IF(BH7&gt;0,BI7/BH7,0),0)</f>
        <v>0</v>
      </c>
      <c r="BL7" s="75"/>
      <c r="BM7" s="75"/>
      <c r="BN7" s="90">
        <f>IF(BM7&gt;0,SUM(BM$7:BM7)-SUM(BL$7:BL7),0)</f>
        <v>0</v>
      </c>
      <c r="BO7" s="45">
        <f>IF(BM7&gt;0,IF(BL7&gt;0,BM7/BL7,0),0)</f>
        <v>0</v>
      </c>
      <c r="BP7" s="75"/>
      <c r="BQ7" s="75"/>
      <c r="BR7" s="90">
        <f>IF(BQ7&gt;0,SUM(BQ$7:BQ7)-SUM(BP$7:BP7),0)</f>
        <v>0</v>
      </c>
      <c r="BS7" s="45">
        <f>IF(BQ7&gt;0,IF(BP7&gt;0,BQ7/BP7,0),0)</f>
        <v>0</v>
      </c>
      <c r="BT7" s="35">
        <f t="shared" ref="BT7:BU38" si="5">IF(SUM(BH7,BL7,BP7)&gt;0,SUM(BH7,BL7,BP7),0)</f>
        <v>0</v>
      </c>
      <c r="BU7" s="35">
        <f t="shared" si="5"/>
        <v>0</v>
      </c>
      <c r="BV7" s="91">
        <f>IF(BU7&gt;0,SUM(BU$7:BU7)-SUM(BT$7:BT7),0)</f>
        <v>0</v>
      </c>
      <c r="BW7" s="45">
        <f>IF(BU7&gt;0,IF(BT7&gt;0,BU7/BT7,0),0)</f>
        <v>0</v>
      </c>
      <c r="BY7" s="47">
        <v>40817</v>
      </c>
      <c r="BZ7" s="54" t="str">
        <f>BG7</f>
        <v>seg</v>
      </c>
      <c r="CA7" s="75"/>
      <c r="CB7" s="75"/>
      <c r="CC7" s="90">
        <f>IF(CB7&gt;0,SUM(CB$7:CB7)-SUM(CA7:CA$7),0)</f>
        <v>0</v>
      </c>
      <c r="CD7" s="45">
        <f>IF(CB7&gt;0,IF(CA7&gt;0,CB7/CA7,0),0)</f>
        <v>0</v>
      </c>
    </row>
    <row r="8" spans="1:82" x14ac:dyDescent="0.25">
      <c r="A8" s="47">
        <f>A7+1</f>
        <v>40818</v>
      </c>
      <c r="B8" s="54" t="s">
        <v>28</v>
      </c>
      <c r="C8" s="75">
        <v>12900</v>
      </c>
      <c r="D8" s="75">
        <v>7087</v>
      </c>
      <c r="E8" s="90">
        <f>IF(D8&gt;0,SUM(D$7:D8)-SUM(C$7:C8),0)</f>
        <v>-5813</v>
      </c>
      <c r="F8" s="45">
        <f>IF(D8&gt;0,IF(C8&gt;0,D8/C8,0),0)</f>
        <v>0.54937984496124026</v>
      </c>
      <c r="G8" s="75">
        <v>12900</v>
      </c>
      <c r="H8" s="36">
        <v>10863</v>
      </c>
      <c r="I8" s="75">
        <f>IF(H8&gt;0,SUM(H$7:H8)-SUM(G$7:G8),0)</f>
        <v>-2037</v>
      </c>
      <c r="J8" s="45">
        <f t="shared" si="0"/>
        <v>0.84209302325581392</v>
      </c>
      <c r="K8" s="75">
        <v>12900</v>
      </c>
      <c r="L8" s="75">
        <v>13198</v>
      </c>
      <c r="M8" s="90">
        <f>IF(L8&gt;0,SUM(L$7:L8)-SUM(K$7:K8),0)</f>
        <v>298</v>
      </c>
      <c r="N8" s="45">
        <f t="shared" si="1"/>
        <v>1.0231007751937984</v>
      </c>
      <c r="O8" s="35">
        <f t="shared" si="2"/>
        <v>38700</v>
      </c>
      <c r="P8" s="35">
        <f t="shared" ref="P8:P37" si="6">IF(SUM(D8,H8,L8,)&gt;0,SUM(D8,H8,L8,),0)</f>
        <v>31148</v>
      </c>
      <c r="Q8" s="91">
        <f>IF(P8&gt;0,SUM(P$7:P8)-SUM(O$7:O8),0)</f>
        <v>-7552</v>
      </c>
      <c r="R8" s="45">
        <f>IF(P8&gt;0,IF(O8&gt;0,P8/O8,0),0)</f>
        <v>0.80485788113695089</v>
      </c>
      <c r="T8" s="47">
        <f>T7+1</f>
        <v>40818</v>
      </c>
      <c r="U8" s="54" t="str">
        <f t="shared" ref="U8:U37" si="7">B8</f>
        <v>ter</v>
      </c>
      <c r="V8" s="75">
        <v>12340</v>
      </c>
      <c r="W8" s="75">
        <v>5948</v>
      </c>
      <c r="X8" s="92">
        <f>IF(W8&gt;0,SUM(W$7:W8)-SUM(V$7:V8),0)</f>
        <v>-6392</v>
      </c>
      <c r="Y8" s="60">
        <f>IF(W8&gt;0,IF(V8&gt;0,W8/V8,0),0)</f>
        <v>0.48200972447325768</v>
      </c>
      <c r="Z8" s="75">
        <v>12340</v>
      </c>
      <c r="AA8" s="75">
        <v>6003</v>
      </c>
      <c r="AB8" s="92">
        <f>IF(AA8&gt;0,SUM(AA$7:AA8)-SUM(Z$7:Z8),0)</f>
        <v>-6337</v>
      </c>
      <c r="AC8" s="60">
        <f>IF(AA8&gt;0,IF(Z8&gt;0,AA8/Z8,0),0)</f>
        <v>0.48646677471636951</v>
      </c>
      <c r="AD8" s="75">
        <v>12340</v>
      </c>
      <c r="AE8" s="75">
        <v>6938</v>
      </c>
      <c r="AF8" s="92">
        <f>IF(AE8&gt;0,SUM(AE$7:AE8)-SUM(AD$7:AD8),0)</f>
        <v>-5402</v>
      </c>
      <c r="AG8" s="60">
        <f>IF(AE8&gt;0,IF(AD8&gt;0,AE8/AD8,0),0)</f>
        <v>0.56223662884927061</v>
      </c>
      <c r="AH8" s="41">
        <f t="shared" si="3"/>
        <v>37020</v>
      </c>
      <c r="AI8" s="41">
        <f t="shared" ref="AI8:AI37" si="8">IF(SUM(W8,AA8,AE8,)&gt;0,SUM(W8,AA8,AE8),0)</f>
        <v>18889</v>
      </c>
      <c r="AJ8" s="93">
        <f>IF(AI8&gt;0,SUM(AI$7:AI8)-SUM(AH$7:AH8),0)</f>
        <v>-18131</v>
      </c>
      <c r="AK8" s="60">
        <f>IF(AI8&gt;0,IF(AH8&gt;0,AI8/AH8,0),0)</f>
        <v>0.51023770934629931</v>
      </c>
      <c r="AM8" s="47">
        <f>AM7+1</f>
        <v>40818</v>
      </c>
      <c r="AN8" s="54" t="str">
        <f t="shared" ref="AN8:AN37" si="9">U8</f>
        <v>ter</v>
      </c>
      <c r="AO8" s="75">
        <v>7700</v>
      </c>
      <c r="AP8" s="75">
        <v>5204</v>
      </c>
      <c r="AQ8" s="75">
        <f>IF(AP8&gt;0,SUM(AP$7:AP8)-SUM(AO$7:AO8),0)</f>
        <v>-2496</v>
      </c>
      <c r="AR8" s="45">
        <f>IF(AP8&gt;0,IF(AO8&gt;0,AP8/AO8,0),0)</f>
        <v>0.6758441558441558</v>
      </c>
      <c r="AS8" s="75">
        <v>7700</v>
      </c>
      <c r="AT8" s="75">
        <v>5775</v>
      </c>
      <c r="AU8" s="90">
        <f>IF(AT8&gt;0,SUM(AT$7:AT8)-SUM(AS$7:AS8),0)</f>
        <v>-1925</v>
      </c>
      <c r="AV8" s="45">
        <f>IF(AT8&gt;0,IF(AS8&gt;0,AT8/AS8,0),0)</f>
        <v>0.75</v>
      </c>
      <c r="AW8" s="75">
        <v>7700</v>
      </c>
      <c r="AX8" s="75">
        <v>3094</v>
      </c>
      <c r="AY8" s="90">
        <f>IF(AX8&gt;0,SUM(AX$7:AX8)-SUM(AW$7:AW8),0)</f>
        <v>-4606</v>
      </c>
      <c r="AZ8" s="45">
        <f>IF(AX8&gt;0,IF(AW8&gt;0,AX8/AW8,0),0)</f>
        <v>0.4018181818181818</v>
      </c>
      <c r="BA8" s="35">
        <f t="shared" si="4"/>
        <v>23100</v>
      </c>
      <c r="BB8" s="35">
        <f t="shared" ref="BB8:BB37" si="10">IF(SUM(AP8,AT8,AX8,)&gt;0,SUM(AP8,AT8,AX8,),0)</f>
        <v>14073</v>
      </c>
      <c r="BC8" s="91">
        <f>IF(BB8&gt;0,SUM(BB$7:BB8)-SUM(BA$7:BA8),0)</f>
        <v>-9027</v>
      </c>
      <c r="BD8" s="45">
        <f>IF(BB8&gt;0,IF(BA8&gt;0,BB8/BA8,0),0)</f>
        <v>0.60922077922077922</v>
      </c>
      <c r="BF8" s="47">
        <f>BF7+1</f>
        <v>40818</v>
      </c>
      <c r="BG8" s="54" t="str">
        <f t="shared" ref="BG8:BG37" si="11">AN8</f>
        <v>ter</v>
      </c>
      <c r="BH8" s="75">
        <v>18200</v>
      </c>
      <c r="BI8" s="75">
        <v>10714</v>
      </c>
      <c r="BJ8" s="75">
        <f>IF(BI8&gt;0,SUM(BI$7:BI8)-SUM(BH$7:BH8),0)</f>
        <v>-7486</v>
      </c>
      <c r="BK8" s="45">
        <f>IF(BI8&gt;0,IF(BH8&gt;0,BI8/BH8,0),0)</f>
        <v>0.58868131868131868</v>
      </c>
      <c r="BL8" s="75">
        <v>8000</v>
      </c>
      <c r="BM8" s="75">
        <v>3361</v>
      </c>
      <c r="BN8" s="90">
        <f>IF(BM8&gt;0,SUM(BM$7:BM8)-SUM(BL$7:BL8),0)</f>
        <v>-4639</v>
      </c>
      <c r="BO8" s="45">
        <f>IF(BM8&gt;0,IF(BL8&gt;0,BM8/BL8,0),0)</f>
        <v>0.42012500000000003</v>
      </c>
      <c r="BP8" s="75">
        <v>11000</v>
      </c>
      <c r="BQ8" s="75">
        <v>5773</v>
      </c>
      <c r="BR8" s="90">
        <f>IF(BQ8&gt;0,SUM(BQ$7:BQ8)-SUM(BP$7:BP8),0)</f>
        <v>-5227</v>
      </c>
      <c r="BS8" s="45">
        <f>IF(BQ8&gt;0,IF(BP8&gt;0,BQ8/BP8,0),0)</f>
        <v>0.52481818181818185</v>
      </c>
      <c r="BT8" s="35">
        <f t="shared" si="5"/>
        <v>37200</v>
      </c>
      <c r="BU8" s="35">
        <f t="shared" si="5"/>
        <v>19848</v>
      </c>
      <c r="BV8" s="91">
        <f>IF(BU8&gt;0,SUM(BU$7:BU8)-SUM(BT$7:BT8),0)</f>
        <v>-17352</v>
      </c>
      <c r="BW8" s="45">
        <f>IF(BU8&gt;0,IF(BT8&gt;0,BU8/BT8,0),0)</f>
        <v>0.53354838709677421</v>
      </c>
      <c r="BY8" s="47">
        <f>BY7+1</f>
        <v>40818</v>
      </c>
      <c r="BZ8" s="54" t="str">
        <f t="shared" ref="BZ8:BZ37" si="12">BG8</f>
        <v>ter</v>
      </c>
      <c r="CA8" s="75">
        <v>5000</v>
      </c>
      <c r="CB8" s="75">
        <v>6648</v>
      </c>
      <c r="CC8" s="90">
        <f>IF(CB8&gt;0,SUM(CB$7:CB8)-SUM(CA$7:CA8),0)</f>
        <v>1648</v>
      </c>
      <c r="CD8" s="45">
        <f>IF(CB8&gt;0,IF(CA8&gt;0,CB8/CA8,0),0)</f>
        <v>1.3295999999999999</v>
      </c>
    </row>
    <row r="9" spans="1:82" x14ac:dyDescent="0.25">
      <c r="A9" s="47">
        <f t="shared" ref="A9:A36" si="13">A8+1</f>
        <v>40819</v>
      </c>
      <c r="B9" s="54" t="s">
        <v>22</v>
      </c>
      <c r="C9" s="75">
        <v>12900</v>
      </c>
      <c r="D9" s="75">
        <v>12058</v>
      </c>
      <c r="E9" s="90">
        <f>IF(D9&gt;0,SUM(D$7:D9)-SUM(C$7:C9),0)</f>
        <v>-6655</v>
      </c>
      <c r="F9" s="45">
        <f t="shared" ref="F9:F38" si="14">IF(D9&gt;0,IF(C9&gt;0,D9/C9,0),0)</f>
        <v>0.93472868217054261</v>
      </c>
      <c r="G9" s="75">
        <v>12900</v>
      </c>
      <c r="H9" s="75">
        <v>5739</v>
      </c>
      <c r="I9" s="75">
        <f>IF(H9&gt;0,SUM(H$7:H9)-SUM(G$7:G9),0)</f>
        <v>-9198</v>
      </c>
      <c r="J9" s="45">
        <f t="shared" si="0"/>
        <v>0.44488372093023254</v>
      </c>
      <c r="K9" s="75">
        <v>12900</v>
      </c>
      <c r="L9" s="75">
        <v>8716</v>
      </c>
      <c r="M9" s="90">
        <f>IF(L9&gt;0,SUM(L$7:L9)-SUM(K$7:K9),0)</f>
        <v>-3886</v>
      </c>
      <c r="N9" s="45">
        <f t="shared" si="1"/>
        <v>0.67565891472868223</v>
      </c>
      <c r="O9" s="35">
        <f t="shared" si="2"/>
        <v>38700</v>
      </c>
      <c r="P9" s="35">
        <f t="shared" si="6"/>
        <v>26513</v>
      </c>
      <c r="Q9" s="91">
        <f>IF(P9&gt;0,SUM(P$7:P9)-SUM(O$7:O9),0)</f>
        <v>-19739</v>
      </c>
      <c r="R9" s="45">
        <f t="shared" ref="R9:R38" si="15">IF(P9&gt;0,IF(O9&gt;0,P9/O9,0),0)</f>
        <v>0.68509043927648583</v>
      </c>
      <c r="T9" s="47">
        <f t="shared" ref="T9:T36" si="16">T8+1</f>
        <v>40819</v>
      </c>
      <c r="U9" s="54" t="str">
        <f t="shared" si="7"/>
        <v>qua</v>
      </c>
      <c r="V9" s="75">
        <v>12340</v>
      </c>
      <c r="W9" s="75">
        <v>9674</v>
      </c>
      <c r="X9" s="92">
        <f>IF(W9&gt;0,SUM(W$7:W9)-SUM(V$7:V9),0)</f>
        <v>-9058</v>
      </c>
      <c r="Y9" s="60">
        <f t="shared" ref="Y9:Y38" si="17">IF(W9&gt;0,IF(V9&gt;0,W9/V9,0),0)</f>
        <v>0.78395461912479736</v>
      </c>
      <c r="Z9" s="75">
        <v>12340</v>
      </c>
      <c r="AA9" s="75">
        <v>9926</v>
      </c>
      <c r="AB9" s="92">
        <f>IF(AA9&gt;0,SUM(AA$7:AA9)-SUM(Z$7:Z9),0)</f>
        <v>-8751</v>
      </c>
      <c r="AC9" s="60">
        <f t="shared" ref="AC9:AC38" si="18">IF(AA9&gt;0,IF(Z9&gt;0,AA9/Z9,0),0)</f>
        <v>0.80437601296596439</v>
      </c>
      <c r="AD9" s="75">
        <v>12340</v>
      </c>
      <c r="AE9" s="75">
        <v>10594</v>
      </c>
      <c r="AF9" s="92">
        <f>IF(AE9&gt;0,SUM(AE$7:AE9)-SUM(AD$7:AD9),0)</f>
        <v>-7148</v>
      </c>
      <c r="AG9" s="60">
        <f t="shared" ref="AG9:AG38" si="19">IF(AE9&gt;0,IF(AD9&gt;0,AE9/AD9,0),0)</f>
        <v>0.85850891410048624</v>
      </c>
      <c r="AH9" s="41">
        <f t="shared" si="3"/>
        <v>37020</v>
      </c>
      <c r="AI9" s="41">
        <f t="shared" si="8"/>
        <v>30194</v>
      </c>
      <c r="AJ9" s="93">
        <f>IF(AI9&gt;0,SUM(AI$7:AI9)-SUM(AH$7:AH9),0)</f>
        <v>-24957</v>
      </c>
      <c r="AK9" s="60">
        <f t="shared" ref="AK9:AK37" si="20">IF(AI9&gt;0,IF(AH9&gt;0,AI9/AH9,0),0)</f>
        <v>0.81561318206374933</v>
      </c>
      <c r="AM9" s="47">
        <f t="shared" ref="AM9:AM36" si="21">AM8+1</f>
        <v>40819</v>
      </c>
      <c r="AN9" s="54" t="str">
        <f t="shared" si="9"/>
        <v>qua</v>
      </c>
      <c r="AO9" s="75">
        <v>7700</v>
      </c>
      <c r="AP9" s="75">
        <v>6306</v>
      </c>
      <c r="AQ9" s="75">
        <f>IF(AP9&gt;0,SUM(AP$7:AP9)-SUM(AO$7:AO9),0)</f>
        <v>-3890</v>
      </c>
      <c r="AR9" s="45">
        <f t="shared" ref="AR9:AR38" si="22">IF(AP9&gt;0,IF(AO9&gt;0,AP9/AO9,0),0)</f>
        <v>0.818961038961039</v>
      </c>
      <c r="AS9" s="75">
        <v>7700</v>
      </c>
      <c r="AT9" s="75">
        <v>5858</v>
      </c>
      <c r="AU9" s="90">
        <f>IF(AT9&gt;0,SUM(AT$7:AT9)-SUM(AS$7:AS9),0)</f>
        <v>-3767</v>
      </c>
      <c r="AV9" s="45">
        <f t="shared" ref="AV9:AV38" si="23">IF(AT9&gt;0,IF(AS9&gt;0,AT9/AS9,0),0)</f>
        <v>0.76077922077922078</v>
      </c>
      <c r="AW9" s="75">
        <v>7700</v>
      </c>
      <c r="AX9" s="75">
        <v>6253</v>
      </c>
      <c r="AY9" s="90">
        <f>IF(AX9&gt;0,SUM(AX$7:AX9)-SUM(AW$7:AW9),0)</f>
        <v>-6053</v>
      </c>
      <c r="AZ9" s="45">
        <f>IF(AX9&gt;0,IF(AW9&gt;0,AX9/AW9,0),0)</f>
        <v>0.81207792207792207</v>
      </c>
      <c r="BA9" s="35">
        <f t="shared" si="4"/>
        <v>23100</v>
      </c>
      <c r="BB9" s="35">
        <f t="shared" si="10"/>
        <v>18417</v>
      </c>
      <c r="BC9" s="91">
        <f>IF(BB9&gt;0,SUM(BB$7:BB9)-SUM(BA$7:BA9),0)</f>
        <v>-13710</v>
      </c>
      <c r="BD9" s="45">
        <f t="shared" ref="BD9:BD38" si="24">IF(BB9&gt;0,IF(BA9&gt;0,BB9/BA9,0),0)</f>
        <v>0.79727272727272724</v>
      </c>
      <c r="BF9" s="47">
        <f t="shared" ref="BF9:BF36" si="25">BF8+1</f>
        <v>40819</v>
      </c>
      <c r="BG9" s="54" t="str">
        <f t="shared" si="11"/>
        <v>qua</v>
      </c>
      <c r="BH9" s="75">
        <v>18200</v>
      </c>
      <c r="BI9" s="75">
        <v>12233</v>
      </c>
      <c r="BJ9" s="75">
        <f>IF(BI9&gt;0,SUM(BI$7:BI9)-SUM(BH$7:BH9),0)</f>
        <v>-13453</v>
      </c>
      <c r="BK9" s="45">
        <f t="shared" ref="BK9:BK38" si="26">IF(BI9&gt;0,IF(BH9&gt;0,BI9/BH9,0),0)</f>
        <v>0.67214285714285715</v>
      </c>
      <c r="BL9" s="75">
        <v>8000</v>
      </c>
      <c r="BM9" s="75">
        <v>6186</v>
      </c>
      <c r="BN9" s="90">
        <f>IF(BM9&gt;0,SUM(BM$7:BM9)-SUM(BL$7:BL9),0)</f>
        <v>-6453</v>
      </c>
      <c r="BO9" s="45">
        <f t="shared" ref="BO9:BO38" si="27">IF(BM9&gt;0,IF(BL9&gt;0,BM9/BL9,0),0)</f>
        <v>0.77324999999999999</v>
      </c>
      <c r="BP9" s="75">
        <v>11000</v>
      </c>
      <c r="BQ9" s="75">
        <v>5143</v>
      </c>
      <c r="BR9" s="90">
        <f>IF(BQ9&gt;0,SUM(BQ$7:BQ9)-SUM(BP$7:BP9),0)</f>
        <v>-11084</v>
      </c>
      <c r="BS9" s="45">
        <f>IF(BQ9&gt;0,IF(BP9&gt;0,BQ9/BP9,0),0)</f>
        <v>0.46754545454545454</v>
      </c>
      <c r="BT9" s="35">
        <f>IF(SUM(BH9,BL9,BP9)&gt;0,SUM(BH9,BL9,BP9),0)</f>
        <v>37200</v>
      </c>
      <c r="BU9" s="35">
        <f t="shared" si="5"/>
        <v>23562</v>
      </c>
      <c r="BV9" s="91">
        <f>IF(BU9&gt;0,SUM(BU$7:BU9)-SUM(BT$7:BT9),0)</f>
        <v>-30990</v>
      </c>
      <c r="BW9" s="45">
        <f t="shared" ref="BW9:BW38" si="28">IF(BU9&gt;0,IF(BT9&gt;0,BU9/BT9,0),0)</f>
        <v>0.63338709677419358</v>
      </c>
      <c r="BY9" s="47">
        <f t="shared" ref="BY9:BY36" si="29">BY8+1</f>
        <v>40819</v>
      </c>
      <c r="BZ9" s="54" t="str">
        <f t="shared" si="12"/>
        <v>qua</v>
      </c>
      <c r="CA9" s="75">
        <v>5000</v>
      </c>
      <c r="CB9" s="75">
        <v>4659</v>
      </c>
      <c r="CC9" s="90">
        <f>IF(CB9&gt;0,SUM(CB$7:CB9)-SUM(CA$7:CA9),0)</f>
        <v>1307</v>
      </c>
      <c r="CD9" s="45">
        <f t="shared" ref="CD9:CD38" si="30">IF(CB9&gt;0,IF(CA9&gt;0,CB9/CA9,0),0)</f>
        <v>0.93179999999999996</v>
      </c>
    </row>
    <row r="10" spans="1:82" x14ac:dyDescent="0.25">
      <c r="A10" s="47">
        <f t="shared" si="13"/>
        <v>40820</v>
      </c>
      <c r="B10" s="54" t="s">
        <v>23</v>
      </c>
      <c r="C10" s="75">
        <v>12900</v>
      </c>
      <c r="D10" s="75">
        <v>14397</v>
      </c>
      <c r="E10" s="90">
        <f>IF(D10&gt;0,SUM(D$7:D10)-SUM(C$7:C10),0)</f>
        <v>-5158</v>
      </c>
      <c r="F10" s="45">
        <f t="shared" si="14"/>
        <v>1.116046511627907</v>
      </c>
      <c r="G10" s="75">
        <v>12900</v>
      </c>
      <c r="H10" s="75">
        <v>10345</v>
      </c>
      <c r="I10" s="75">
        <f>IF(H10&gt;0,SUM(H$7:H10)-SUM(G$7:G10),0)</f>
        <v>-11753</v>
      </c>
      <c r="J10" s="45">
        <f t="shared" si="0"/>
        <v>0.80193798449612408</v>
      </c>
      <c r="K10" s="75">
        <v>12900</v>
      </c>
      <c r="L10" s="75">
        <v>9047</v>
      </c>
      <c r="M10" s="90">
        <f>IF(L10&gt;0,SUM(L$7:L10)-SUM(K$7:K10),0)</f>
        <v>-7739</v>
      </c>
      <c r="N10" s="45">
        <f t="shared" si="1"/>
        <v>0.70131782945736432</v>
      </c>
      <c r="O10" s="35">
        <f t="shared" si="2"/>
        <v>38700</v>
      </c>
      <c r="P10" s="35">
        <f t="shared" si="6"/>
        <v>33789</v>
      </c>
      <c r="Q10" s="91">
        <f>IF(P10&gt;0,SUM(P$7:P10)-SUM(O$7:O10),0)</f>
        <v>-24650</v>
      </c>
      <c r="R10" s="45">
        <f t="shared" si="15"/>
        <v>0.87310077519379847</v>
      </c>
      <c r="T10" s="47">
        <f t="shared" si="16"/>
        <v>40820</v>
      </c>
      <c r="U10" s="54" t="str">
        <f t="shared" si="7"/>
        <v>qui</v>
      </c>
      <c r="V10" s="75">
        <v>12340</v>
      </c>
      <c r="W10" s="75">
        <v>8189</v>
      </c>
      <c r="X10" s="92">
        <f>IF(W10&gt;0,SUM(W$7:W10)-SUM(V$7:V10),0)</f>
        <v>-13209</v>
      </c>
      <c r="Y10" s="60">
        <f t="shared" si="17"/>
        <v>0.66361426256077793</v>
      </c>
      <c r="Z10" s="75">
        <v>12340</v>
      </c>
      <c r="AA10" s="75">
        <v>11299</v>
      </c>
      <c r="AB10" s="92">
        <f>IF(AA10&gt;0,SUM(AA$7:AA10)-SUM(Z$7:Z10),0)</f>
        <v>-9792</v>
      </c>
      <c r="AC10" s="60">
        <f t="shared" si="18"/>
        <v>0.91564019448946521</v>
      </c>
      <c r="AD10" s="75">
        <v>12340</v>
      </c>
      <c r="AE10" s="75">
        <v>12811</v>
      </c>
      <c r="AF10" s="92">
        <f>IF(AE10&gt;0,SUM(AE$7:AE10)-SUM(AD$7:AD10),0)</f>
        <v>-6677</v>
      </c>
      <c r="AG10" s="60">
        <f t="shared" si="19"/>
        <v>1.0381685575364668</v>
      </c>
      <c r="AH10" s="41">
        <f t="shared" si="3"/>
        <v>37020</v>
      </c>
      <c r="AI10" s="41">
        <f t="shared" si="8"/>
        <v>32299</v>
      </c>
      <c r="AJ10" s="93">
        <f>IF(AI10&gt;0,SUM(AI$7:AI10)-SUM(AH$7:AH10),0)</f>
        <v>-29678</v>
      </c>
      <c r="AK10" s="60">
        <f t="shared" si="20"/>
        <v>0.87247433819556997</v>
      </c>
      <c r="AM10" s="47">
        <f t="shared" si="21"/>
        <v>40820</v>
      </c>
      <c r="AN10" s="54" t="str">
        <f t="shared" si="9"/>
        <v>qui</v>
      </c>
      <c r="AO10" s="75">
        <v>7700</v>
      </c>
      <c r="AP10" s="75">
        <v>8268</v>
      </c>
      <c r="AQ10" s="75">
        <f>IF(AP10&gt;0,SUM(AP$7:AP10)-SUM(AO$7:AO10),0)</f>
        <v>-3322</v>
      </c>
      <c r="AR10" s="45">
        <f t="shared" si="22"/>
        <v>1.0737662337662337</v>
      </c>
      <c r="AS10" s="75">
        <v>7700</v>
      </c>
      <c r="AT10" s="75">
        <v>7883</v>
      </c>
      <c r="AU10" s="90">
        <f>IF(AT10&gt;0,SUM(AT$7:AT10)-SUM(AS$7:AS10),0)</f>
        <v>-3584</v>
      </c>
      <c r="AV10" s="45">
        <f t="shared" si="23"/>
        <v>1.0237662337662337</v>
      </c>
      <c r="AW10" s="75">
        <v>7700</v>
      </c>
      <c r="AX10" s="75">
        <v>6277</v>
      </c>
      <c r="AY10" s="90">
        <f>IF(AX10&gt;0,SUM(AX$7:AX10)-SUM(AW$7:AW10),0)</f>
        <v>-7476</v>
      </c>
      <c r="AZ10" s="45">
        <f>IF(AX10&gt;0,IF(AW10&gt;0,AX10/AW10,0),0)</f>
        <v>0.81519480519480525</v>
      </c>
      <c r="BA10" s="35">
        <f t="shared" si="4"/>
        <v>23100</v>
      </c>
      <c r="BB10" s="35">
        <f t="shared" si="10"/>
        <v>22428</v>
      </c>
      <c r="BC10" s="91">
        <f>IF(BB10&gt;0,SUM(BB$7:BB10)-SUM(BA$7:BA10),0)</f>
        <v>-14382</v>
      </c>
      <c r="BD10" s="45">
        <f t="shared" si="24"/>
        <v>0.97090909090909094</v>
      </c>
      <c r="BF10" s="47">
        <f t="shared" si="25"/>
        <v>40820</v>
      </c>
      <c r="BG10" s="54" t="str">
        <f t="shared" si="11"/>
        <v>qui</v>
      </c>
      <c r="BH10" s="75">
        <v>18200</v>
      </c>
      <c r="BI10" s="75">
        <v>14349</v>
      </c>
      <c r="BJ10" s="75">
        <f>IF(BI10&gt;0,SUM(BI$7:BI10)-SUM(BH$7:BH10),0)</f>
        <v>-17304</v>
      </c>
      <c r="BK10" s="45">
        <f t="shared" si="26"/>
        <v>0.78840659340659336</v>
      </c>
      <c r="BL10" s="75">
        <v>8000</v>
      </c>
      <c r="BM10" s="75">
        <v>8083</v>
      </c>
      <c r="BN10" s="90">
        <f>IF(BM10&gt;0,SUM(BM$7:BM10)-SUM(BL$7:BL10),0)</f>
        <v>-6370</v>
      </c>
      <c r="BO10" s="45">
        <f t="shared" si="27"/>
        <v>1.010375</v>
      </c>
      <c r="BP10" s="75">
        <v>11000</v>
      </c>
      <c r="BQ10" s="75">
        <v>6772</v>
      </c>
      <c r="BR10" s="90">
        <f>IF(BQ10&gt;0,SUM(BQ$7:BQ10)-SUM(BP$7:BP10),0)</f>
        <v>-15312</v>
      </c>
      <c r="BS10" s="45">
        <f>IF(BQ10&gt;0,IF(BP10&gt;0,BQ10/BP10,0),0)</f>
        <v>0.61563636363636365</v>
      </c>
      <c r="BT10" s="35">
        <f>IF(SUM(BH10,BL10,BP10)&gt;0,SUM(BH10,BL10,BP10),0)</f>
        <v>37200</v>
      </c>
      <c r="BU10" s="35">
        <f t="shared" si="5"/>
        <v>29204</v>
      </c>
      <c r="BV10" s="91">
        <f>IF(BU10&gt;0,SUM(BU$7:BU10)-SUM(BT$7:BT10),0)</f>
        <v>-38986</v>
      </c>
      <c r="BW10" s="45">
        <f t="shared" si="28"/>
        <v>0.7850537634408602</v>
      </c>
      <c r="BY10" s="47">
        <f t="shared" si="29"/>
        <v>40820</v>
      </c>
      <c r="BZ10" s="54" t="str">
        <f t="shared" si="12"/>
        <v>qui</v>
      </c>
      <c r="CA10" s="75">
        <v>5000</v>
      </c>
      <c r="CB10" s="75">
        <v>4372</v>
      </c>
      <c r="CC10" s="90">
        <f>IF(CB10&gt;0,SUM(CB$7:CB10)-SUM(CA$7:CA10),0)</f>
        <v>679</v>
      </c>
      <c r="CD10" s="45">
        <f t="shared" si="30"/>
        <v>0.87439999999999996</v>
      </c>
    </row>
    <row r="11" spans="1:82" x14ac:dyDescent="0.25">
      <c r="A11" s="47">
        <f t="shared" si="13"/>
        <v>40821</v>
      </c>
      <c r="B11" s="54" t="s">
        <v>24</v>
      </c>
      <c r="C11" s="75">
        <v>12900</v>
      </c>
      <c r="D11" s="75">
        <v>12480</v>
      </c>
      <c r="E11" s="90">
        <f>IF(D11&gt;0,SUM(D$7:D11)-SUM(C$7:C11),0)</f>
        <v>-5578</v>
      </c>
      <c r="F11" s="45">
        <f t="shared" si="14"/>
        <v>0.96744186046511627</v>
      </c>
      <c r="G11" s="75">
        <v>12900</v>
      </c>
      <c r="H11" s="75">
        <v>12102</v>
      </c>
      <c r="I11" s="75">
        <f>IF(H11&gt;0,SUM(H$7:H11)-SUM(G$7:G11),0)</f>
        <v>-12551</v>
      </c>
      <c r="J11" s="45">
        <f t="shared" si="0"/>
        <v>0.93813953488372093</v>
      </c>
      <c r="K11" s="75">
        <v>12900</v>
      </c>
      <c r="L11" s="75">
        <v>12705</v>
      </c>
      <c r="M11" s="90">
        <f>IF(L11&gt;0,SUM(L$7:L11)-SUM(K$7:K11),0)</f>
        <v>-7934</v>
      </c>
      <c r="N11" s="45">
        <f t="shared" si="1"/>
        <v>0.98488372093023258</v>
      </c>
      <c r="O11" s="35">
        <f t="shared" si="2"/>
        <v>38700</v>
      </c>
      <c r="P11" s="35">
        <f t="shared" si="6"/>
        <v>37287</v>
      </c>
      <c r="Q11" s="91">
        <f>IF(P11&gt;0,SUM(P$7:P11)-SUM(O$7:O11),0)</f>
        <v>-26063</v>
      </c>
      <c r="R11" s="45">
        <f t="shared" si="15"/>
        <v>0.96348837209302329</v>
      </c>
      <c r="T11" s="47">
        <f t="shared" si="16"/>
        <v>40821</v>
      </c>
      <c r="U11" s="54" t="str">
        <f t="shared" si="7"/>
        <v>sex</v>
      </c>
      <c r="V11" s="75">
        <v>12340</v>
      </c>
      <c r="W11" s="75">
        <v>13700</v>
      </c>
      <c r="X11" s="92">
        <f>IF(W11&gt;0,SUM(W$7:W11)-SUM(V$7:V11),0)</f>
        <v>-11849</v>
      </c>
      <c r="Y11" s="60">
        <f t="shared" si="17"/>
        <v>1.1102106969205834</v>
      </c>
      <c r="Z11" s="75">
        <v>12340</v>
      </c>
      <c r="AA11" s="75">
        <v>10529</v>
      </c>
      <c r="AB11" s="92">
        <f>IF(AA11&gt;0,SUM(AA$7:AA11)-SUM(Z$7:Z11),0)</f>
        <v>-11603</v>
      </c>
      <c r="AC11" s="60">
        <f t="shared" si="18"/>
        <v>0.85324149108589953</v>
      </c>
      <c r="AD11" s="75">
        <v>12340</v>
      </c>
      <c r="AE11" s="75">
        <v>12875</v>
      </c>
      <c r="AF11" s="92">
        <f>IF(AE11&gt;0,SUM(AE$7:AE11)-SUM(AD$7:AD11),0)</f>
        <v>-6142</v>
      </c>
      <c r="AG11" s="60">
        <f t="shared" si="19"/>
        <v>1.043354943273906</v>
      </c>
      <c r="AH11" s="41">
        <f t="shared" si="3"/>
        <v>37020</v>
      </c>
      <c r="AI11" s="41">
        <f t="shared" si="8"/>
        <v>37104</v>
      </c>
      <c r="AJ11" s="93">
        <f>IF(AI11&gt;0,SUM(AI$7:AI11)-SUM(AH$7:AH11),0)</f>
        <v>-29594</v>
      </c>
      <c r="AK11" s="60">
        <f t="shared" si="20"/>
        <v>1.0022690437601296</v>
      </c>
      <c r="AM11" s="47">
        <f t="shared" si="21"/>
        <v>40821</v>
      </c>
      <c r="AN11" s="54" t="str">
        <f t="shared" si="9"/>
        <v>sex</v>
      </c>
      <c r="AO11" s="75">
        <v>7700</v>
      </c>
      <c r="AP11" s="75">
        <v>9254</v>
      </c>
      <c r="AQ11" s="75">
        <f>IF(AP11&gt;0,SUM(AP$7:AP11)-SUM(AO$7:AO11),0)</f>
        <v>-1768</v>
      </c>
      <c r="AR11" s="45">
        <f t="shared" si="22"/>
        <v>1.2018181818181819</v>
      </c>
      <c r="AS11" s="75">
        <v>7700</v>
      </c>
      <c r="AT11" s="75">
        <v>8446</v>
      </c>
      <c r="AU11" s="90">
        <f>IF(AT11&gt;0,SUM(AT$7:AT11)-SUM(AS$7:AS11),0)</f>
        <v>-2838</v>
      </c>
      <c r="AV11" s="45">
        <f t="shared" si="23"/>
        <v>1.0968831168831168</v>
      </c>
      <c r="AW11" s="75">
        <v>7700</v>
      </c>
      <c r="AX11" s="75">
        <v>5318</v>
      </c>
      <c r="AY11" s="90">
        <f>IF(AX11&gt;0,SUM(AX$7:AX11)-SUM(AW$7:AW11),0)</f>
        <v>-9858</v>
      </c>
      <c r="AZ11" s="45">
        <f t="shared" ref="AZ11:AZ38" si="31">IF(AX11&gt;0,IF(AW11&gt;0,AX11/AW11,0),0)</f>
        <v>0.69064935064935062</v>
      </c>
      <c r="BA11" s="35">
        <f t="shared" si="4"/>
        <v>23100</v>
      </c>
      <c r="BB11" s="35">
        <f t="shared" si="10"/>
        <v>23018</v>
      </c>
      <c r="BC11" s="91">
        <f>IF(BB11&gt;0,SUM(BB$7:BB11)-SUM(BA$7:BA11),0)</f>
        <v>-14464</v>
      </c>
      <c r="BD11" s="45">
        <f t="shared" si="24"/>
        <v>0.99645021645021647</v>
      </c>
      <c r="BF11" s="47">
        <f t="shared" si="25"/>
        <v>40821</v>
      </c>
      <c r="BG11" s="54" t="str">
        <f t="shared" si="11"/>
        <v>sex</v>
      </c>
      <c r="BH11" s="75">
        <v>18200</v>
      </c>
      <c r="BI11" s="75">
        <v>15288</v>
      </c>
      <c r="BJ11" s="75">
        <f>IF(BI11&gt;0,SUM(BI$7:BI11)-SUM(BH$7:BH11),0)</f>
        <v>-20216</v>
      </c>
      <c r="BK11" s="45">
        <f t="shared" si="26"/>
        <v>0.84</v>
      </c>
      <c r="BL11" s="75">
        <v>8000</v>
      </c>
      <c r="BM11" s="75">
        <v>7733</v>
      </c>
      <c r="BN11" s="90">
        <f>IF(BM11&gt;0,SUM(BM$7:BM11)-SUM(BL$7:BL11),0)</f>
        <v>-6637</v>
      </c>
      <c r="BO11" s="45">
        <f t="shared" si="27"/>
        <v>0.96662499999999996</v>
      </c>
      <c r="BP11" s="75">
        <v>11000</v>
      </c>
      <c r="BQ11" s="75">
        <v>8376</v>
      </c>
      <c r="BR11" s="90">
        <f>IF(BQ11&gt;0,SUM(BQ$7:BQ11)-SUM(BP$7:BP11),0)</f>
        <v>-17936</v>
      </c>
      <c r="BS11" s="45">
        <f t="shared" ref="BS11:BS38" si="32">IF(BQ11&gt;0,IF(BP11&gt;0,BQ11/BP11,0),0)</f>
        <v>0.76145454545454549</v>
      </c>
      <c r="BT11" s="35">
        <f t="shared" si="5"/>
        <v>37200</v>
      </c>
      <c r="BU11" s="35">
        <f t="shared" si="5"/>
        <v>31397</v>
      </c>
      <c r="BV11" s="91">
        <f>IF(BU11&gt;0,SUM(BU$7:BU11)-SUM(BT$7:BT11),0)</f>
        <v>-44789</v>
      </c>
      <c r="BW11" s="45">
        <f t="shared" si="28"/>
        <v>0.84400537634408601</v>
      </c>
      <c r="BY11" s="47">
        <f t="shared" si="29"/>
        <v>40821</v>
      </c>
      <c r="BZ11" s="54" t="str">
        <f t="shared" si="12"/>
        <v>sex</v>
      </c>
      <c r="CA11" s="75">
        <v>5000</v>
      </c>
      <c r="CB11" s="75">
        <v>4725</v>
      </c>
      <c r="CC11" s="90">
        <f>IF(CB11&gt;0,SUM(CB$7:CB11)-SUM(CA$7:CA11),0)</f>
        <v>404</v>
      </c>
      <c r="CD11" s="45">
        <f t="shared" si="30"/>
        <v>0.94499999999999995</v>
      </c>
    </row>
    <row r="12" spans="1:82" x14ac:dyDescent="0.25">
      <c r="A12" s="47">
        <f t="shared" si="13"/>
        <v>40822</v>
      </c>
      <c r="B12" s="54" t="s">
        <v>25</v>
      </c>
      <c r="C12" s="75">
        <v>12900</v>
      </c>
      <c r="D12" s="75">
        <v>8891</v>
      </c>
      <c r="E12" s="90">
        <f>IF(D12&gt;0,SUM(D$7:D12)-SUM(C$7:C12),0)</f>
        <v>-9587</v>
      </c>
      <c r="F12" s="45">
        <f t="shared" si="14"/>
        <v>0.68922480620155036</v>
      </c>
      <c r="G12" s="75">
        <v>12900</v>
      </c>
      <c r="H12" s="75">
        <v>7653</v>
      </c>
      <c r="I12" s="75">
        <f>IF(H12&gt;0,SUM(H$7:H12)-SUM(G$7:G12),0)</f>
        <v>-17798</v>
      </c>
      <c r="J12" s="45">
        <f t="shared" si="0"/>
        <v>0.59325581395348836</v>
      </c>
      <c r="K12" s="75">
        <v>12900</v>
      </c>
      <c r="L12" s="75">
        <v>8691</v>
      </c>
      <c r="M12" s="90">
        <f>IF(L12&gt;0,SUM(L$7:L12)-SUM(K$7:K12),0)</f>
        <v>-12143</v>
      </c>
      <c r="N12" s="45">
        <f t="shared" si="1"/>
        <v>0.67372093023255819</v>
      </c>
      <c r="O12" s="35">
        <f t="shared" si="2"/>
        <v>38700</v>
      </c>
      <c r="P12" s="35">
        <f t="shared" si="6"/>
        <v>25235</v>
      </c>
      <c r="Q12" s="91">
        <f>IF(P12&gt;0,SUM(P$7:P12)-SUM(O$7:O12),0)</f>
        <v>-39528</v>
      </c>
      <c r="R12" s="45">
        <f t="shared" si="15"/>
        <v>0.65206718346253234</v>
      </c>
      <c r="T12" s="47">
        <f t="shared" si="16"/>
        <v>40822</v>
      </c>
      <c r="U12" s="54" t="str">
        <f t="shared" si="7"/>
        <v>sáb</v>
      </c>
      <c r="V12" s="75">
        <v>12340</v>
      </c>
      <c r="W12" s="75">
        <v>10209</v>
      </c>
      <c r="X12" s="92">
        <f>IF(W12&gt;0,SUM(W$7:W12)-SUM(V$7:V12),0)</f>
        <v>-13980</v>
      </c>
      <c r="Y12" s="60">
        <f t="shared" si="17"/>
        <v>0.82730956239870346</v>
      </c>
      <c r="Z12" s="75">
        <v>12340</v>
      </c>
      <c r="AA12" s="75">
        <v>5854</v>
      </c>
      <c r="AB12" s="92">
        <f>IF(AA12&gt;0,SUM(AA$7:AA12)-SUM(Z$7:Z12),0)</f>
        <v>-18089</v>
      </c>
      <c r="AC12" s="60">
        <f t="shared" si="18"/>
        <v>0.47439222042139384</v>
      </c>
      <c r="AD12" s="75">
        <v>12340</v>
      </c>
      <c r="AE12" s="75">
        <v>7972</v>
      </c>
      <c r="AF12" s="92">
        <f>IF(AE12&gt;0,SUM(AE$7:AE12)-SUM(AD$7:AD12),0)</f>
        <v>-10510</v>
      </c>
      <c r="AG12" s="60">
        <f t="shared" si="19"/>
        <v>0.64602917341977306</v>
      </c>
      <c r="AH12" s="41">
        <f t="shared" si="3"/>
        <v>37020</v>
      </c>
      <c r="AI12" s="41">
        <f t="shared" si="8"/>
        <v>24035</v>
      </c>
      <c r="AJ12" s="93">
        <f>IF(AI12&gt;0,SUM(AI$7:AI12)-SUM(AH$7:AH12),0)</f>
        <v>-42579</v>
      </c>
      <c r="AK12" s="60">
        <f t="shared" si="20"/>
        <v>0.64924365207995682</v>
      </c>
      <c r="AM12" s="47">
        <f t="shared" si="21"/>
        <v>40822</v>
      </c>
      <c r="AN12" s="54" t="str">
        <f t="shared" si="9"/>
        <v>sáb</v>
      </c>
      <c r="AO12" s="75">
        <v>7700</v>
      </c>
      <c r="AP12" s="75">
        <v>8154</v>
      </c>
      <c r="AQ12" s="75">
        <f>IF(AP12&gt;0,SUM(AP$7:AP12)-SUM(AO$7:AO12),0)</f>
        <v>-1314</v>
      </c>
      <c r="AR12" s="45">
        <f t="shared" si="22"/>
        <v>1.0589610389610389</v>
      </c>
      <c r="AS12" s="75">
        <v>7700</v>
      </c>
      <c r="AT12" s="75">
        <v>8563</v>
      </c>
      <c r="AU12" s="90">
        <f>IF(AT12&gt;0,SUM(AT$7:AT12)-SUM(AS$7:AS12),0)</f>
        <v>-1975</v>
      </c>
      <c r="AV12" s="45">
        <f t="shared" si="23"/>
        <v>1.112077922077922</v>
      </c>
      <c r="AW12" s="75">
        <v>7700</v>
      </c>
      <c r="AX12" s="75">
        <v>4323</v>
      </c>
      <c r="AY12" s="90">
        <f>IF(AX12&gt;0,SUM(AX$7:AX12)-SUM(AW$7:AW12),0)</f>
        <v>-13235</v>
      </c>
      <c r="AZ12" s="45">
        <f t="shared" si="31"/>
        <v>0.56142857142857139</v>
      </c>
      <c r="BA12" s="35">
        <f t="shared" si="4"/>
        <v>23100</v>
      </c>
      <c r="BB12" s="35">
        <f t="shared" si="10"/>
        <v>21040</v>
      </c>
      <c r="BC12" s="91">
        <f>IF(BB12&gt;0,SUM(BB$7:BB12)-SUM(BA$7:BA12),0)</f>
        <v>-16524</v>
      </c>
      <c r="BD12" s="45">
        <f t="shared" si="24"/>
        <v>0.91082251082251087</v>
      </c>
      <c r="BF12" s="47">
        <f t="shared" si="25"/>
        <v>40822</v>
      </c>
      <c r="BG12" s="54" t="str">
        <f t="shared" si="11"/>
        <v>sáb</v>
      </c>
      <c r="BH12" s="75">
        <v>18200</v>
      </c>
      <c r="BI12" s="75">
        <v>12998</v>
      </c>
      <c r="BJ12" s="75">
        <f>IF(BI12&gt;0,SUM(BI$7:BI12)-SUM(BH$7:BH12),0)</f>
        <v>-25418</v>
      </c>
      <c r="BK12" s="45">
        <f t="shared" si="26"/>
        <v>0.71417582417582415</v>
      </c>
      <c r="BL12" s="75">
        <v>8000</v>
      </c>
      <c r="BM12" s="75">
        <v>9577</v>
      </c>
      <c r="BN12" s="90">
        <f>IF(BM12&gt;0,SUM(BM$7:BM12)-SUM(BL$7:BL12),0)</f>
        <v>-5060</v>
      </c>
      <c r="BO12" s="45">
        <f t="shared" si="27"/>
        <v>1.197125</v>
      </c>
      <c r="BP12" s="75">
        <v>11000</v>
      </c>
      <c r="BQ12" s="75">
        <v>13505</v>
      </c>
      <c r="BR12" s="90">
        <f>IF(BQ12&gt;0,SUM(BQ$7:BQ12)-SUM(BP$7:BP12),0)</f>
        <v>-15431</v>
      </c>
      <c r="BS12" s="45">
        <f t="shared" si="32"/>
        <v>1.2277272727272728</v>
      </c>
      <c r="BT12" s="35">
        <f t="shared" si="5"/>
        <v>37200</v>
      </c>
      <c r="BU12" s="35">
        <f t="shared" si="5"/>
        <v>36080</v>
      </c>
      <c r="BV12" s="91">
        <f>IF(BU12&gt;0,SUM(BU$7:BU12)-SUM(BT$7:BT12),0)</f>
        <v>-45909</v>
      </c>
      <c r="BW12" s="45">
        <f t="shared" si="28"/>
        <v>0.96989247311827953</v>
      </c>
      <c r="BY12" s="47">
        <f t="shared" si="29"/>
        <v>40822</v>
      </c>
      <c r="BZ12" s="54" t="str">
        <f t="shared" si="12"/>
        <v>sáb</v>
      </c>
      <c r="CA12" s="75">
        <v>5000</v>
      </c>
      <c r="CB12" s="75">
        <v>5032</v>
      </c>
      <c r="CC12" s="90">
        <f>IF(CB12&gt;0,SUM(CB$7:CB12)-SUM(CA$7:CA12),0)</f>
        <v>436</v>
      </c>
      <c r="CD12" s="45">
        <f t="shared" si="30"/>
        <v>1.0064</v>
      </c>
    </row>
    <row r="13" spans="1:82" x14ac:dyDescent="0.25">
      <c r="A13" s="47">
        <f t="shared" si="13"/>
        <v>40823</v>
      </c>
      <c r="B13" s="54" t="s">
        <v>26</v>
      </c>
      <c r="C13" s="75"/>
      <c r="D13" s="75">
        <v>16612</v>
      </c>
      <c r="E13" s="90">
        <f>IF(D13&gt;0,SUM(D$7:D13)-SUM(C$7:C13),0)</f>
        <v>7025</v>
      </c>
      <c r="F13" s="45">
        <f t="shared" si="14"/>
        <v>0</v>
      </c>
      <c r="G13" s="75"/>
      <c r="H13" s="75"/>
      <c r="I13" s="75">
        <f>IF(H13&gt;0,SUM(H$7:H13)-SUM(G$7:G13),0)</f>
        <v>0</v>
      </c>
      <c r="J13" s="45">
        <f t="shared" si="0"/>
        <v>0</v>
      </c>
      <c r="K13" s="75"/>
      <c r="L13" s="75"/>
      <c r="M13" s="90">
        <f>IF(L13&gt;0,SUM(L$7:L13)-SUM(K$7:K13),0)</f>
        <v>0</v>
      </c>
      <c r="N13" s="45">
        <f t="shared" si="1"/>
        <v>0</v>
      </c>
      <c r="O13" s="35">
        <f t="shared" si="2"/>
        <v>0</v>
      </c>
      <c r="P13" s="35">
        <f t="shared" si="6"/>
        <v>16612</v>
      </c>
      <c r="Q13" s="91">
        <f>IF(P13&gt;0,SUM(P$7:P13)-SUM(O$7:O13),0)</f>
        <v>-22916</v>
      </c>
      <c r="R13" s="45">
        <f t="shared" si="15"/>
        <v>0</v>
      </c>
      <c r="T13" s="47">
        <f t="shared" si="16"/>
        <v>40823</v>
      </c>
      <c r="U13" s="54" t="str">
        <f t="shared" si="7"/>
        <v>dom</v>
      </c>
      <c r="V13" s="75"/>
      <c r="W13" s="75">
        <v>11380</v>
      </c>
      <c r="X13" s="92">
        <f>IF(W13&gt;0,SUM(W$7:W13)-SUM(V$7:V13),0)</f>
        <v>-2600</v>
      </c>
      <c r="Y13" s="60">
        <f t="shared" si="17"/>
        <v>0</v>
      </c>
      <c r="Z13" s="75"/>
      <c r="AA13" s="75"/>
      <c r="AB13" s="92">
        <f>IF(AA13&gt;0,SUM(AA$7:AA13)-SUM(Z$7:Z13),0)</f>
        <v>0</v>
      </c>
      <c r="AC13" s="60">
        <f t="shared" si="18"/>
        <v>0</v>
      </c>
      <c r="AD13" s="75"/>
      <c r="AE13" s="75"/>
      <c r="AF13" s="92">
        <f>IF(AE13&gt;0,SUM(AE$7:AE13)-SUM(AD$7:AD13),0)</f>
        <v>0</v>
      </c>
      <c r="AG13" s="60">
        <f t="shared" si="19"/>
        <v>0</v>
      </c>
      <c r="AH13" s="41">
        <f t="shared" si="3"/>
        <v>0</v>
      </c>
      <c r="AI13" s="41">
        <f t="shared" si="8"/>
        <v>11380</v>
      </c>
      <c r="AJ13" s="93">
        <f>IF(AI13&gt;0,SUM(AI$7:AI13)-SUM(AH$7:AH13),0)</f>
        <v>-31199</v>
      </c>
      <c r="AK13" s="60">
        <f t="shared" si="20"/>
        <v>0</v>
      </c>
      <c r="AM13" s="47">
        <f t="shared" si="21"/>
        <v>40823</v>
      </c>
      <c r="AN13" s="54" t="str">
        <f t="shared" si="9"/>
        <v>dom</v>
      </c>
      <c r="AO13" s="75"/>
      <c r="AP13" s="75">
        <v>1525</v>
      </c>
      <c r="AQ13" s="75">
        <f>IF(AP13&gt;0,SUM(AP$7:AP13)-SUM(AO$7:AO13),0)</f>
        <v>211</v>
      </c>
      <c r="AR13" s="45">
        <f t="shared" si="22"/>
        <v>0</v>
      </c>
      <c r="AS13" s="75"/>
      <c r="AT13" s="75"/>
      <c r="AU13" s="90">
        <f>IF(AT13&gt;0,SUM(AT$7:AT13)-SUM(AS$7:AS13),0)</f>
        <v>0</v>
      </c>
      <c r="AV13" s="45">
        <f t="shared" si="23"/>
        <v>0</v>
      </c>
      <c r="AW13" s="75"/>
      <c r="AX13" s="75"/>
      <c r="AY13" s="90">
        <f>IF(AX13&gt;0,SUM(AX$7:AX13)-SUM(AW$7:AW13),0)</f>
        <v>0</v>
      </c>
      <c r="AZ13" s="45">
        <f t="shared" si="31"/>
        <v>0</v>
      </c>
      <c r="BA13" s="35">
        <f t="shared" si="4"/>
        <v>0</v>
      </c>
      <c r="BB13" s="35">
        <f t="shared" si="10"/>
        <v>1525</v>
      </c>
      <c r="BC13" s="91">
        <f>IF(BB13&gt;0,SUM(BB$7:BB13)-SUM(BA$7:BA13),0)</f>
        <v>-14999</v>
      </c>
      <c r="BD13" s="45">
        <f t="shared" si="24"/>
        <v>0</v>
      </c>
      <c r="BF13" s="47">
        <f t="shared" si="25"/>
        <v>40823</v>
      </c>
      <c r="BG13" s="54" t="str">
        <f t="shared" si="11"/>
        <v>dom</v>
      </c>
      <c r="BH13" s="75"/>
      <c r="BI13" s="75"/>
      <c r="BJ13" s="75">
        <f>IF(BI13&gt;0,SUM(BI$7:BI13)-SUM(BH$7:BH13),0)</f>
        <v>0</v>
      </c>
      <c r="BK13" s="45">
        <f t="shared" si="26"/>
        <v>0</v>
      </c>
      <c r="BL13" s="75"/>
      <c r="BM13" s="75"/>
      <c r="BN13" s="90">
        <f>IF(BM13&gt;0,SUM(BM$7:BM13)-SUM(BL$7:BL13),0)</f>
        <v>0</v>
      </c>
      <c r="BO13" s="45">
        <f t="shared" si="27"/>
        <v>0</v>
      </c>
      <c r="BP13" s="75"/>
      <c r="BQ13" s="75"/>
      <c r="BR13" s="90">
        <f>IF(BQ13&gt;0,SUM(BQ$7:BQ13)-SUM(BP$7:BP13),0)</f>
        <v>0</v>
      </c>
      <c r="BS13" s="45">
        <f t="shared" si="32"/>
        <v>0</v>
      </c>
      <c r="BT13" s="35">
        <f t="shared" si="5"/>
        <v>0</v>
      </c>
      <c r="BU13" s="35">
        <f t="shared" si="5"/>
        <v>0</v>
      </c>
      <c r="BV13" s="91">
        <f>IF(BU13&gt;0,SUM(BU$7:BU13)-SUM(BT$7:BT13),0)</f>
        <v>0</v>
      </c>
      <c r="BW13" s="45">
        <f t="shared" si="28"/>
        <v>0</v>
      </c>
      <c r="BY13" s="47">
        <f t="shared" si="29"/>
        <v>40823</v>
      </c>
      <c r="BZ13" s="54" t="str">
        <f t="shared" si="12"/>
        <v>dom</v>
      </c>
      <c r="CA13" s="75"/>
      <c r="CB13" s="75"/>
      <c r="CC13" s="90">
        <f>IF(CB13&gt;0,SUM(CB$7:CB13)-SUM(CA$7:CA13),0)</f>
        <v>0</v>
      </c>
      <c r="CD13" s="45">
        <f t="shared" si="30"/>
        <v>0</v>
      </c>
    </row>
    <row r="14" spans="1:82" x14ac:dyDescent="0.25">
      <c r="A14" s="47">
        <f t="shared" si="13"/>
        <v>40824</v>
      </c>
      <c r="B14" s="54" t="s">
        <v>27</v>
      </c>
      <c r="C14" s="75">
        <v>12900</v>
      </c>
      <c r="D14" s="75">
        <v>12203</v>
      </c>
      <c r="E14" s="90">
        <f>IF(D14&gt;0,SUM(D$7:D14)-SUM(C$7:C14),0)</f>
        <v>6328</v>
      </c>
      <c r="F14" s="45">
        <f>IF(D14&gt;0,IF(C14&gt;0,D14/C14,0),0)</f>
        <v>0.94596899224806197</v>
      </c>
      <c r="G14" s="75">
        <v>12900</v>
      </c>
      <c r="H14" s="75">
        <v>10231</v>
      </c>
      <c r="I14" s="75">
        <f>IF(H14&gt;0,SUM(H$7:H14)-SUM(G$7:G14),0)</f>
        <v>-20467</v>
      </c>
      <c r="J14" s="45">
        <f t="shared" si="0"/>
        <v>0.7931007751937984</v>
      </c>
      <c r="K14" s="75">
        <v>12900</v>
      </c>
      <c r="L14" s="75">
        <v>10043</v>
      </c>
      <c r="M14" s="90">
        <f>IF(L14&gt;0,SUM(L$7:L14)-SUM(K$7:K14),0)</f>
        <v>-15000</v>
      </c>
      <c r="N14" s="45">
        <f t="shared" si="1"/>
        <v>0.77852713178294575</v>
      </c>
      <c r="O14" s="35">
        <f t="shared" si="2"/>
        <v>38700</v>
      </c>
      <c r="P14" s="35">
        <f t="shared" si="6"/>
        <v>32477</v>
      </c>
      <c r="Q14" s="91">
        <f>IF(P14&gt;0,SUM(P$7:P14)-SUM(O$7:O14),0)</f>
        <v>-29139</v>
      </c>
      <c r="R14" s="45">
        <f t="shared" si="15"/>
        <v>0.83919896640826874</v>
      </c>
      <c r="T14" s="47">
        <f t="shared" si="16"/>
        <v>40824</v>
      </c>
      <c r="U14" s="54" t="str">
        <f t="shared" si="7"/>
        <v>seg</v>
      </c>
      <c r="V14" s="75">
        <v>12340</v>
      </c>
      <c r="W14" s="75">
        <v>8164</v>
      </c>
      <c r="X14" s="92">
        <f>IF(W14&gt;0,SUM(W$7:W14)-SUM(V$7:V14),0)</f>
        <v>-6776</v>
      </c>
      <c r="Y14" s="60">
        <f t="shared" si="17"/>
        <v>0.66158833063209077</v>
      </c>
      <c r="Z14" s="75">
        <v>12340</v>
      </c>
      <c r="AA14" s="75">
        <v>8555</v>
      </c>
      <c r="AB14" s="92">
        <f>IF(AA14&gt;0,SUM(AA$7:AA14)-SUM(Z$7:Z14),0)</f>
        <v>-21874</v>
      </c>
      <c r="AC14" s="60">
        <f t="shared" si="18"/>
        <v>0.69327390599675853</v>
      </c>
      <c r="AD14" s="75">
        <v>12340</v>
      </c>
      <c r="AE14" s="75">
        <v>8421</v>
      </c>
      <c r="AF14" s="92">
        <f>IF(AE14&gt;0,SUM(AE$7:AE14)-SUM(AD$7:AD14),0)</f>
        <v>-14429</v>
      </c>
      <c r="AG14" s="60">
        <f t="shared" si="19"/>
        <v>0.68241491085899508</v>
      </c>
      <c r="AH14" s="41">
        <f t="shared" si="3"/>
        <v>37020</v>
      </c>
      <c r="AI14" s="41">
        <f t="shared" si="8"/>
        <v>25140</v>
      </c>
      <c r="AJ14" s="93">
        <f>IF(AI14&gt;0,SUM(AI$7:AI14)-SUM(AH$7:AH14),0)</f>
        <v>-43079</v>
      </c>
      <c r="AK14" s="60">
        <f t="shared" si="20"/>
        <v>0.67909238249594817</v>
      </c>
      <c r="AM14" s="47">
        <f t="shared" si="21"/>
        <v>40824</v>
      </c>
      <c r="AN14" s="54" t="str">
        <f t="shared" si="9"/>
        <v>seg</v>
      </c>
      <c r="AO14" s="75">
        <v>7700</v>
      </c>
      <c r="AP14" s="75">
        <v>7784</v>
      </c>
      <c r="AQ14" s="75">
        <f>IF(AP14&gt;0,SUM(AP$7:AP15)-SUM(AO$7:AO14),0)</f>
        <v>9320</v>
      </c>
      <c r="AR14" s="45">
        <f t="shared" si="22"/>
        <v>1.010909090909091</v>
      </c>
      <c r="AS14" s="75">
        <v>7700</v>
      </c>
      <c r="AT14" s="75">
        <v>8834</v>
      </c>
      <c r="AU14" s="90">
        <f>IF(AT14&gt;0,SUM(AT$7:AT14)-SUM(AS$7:AS14),0)</f>
        <v>-841</v>
      </c>
      <c r="AV14" s="45">
        <f t="shared" si="23"/>
        <v>1.1472727272727272</v>
      </c>
      <c r="AW14" s="75">
        <v>7700</v>
      </c>
      <c r="AX14" s="75">
        <v>5115</v>
      </c>
      <c r="AY14" s="90">
        <f>IF(AX14&gt;0,SUM(AX$7:AX14)-SUM(AW$7:AW14),0)</f>
        <v>-15820</v>
      </c>
      <c r="AZ14" s="45">
        <f t="shared" si="31"/>
        <v>0.66428571428571426</v>
      </c>
      <c r="BA14" s="35">
        <f t="shared" si="4"/>
        <v>23100</v>
      </c>
      <c r="BB14" s="35">
        <f t="shared" si="10"/>
        <v>21733</v>
      </c>
      <c r="BC14" s="91">
        <f>IF(BB14&gt;0,SUM(BB$7:BB14)-SUM(BA$7:BA14),0)</f>
        <v>-16366</v>
      </c>
      <c r="BD14" s="45">
        <f t="shared" si="24"/>
        <v>0.94082251082251078</v>
      </c>
      <c r="BF14" s="47">
        <f t="shared" si="25"/>
        <v>40824</v>
      </c>
      <c r="BG14" s="54" t="str">
        <f t="shared" si="11"/>
        <v>seg</v>
      </c>
      <c r="BH14" s="75">
        <v>18200</v>
      </c>
      <c r="BI14" s="75">
        <v>16245</v>
      </c>
      <c r="BJ14" s="75">
        <f>IF(BI14&gt;0,SUM(BI$7:BI14)-SUM(BH$7:BH14),0)</f>
        <v>-27373</v>
      </c>
      <c r="BK14" s="45">
        <f t="shared" si="26"/>
        <v>0.89258241758241763</v>
      </c>
      <c r="BL14" s="75">
        <v>8000</v>
      </c>
      <c r="BM14" s="75">
        <v>5491</v>
      </c>
      <c r="BN14" s="90">
        <f>IF(BM14&gt;0,SUM(BM$7:BM14)-SUM(BL$7:BL14),0)</f>
        <v>-7569</v>
      </c>
      <c r="BO14" s="45">
        <f t="shared" si="27"/>
        <v>0.68637499999999996</v>
      </c>
      <c r="BP14" s="75">
        <v>11000</v>
      </c>
      <c r="BQ14" s="75">
        <v>6079</v>
      </c>
      <c r="BR14" s="90">
        <f>IF(BQ14&gt;0,SUM(BQ$7:BQ14)-SUM(BP$7:BP14),0)</f>
        <v>-20352</v>
      </c>
      <c r="BS14" s="45">
        <f t="shared" si="32"/>
        <v>0.55263636363636359</v>
      </c>
      <c r="BT14" s="35">
        <f t="shared" si="5"/>
        <v>37200</v>
      </c>
      <c r="BU14" s="35">
        <f t="shared" si="5"/>
        <v>27815</v>
      </c>
      <c r="BV14" s="91">
        <f>IF(BU14&gt;0,SUM(BU$7:BU14)-SUM(BT$7:BT14),0)</f>
        <v>-55294</v>
      </c>
      <c r="BW14" s="45">
        <f t="shared" si="28"/>
        <v>0.74771505376344083</v>
      </c>
      <c r="BY14" s="47">
        <f t="shared" si="29"/>
        <v>40824</v>
      </c>
      <c r="BZ14" s="54" t="str">
        <f t="shared" si="12"/>
        <v>seg</v>
      </c>
      <c r="CA14" s="75">
        <v>5000</v>
      </c>
      <c r="CB14" s="75">
        <v>2454</v>
      </c>
      <c r="CC14" s="90">
        <f>IF(CB14&gt;0,SUM(CB$7:CB14)-SUM(CA$7:CA14),0)</f>
        <v>-2110</v>
      </c>
      <c r="CD14" s="45">
        <f t="shared" si="30"/>
        <v>0.49080000000000001</v>
      </c>
    </row>
    <row r="15" spans="1:82" x14ac:dyDescent="0.25">
      <c r="A15" s="47">
        <f t="shared" si="13"/>
        <v>40825</v>
      </c>
      <c r="B15" s="54" t="s">
        <v>28</v>
      </c>
      <c r="C15" s="75">
        <v>12900</v>
      </c>
      <c r="D15" s="75">
        <v>10070</v>
      </c>
      <c r="E15" s="90">
        <f>IF(D15&gt;0,SUM(D$7:D15)-SUM(C$7:C15),0)</f>
        <v>3498</v>
      </c>
      <c r="F15" s="45">
        <f t="shared" si="14"/>
        <v>0.7806201550387597</v>
      </c>
      <c r="G15" s="75">
        <v>12900</v>
      </c>
      <c r="H15" s="75">
        <v>2425</v>
      </c>
      <c r="I15" s="75">
        <f>IF(H15&gt;0,SUM(H$7:H15)-SUM(G$7:G15),0)</f>
        <v>-30942</v>
      </c>
      <c r="J15" s="45">
        <f t="shared" ref="J15:J36" si="33">IF(H15&gt;0,IF(K15&gt;0,H15/K15,0),0)</f>
        <v>0.18798449612403101</v>
      </c>
      <c r="K15" s="75">
        <v>12900</v>
      </c>
      <c r="L15" s="75">
        <v>14550</v>
      </c>
      <c r="M15" s="90">
        <f>IF(L15&gt;0,SUM(L$7:L15)-SUM(K$7:K15),0)</f>
        <v>-13350</v>
      </c>
      <c r="N15" s="45">
        <f t="shared" si="1"/>
        <v>1.1279069767441861</v>
      </c>
      <c r="O15" s="35">
        <f t="shared" ref="O15:O36" si="34">IF(SUM(C15,G15,K15)&gt;0,SUM(C15,G15,K15),0)</f>
        <v>38700</v>
      </c>
      <c r="P15" s="35">
        <f t="shared" si="6"/>
        <v>27045</v>
      </c>
      <c r="Q15" s="91">
        <f>IF(P15&gt;0,SUM(P$7:P15)-SUM(O$7:O15),0)</f>
        <v>-40794</v>
      </c>
      <c r="R15" s="45">
        <f t="shared" si="15"/>
        <v>0.69883720930232562</v>
      </c>
      <c r="T15" s="47">
        <f t="shared" si="16"/>
        <v>40825</v>
      </c>
      <c r="U15" s="54" t="str">
        <f t="shared" si="7"/>
        <v>ter</v>
      </c>
      <c r="V15" s="75">
        <v>12340</v>
      </c>
      <c r="W15" s="75">
        <v>8967</v>
      </c>
      <c r="X15" s="92">
        <f>IF(W15&gt;0,SUM(W$7:W15)-SUM(V$7:V15),0)</f>
        <v>-10149</v>
      </c>
      <c r="Y15" s="60">
        <f t="shared" si="17"/>
        <v>0.72666126418152355</v>
      </c>
      <c r="Z15" s="75">
        <v>12340</v>
      </c>
      <c r="AA15" s="75">
        <v>8251</v>
      </c>
      <c r="AB15" s="92">
        <f>IF(AA15&gt;0,SUM(AA$7:AA15)-SUM(Z$7:Z15),0)</f>
        <v>-25963</v>
      </c>
      <c r="AC15" s="60">
        <f t="shared" si="18"/>
        <v>0.66863857374392222</v>
      </c>
      <c r="AD15" s="75">
        <v>12340</v>
      </c>
      <c r="AE15" s="75">
        <v>9641</v>
      </c>
      <c r="AF15" s="92">
        <f>IF(AE15&gt;0,SUM(AE$7:AE15)-SUM(AD$7:AD15),0)</f>
        <v>-17128</v>
      </c>
      <c r="AG15" s="60">
        <f t="shared" si="19"/>
        <v>0.78128038897893026</v>
      </c>
      <c r="AH15" s="41">
        <f t="shared" si="3"/>
        <v>37020</v>
      </c>
      <c r="AI15" s="41">
        <f t="shared" si="8"/>
        <v>26859</v>
      </c>
      <c r="AJ15" s="93">
        <f>IF(AI15&gt;0,SUM(AI$7:AI15)-SUM(AH$7:AH15),0)</f>
        <v>-53240</v>
      </c>
      <c r="AK15" s="60">
        <f t="shared" si="20"/>
        <v>0.72552674230145864</v>
      </c>
      <c r="AM15" s="47">
        <f t="shared" si="21"/>
        <v>40825</v>
      </c>
      <c r="AN15" s="54" t="str">
        <f t="shared" si="9"/>
        <v>ter</v>
      </c>
      <c r="AO15" s="75">
        <v>7700</v>
      </c>
      <c r="AP15" s="75">
        <v>9025</v>
      </c>
      <c r="AQ15" s="75">
        <f>IF(AP15&gt;0,SUM(AP$7:AP15)-SUM(AO$7:AO15),0)</f>
        <v>1620</v>
      </c>
      <c r="AR15" s="45">
        <f t="shared" si="22"/>
        <v>1.1720779220779221</v>
      </c>
      <c r="AS15" s="75">
        <v>7700</v>
      </c>
      <c r="AT15" s="75">
        <v>8184</v>
      </c>
      <c r="AU15" s="90">
        <f>IF(AT15&gt;0,SUM(AT$7:AT15)-SUM(AS$7:AS15),0)</f>
        <v>-357</v>
      </c>
      <c r="AV15" s="45">
        <f t="shared" si="23"/>
        <v>1.0628571428571429</v>
      </c>
      <c r="AW15" s="75">
        <v>7700</v>
      </c>
      <c r="AX15" s="75">
        <v>6328</v>
      </c>
      <c r="AY15" s="90">
        <f>IF(AX15&gt;0,SUM(AX$7:AX15)-SUM(AW$7:AW15),0)</f>
        <v>-17192</v>
      </c>
      <c r="AZ15" s="45">
        <f t="shared" si="31"/>
        <v>0.82181818181818178</v>
      </c>
      <c r="BA15" s="35">
        <f t="shared" si="4"/>
        <v>23100</v>
      </c>
      <c r="BB15" s="35">
        <f t="shared" si="10"/>
        <v>23537</v>
      </c>
      <c r="BC15" s="91">
        <f>IF(BB15&gt;0,SUM(BB$7:BB15)-SUM(BA$7:BA15),0)</f>
        <v>-15929</v>
      </c>
      <c r="BD15" s="45">
        <f t="shared" si="24"/>
        <v>1.018917748917749</v>
      </c>
      <c r="BF15" s="47">
        <f t="shared" si="25"/>
        <v>40825</v>
      </c>
      <c r="BG15" s="54" t="str">
        <f t="shared" si="11"/>
        <v>ter</v>
      </c>
      <c r="BH15" s="75">
        <v>18200</v>
      </c>
      <c r="BI15" s="75">
        <v>16051</v>
      </c>
      <c r="BJ15" s="75">
        <f>IF(BI15&gt;0,SUM(BI$7:BI15)-SUM(BH$7:BH15),0)</f>
        <v>-29522</v>
      </c>
      <c r="BK15" s="45">
        <f t="shared" si="26"/>
        <v>0.88192307692307692</v>
      </c>
      <c r="BL15" s="75">
        <v>8000</v>
      </c>
      <c r="BM15" s="75">
        <v>7485</v>
      </c>
      <c r="BN15" s="90">
        <f>IF(BM15&gt;0,SUM(BM$7:BM15)-SUM(BL$7:BL15),0)</f>
        <v>-8084</v>
      </c>
      <c r="BO15" s="45">
        <f t="shared" si="27"/>
        <v>0.93562500000000004</v>
      </c>
      <c r="BP15" s="75">
        <v>11000</v>
      </c>
      <c r="BQ15" s="75">
        <v>10536</v>
      </c>
      <c r="BR15" s="90">
        <f>IF(BQ15&gt;0,SUM(BQ$7:BQ15)-SUM(BP$7:BP15),0)</f>
        <v>-20816</v>
      </c>
      <c r="BS15" s="45">
        <f t="shared" si="32"/>
        <v>0.95781818181818179</v>
      </c>
      <c r="BT15" s="35">
        <f t="shared" si="5"/>
        <v>37200</v>
      </c>
      <c r="BU15" s="35">
        <f t="shared" si="5"/>
        <v>34072</v>
      </c>
      <c r="BV15" s="91">
        <f>IF(BU15&gt;0,SUM(BU$7:BU15)-SUM(BT$7:BT15),0)</f>
        <v>-58422</v>
      </c>
      <c r="BW15" s="45">
        <f t="shared" si="28"/>
        <v>0.91591397849462364</v>
      </c>
      <c r="BY15" s="47">
        <f t="shared" si="29"/>
        <v>40825</v>
      </c>
      <c r="BZ15" s="54" t="str">
        <f t="shared" si="12"/>
        <v>ter</v>
      </c>
      <c r="CA15" s="75">
        <v>5000</v>
      </c>
      <c r="CB15" s="75">
        <v>1</v>
      </c>
      <c r="CC15" s="90">
        <f>IF(CB15&gt;0,SUM(CB$7:CB15)-SUM(CA$7:CA15),0)</f>
        <v>-7109</v>
      </c>
      <c r="CD15" s="45">
        <f t="shared" si="30"/>
        <v>2.0000000000000001E-4</v>
      </c>
    </row>
    <row r="16" spans="1:82" x14ac:dyDescent="0.25">
      <c r="A16" s="47">
        <f t="shared" si="13"/>
        <v>40826</v>
      </c>
      <c r="B16" s="54" t="s">
        <v>22</v>
      </c>
      <c r="C16" s="75">
        <v>12900</v>
      </c>
      <c r="D16" s="75">
        <v>15640</v>
      </c>
      <c r="E16" s="90">
        <f>IF(D16&gt;0,SUM(D$7:D16)-SUM(C$7:C16),0)</f>
        <v>6238</v>
      </c>
      <c r="F16" s="45">
        <f>IF(D16&gt;0,IF(C16&gt;0,D16/C16,0),0)</f>
        <v>1.2124031007751939</v>
      </c>
      <c r="G16" s="75">
        <v>12900</v>
      </c>
      <c r="H16" s="75">
        <v>11710</v>
      </c>
      <c r="I16" s="75">
        <f>IF(H16&gt;0,SUM(H$7:H16)-SUM(G$7:G16),0)</f>
        <v>-32132</v>
      </c>
      <c r="J16" s="45">
        <f t="shared" si="33"/>
        <v>0.90775193798449616</v>
      </c>
      <c r="K16" s="75">
        <v>12900</v>
      </c>
      <c r="L16" s="75">
        <v>13583</v>
      </c>
      <c r="M16" s="90">
        <f>IF(L16&gt;0,SUM(L$7:L16)-SUM(K$7:K16),0)</f>
        <v>-12667</v>
      </c>
      <c r="N16" s="45">
        <f t="shared" si="1"/>
        <v>1.0529457364341086</v>
      </c>
      <c r="O16" s="35">
        <f t="shared" si="34"/>
        <v>38700</v>
      </c>
      <c r="P16" s="35">
        <f t="shared" si="6"/>
        <v>40933</v>
      </c>
      <c r="Q16" s="91">
        <f>IF(P16&gt;0,SUM(P$7:P16)-SUM(O$7:O16),0)</f>
        <v>-38561</v>
      </c>
      <c r="R16" s="45">
        <f t="shared" si="15"/>
        <v>1.0577002583979329</v>
      </c>
      <c r="T16" s="47">
        <f t="shared" si="16"/>
        <v>40826</v>
      </c>
      <c r="U16" s="54" t="str">
        <f t="shared" si="7"/>
        <v>qua</v>
      </c>
      <c r="V16" s="75">
        <v>12340</v>
      </c>
      <c r="W16" s="75">
        <v>9002</v>
      </c>
      <c r="X16" s="92">
        <f>IF(W16&gt;0,SUM(W$7:W16)-SUM(V$7:V16),0)</f>
        <v>-13487</v>
      </c>
      <c r="Y16" s="60">
        <f>IF(W16&gt;0,IF(V16&gt;0,W16/V16,0),0)</f>
        <v>0.7294975688816856</v>
      </c>
      <c r="Z16" s="75">
        <v>12340</v>
      </c>
      <c r="AA16" s="75">
        <v>9946</v>
      </c>
      <c r="AB16" s="92">
        <f>IF(AA16&gt;0,SUM(AA$7:AA16)-SUM(Z$7:Z16),0)</f>
        <v>-28357</v>
      </c>
      <c r="AC16" s="60">
        <f>IF(AA16&gt;0,IF(Z16&gt;0,AA16/Z16,0),0)</f>
        <v>0.80599675850891406</v>
      </c>
      <c r="AD16" s="75">
        <v>12340</v>
      </c>
      <c r="AE16" s="75">
        <v>8140</v>
      </c>
      <c r="AF16" s="92">
        <f>IF(AE16&gt;0,SUM(AE$7:AE16)-SUM(AD$7:AD16),0)</f>
        <v>-21328</v>
      </c>
      <c r="AG16" s="60">
        <f>IF(AE16&gt;0,IF(AD16&gt;0,AE16/AD16,0),0)</f>
        <v>0.65964343598055108</v>
      </c>
      <c r="AH16" s="41">
        <f t="shared" si="3"/>
        <v>37020</v>
      </c>
      <c r="AI16" s="41">
        <f t="shared" si="8"/>
        <v>27088</v>
      </c>
      <c r="AJ16" s="93">
        <f>IF(AI16&gt;0,SUM(AI$7:AI16)-SUM(AH$7:AH16),0)</f>
        <v>-63172</v>
      </c>
      <c r="AK16" s="60">
        <f t="shared" si="20"/>
        <v>0.73171258779038362</v>
      </c>
      <c r="AM16" s="47">
        <f t="shared" si="21"/>
        <v>40826</v>
      </c>
      <c r="AN16" s="54" t="str">
        <f t="shared" si="9"/>
        <v>qua</v>
      </c>
      <c r="AO16" s="75">
        <v>7700</v>
      </c>
      <c r="AP16" s="75">
        <v>9572</v>
      </c>
      <c r="AQ16" s="75">
        <f>IF(AP16&gt;0,SUM(AP$7:AP16)-SUM(AO$7:AO16),0)</f>
        <v>3492</v>
      </c>
      <c r="AR16" s="45">
        <f t="shared" si="22"/>
        <v>1.2431168831168831</v>
      </c>
      <c r="AS16" s="75">
        <v>7700</v>
      </c>
      <c r="AT16" s="75">
        <v>8446</v>
      </c>
      <c r="AU16" s="90">
        <f>IF(AT16&gt;0,SUM(AT$7:AT16)-SUM(AS$7:AS16),0)</f>
        <v>389</v>
      </c>
      <c r="AV16" s="45">
        <f t="shared" si="23"/>
        <v>1.0968831168831168</v>
      </c>
      <c r="AW16" s="75">
        <v>7700</v>
      </c>
      <c r="AX16" s="75">
        <v>6176</v>
      </c>
      <c r="AY16" s="90">
        <f>IF(AX16&gt;0,SUM(AX$7:AX16)-SUM(AW$7:AW16),0)</f>
        <v>-18716</v>
      </c>
      <c r="AZ16" s="45">
        <f t="shared" si="31"/>
        <v>0.80207792207792206</v>
      </c>
      <c r="BA16" s="35">
        <f t="shared" si="4"/>
        <v>23100</v>
      </c>
      <c r="BB16" s="35">
        <f t="shared" si="10"/>
        <v>24194</v>
      </c>
      <c r="BC16" s="91">
        <f>IF(BB16&gt;0,SUM(BB$7:BB16)-SUM(BA$7:BA16),0)</f>
        <v>-14835</v>
      </c>
      <c r="BD16" s="45">
        <f t="shared" si="24"/>
        <v>1.0473593073593073</v>
      </c>
      <c r="BF16" s="47">
        <f t="shared" si="25"/>
        <v>40826</v>
      </c>
      <c r="BG16" s="54" t="str">
        <f t="shared" si="11"/>
        <v>qua</v>
      </c>
      <c r="BH16" s="75">
        <v>18200</v>
      </c>
      <c r="BI16" s="75">
        <v>16815</v>
      </c>
      <c r="BJ16" s="75">
        <f>IF(BI16&gt;0,SUM(BI$7:BI16)-SUM(BH$7:BH16),0)</f>
        <v>-30907</v>
      </c>
      <c r="BK16" s="45">
        <f t="shared" si="26"/>
        <v>0.92390109890109895</v>
      </c>
      <c r="BL16" s="75">
        <v>8000</v>
      </c>
      <c r="BM16" s="75">
        <v>7384</v>
      </c>
      <c r="BN16" s="90">
        <f>IF(BM16&gt;0,SUM(BM$7:BM16)-SUM(BL$7:BL16),0)</f>
        <v>-8700</v>
      </c>
      <c r="BO16" s="45">
        <f t="shared" si="27"/>
        <v>0.92300000000000004</v>
      </c>
      <c r="BP16" s="75">
        <v>11000</v>
      </c>
      <c r="BQ16" s="75">
        <v>8237</v>
      </c>
      <c r="BR16" s="90">
        <f>IF(BQ16&gt;0,SUM(BQ$7:BQ16)-SUM(BP$7:BP16),0)</f>
        <v>-23579</v>
      </c>
      <c r="BS16" s="45">
        <f t="shared" si="32"/>
        <v>0.74881818181818183</v>
      </c>
      <c r="BT16" s="35">
        <f t="shared" si="5"/>
        <v>37200</v>
      </c>
      <c r="BU16" s="35">
        <f t="shared" si="5"/>
        <v>32436</v>
      </c>
      <c r="BV16" s="91">
        <f>IF(BU16&gt;0,SUM(BU$7:BU16)-SUM(BT$7:BT16),0)</f>
        <v>-63186</v>
      </c>
      <c r="BW16" s="45">
        <f t="shared" si="28"/>
        <v>0.87193548387096775</v>
      </c>
      <c r="BY16" s="47">
        <f t="shared" si="29"/>
        <v>40826</v>
      </c>
      <c r="BZ16" s="54" t="str">
        <f t="shared" si="12"/>
        <v>qua</v>
      </c>
      <c r="CA16" s="75">
        <v>5000</v>
      </c>
      <c r="CB16" s="75">
        <v>1</v>
      </c>
      <c r="CC16" s="90">
        <f>IF(CB16&gt;0,SUM(CB$7:CB16)-SUM(CA$7:CA16),0)</f>
        <v>-12108</v>
      </c>
      <c r="CD16" s="45">
        <f t="shared" si="30"/>
        <v>2.0000000000000001E-4</v>
      </c>
    </row>
    <row r="17" spans="1:82" x14ac:dyDescent="0.25">
      <c r="A17" s="47">
        <f t="shared" si="13"/>
        <v>40827</v>
      </c>
      <c r="B17" s="54" t="s">
        <v>23</v>
      </c>
      <c r="C17" s="75">
        <v>12900</v>
      </c>
      <c r="D17" s="75">
        <v>12900</v>
      </c>
      <c r="E17" s="90">
        <f>IF(D17&gt;0,SUM(D$7:D17)-SUM(C$7:C17),0)</f>
        <v>6238</v>
      </c>
      <c r="F17" s="45">
        <f>IF(D17&gt;0,IF(C17&gt;0,D17/C17,0),0)</f>
        <v>1</v>
      </c>
      <c r="G17" s="75">
        <v>12900</v>
      </c>
      <c r="H17" s="75">
        <v>6290</v>
      </c>
      <c r="I17" s="75">
        <f>IF(H17&gt;0,SUM(H$7:H17)-SUM(G$7:G17),0)</f>
        <v>-38742</v>
      </c>
      <c r="J17" s="45">
        <f t="shared" si="33"/>
        <v>0.4875968992248062</v>
      </c>
      <c r="K17" s="75">
        <v>12900</v>
      </c>
      <c r="L17" s="75">
        <v>5633</v>
      </c>
      <c r="M17" s="90">
        <f>IF(L17&gt;0,SUM(L$7:L17)-SUM(K$7:K17),0)</f>
        <v>-19934</v>
      </c>
      <c r="N17" s="45">
        <f t="shared" si="1"/>
        <v>0.43666666666666665</v>
      </c>
      <c r="O17" s="35">
        <f t="shared" si="34"/>
        <v>38700</v>
      </c>
      <c r="P17" s="35">
        <f t="shared" si="6"/>
        <v>24823</v>
      </c>
      <c r="Q17" s="91">
        <f>IF(P17&gt;0,SUM(P$7:P17)-SUM(O$7:O17),0)</f>
        <v>-52438</v>
      </c>
      <c r="R17" s="45">
        <f t="shared" si="15"/>
        <v>0.64142118863049091</v>
      </c>
      <c r="T17" s="47">
        <f t="shared" si="16"/>
        <v>40827</v>
      </c>
      <c r="U17" s="54" t="str">
        <f t="shared" si="7"/>
        <v>qui</v>
      </c>
      <c r="V17" s="75">
        <v>12340</v>
      </c>
      <c r="W17" s="75">
        <v>8058</v>
      </c>
      <c r="X17" s="92">
        <f>IF(W17&gt;0,SUM(W$7:W17)-SUM(V$7:V17),0)</f>
        <v>-17769</v>
      </c>
      <c r="Y17" s="60">
        <f>IF(W17&gt;0,IF(V17&gt;0,W17/V17,0),0)</f>
        <v>0.65299837925445703</v>
      </c>
      <c r="Z17" s="75">
        <v>12340</v>
      </c>
      <c r="AA17" s="75">
        <v>10400</v>
      </c>
      <c r="AB17" s="92">
        <f>IF(AA17&gt;0,SUM(AA$7:AA17)-SUM(Z$7:Z17),0)</f>
        <v>-30297</v>
      </c>
      <c r="AC17" s="60">
        <f>IF(AA17&gt;0,IF(Z17&gt;0,AA17/Z17,0),0)</f>
        <v>0.84278768233387358</v>
      </c>
      <c r="AD17" s="75">
        <v>12340</v>
      </c>
      <c r="AE17" s="75">
        <v>9382</v>
      </c>
      <c r="AF17" s="92">
        <f>IF(AE17&gt;0,SUM(AE$7:AE17)-SUM(AD$7:AD17),0)</f>
        <v>-24286</v>
      </c>
      <c r="AG17" s="60">
        <f>IF(AE17&gt;0,IF(AD17&gt;0,AE17/AD17,0),0)</f>
        <v>0.760291734197731</v>
      </c>
      <c r="AH17" s="41">
        <f t="shared" si="3"/>
        <v>37020</v>
      </c>
      <c r="AI17" s="41">
        <f t="shared" si="8"/>
        <v>27840</v>
      </c>
      <c r="AJ17" s="93">
        <f>IF(AI17&gt;0,SUM(AI$7:AI17)-SUM(AH$7:AH17),0)</f>
        <v>-72352</v>
      </c>
      <c r="AK17" s="60">
        <f t="shared" si="20"/>
        <v>0.75202593192868716</v>
      </c>
      <c r="AM17" s="47">
        <f t="shared" si="21"/>
        <v>40827</v>
      </c>
      <c r="AN17" s="54" t="str">
        <f t="shared" si="9"/>
        <v>qui</v>
      </c>
      <c r="AO17" s="75">
        <v>7700</v>
      </c>
      <c r="AP17" s="75">
        <v>5599</v>
      </c>
      <c r="AQ17" s="75">
        <f>IF(AP17&gt;0,SUM(AP$7:AP17)-SUM(AO$7:AO17),0)</f>
        <v>1391</v>
      </c>
      <c r="AR17" s="45">
        <f t="shared" si="22"/>
        <v>0.72714285714285709</v>
      </c>
      <c r="AS17" s="75">
        <v>7700</v>
      </c>
      <c r="AT17" s="75">
        <v>6568</v>
      </c>
      <c r="AU17" s="90">
        <f>IF(AT17&gt;0,SUM(AT$7:AT17)-SUM(AS$7:AS17),0)</f>
        <v>-743</v>
      </c>
      <c r="AV17" s="45">
        <f t="shared" si="23"/>
        <v>0.85298701298701296</v>
      </c>
      <c r="AW17" s="75">
        <v>7700</v>
      </c>
      <c r="AX17" s="75">
        <v>4538</v>
      </c>
      <c r="AY17" s="90">
        <f>IF(AX17&gt;0,SUM(AX$7:AX17)-SUM(AW$7:AW17),0)</f>
        <v>-21878</v>
      </c>
      <c r="AZ17" s="45">
        <f t="shared" si="31"/>
        <v>0.5893506493506494</v>
      </c>
      <c r="BA17" s="35">
        <f t="shared" si="4"/>
        <v>23100</v>
      </c>
      <c r="BB17" s="35">
        <f t="shared" si="10"/>
        <v>16705</v>
      </c>
      <c r="BC17" s="91">
        <f>IF(BB17&gt;0,SUM(BB$7:BB17)-SUM(BA$7:BA17),0)</f>
        <v>-21230</v>
      </c>
      <c r="BD17" s="45">
        <f t="shared" si="24"/>
        <v>0.72316017316017311</v>
      </c>
      <c r="BF17" s="47">
        <f t="shared" si="25"/>
        <v>40827</v>
      </c>
      <c r="BG17" s="54" t="str">
        <f t="shared" si="11"/>
        <v>qui</v>
      </c>
      <c r="BH17" s="75">
        <v>18200</v>
      </c>
      <c r="BI17" s="75">
        <v>11476</v>
      </c>
      <c r="BJ17" s="75">
        <f>IF(BI17&gt;0,SUM(BI$7:BI17)-SUM(BH$7:BH17),0)</f>
        <v>-37631</v>
      </c>
      <c r="BK17" s="45">
        <f t="shared" si="26"/>
        <v>0.63054945054945055</v>
      </c>
      <c r="BL17" s="75">
        <v>8000</v>
      </c>
      <c r="BM17" s="75">
        <v>5230</v>
      </c>
      <c r="BN17" s="90">
        <f>IF(BM17&gt;0,SUM(BM$7:BM17)-SUM(BL$7:BL17),0)</f>
        <v>-11470</v>
      </c>
      <c r="BO17" s="45">
        <f t="shared" si="27"/>
        <v>0.65375000000000005</v>
      </c>
      <c r="BP17" s="75">
        <v>11000</v>
      </c>
      <c r="BQ17" s="75">
        <v>11160</v>
      </c>
      <c r="BR17" s="90">
        <f>IF(BQ17&gt;0,SUM(BQ$7:BQ17)-SUM(BP$7:BP17),0)</f>
        <v>-23419</v>
      </c>
      <c r="BS17" s="45">
        <f t="shared" si="32"/>
        <v>1.0145454545454546</v>
      </c>
      <c r="BT17" s="35">
        <f t="shared" si="5"/>
        <v>37200</v>
      </c>
      <c r="BU17" s="35">
        <f t="shared" si="5"/>
        <v>27866</v>
      </c>
      <c r="BV17" s="91">
        <f>IF(BU17&gt;0,SUM(BU$7:BU17)-SUM(BT$7:BT17),0)</f>
        <v>-72520</v>
      </c>
      <c r="BW17" s="45">
        <f t="shared" si="28"/>
        <v>0.7490860215053764</v>
      </c>
      <c r="BY17" s="47">
        <f t="shared" si="29"/>
        <v>40827</v>
      </c>
      <c r="BZ17" s="54" t="str">
        <f t="shared" si="12"/>
        <v>qui</v>
      </c>
      <c r="CA17" s="75">
        <v>5000</v>
      </c>
      <c r="CB17" s="75">
        <v>6146</v>
      </c>
      <c r="CC17" s="90">
        <f>IF(CB17&gt;0,SUM(CB$7:CB17)-SUM(CA$7:CA17),0)</f>
        <v>-10962</v>
      </c>
      <c r="CD17" s="45">
        <f t="shared" si="30"/>
        <v>1.2292000000000001</v>
      </c>
    </row>
    <row r="18" spans="1:82" x14ac:dyDescent="0.25">
      <c r="A18" s="47">
        <f t="shared" si="13"/>
        <v>40828</v>
      </c>
      <c r="B18" s="54" t="s">
        <v>24</v>
      </c>
      <c r="C18" s="75">
        <v>12900</v>
      </c>
      <c r="D18" s="75">
        <v>13040</v>
      </c>
      <c r="E18" s="90">
        <f>IF(D18&gt;0,SUM(D$7:D18)-SUM(C$7:C18),0)</f>
        <v>6378</v>
      </c>
      <c r="F18" s="45">
        <f t="shared" si="14"/>
        <v>1.0108527131782945</v>
      </c>
      <c r="G18" s="75">
        <v>12900</v>
      </c>
      <c r="H18" s="75">
        <v>8502</v>
      </c>
      <c r="I18" s="75">
        <f>IF(H18&gt;0,SUM(H$7:H18)-SUM(G$7:G18),0)</f>
        <v>-43140</v>
      </c>
      <c r="J18" s="45">
        <f t="shared" si="33"/>
        <v>0.65906976744186041</v>
      </c>
      <c r="K18" s="75">
        <v>12900</v>
      </c>
      <c r="L18" s="75">
        <v>14194</v>
      </c>
      <c r="M18" s="90">
        <f>IF(L18&gt;0,SUM(L$7:L18)-SUM(K$7:K18),0)</f>
        <v>-18640</v>
      </c>
      <c r="N18" s="45">
        <f t="shared" ref="N18:N38" si="35">IF(L18&gt;0,IF(K18&gt;0,L18/K18,0),0)</f>
        <v>1.1003100775193799</v>
      </c>
      <c r="O18" s="35">
        <f t="shared" si="34"/>
        <v>38700</v>
      </c>
      <c r="P18" s="35">
        <f t="shared" si="6"/>
        <v>35736</v>
      </c>
      <c r="Q18" s="91">
        <f>IF(P18&gt;0,SUM(P$7:P18)-SUM(O$7:O18),0)</f>
        <v>-55402</v>
      </c>
      <c r="R18" s="45">
        <f t="shared" si="15"/>
        <v>0.92341085271317824</v>
      </c>
      <c r="T18" s="47">
        <f t="shared" si="16"/>
        <v>40828</v>
      </c>
      <c r="U18" s="54" t="str">
        <f t="shared" si="7"/>
        <v>sex</v>
      </c>
      <c r="V18" s="75">
        <v>12340</v>
      </c>
      <c r="W18" s="75">
        <v>9638</v>
      </c>
      <c r="X18" s="92">
        <f>IF(W18&gt;0,SUM(W$7:W18)-SUM(V$7:V18),0)</f>
        <v>-20471</v>
      </c>
      <c r="Y18" s="60">
        <f t="shared" si="17"/>
        <v>0.78103727714748783</v>
      </c>
      <c r="Z18" s="75">
        <v>12340</v>
      </c>
      <c r="AA18" s="75">
        <v>8827</v>
      </c>
      <c r="AB18" s="92">
        <f>IF(AA18&gt;0,SUM(AA$7:AA18)-SUM(Z$7:Z18),0)</f>
        <v>-33810</v>
      </c>
      <c r="AC18" s="60">
        <f t="shared" si="18"/>
        <v>0.71531604538087523</v>
      </c>
      <c r="AD18" s="75">
        <v>12340</v>
      </c>
      <c r="AE18" s="75">
        <v>9283</v>
      </c>
      <c r="AF18" s="92">
        <f>IF(AE18&gt;0,SUM(AE$7:AE18)-SUM(AD$7:AD18),0)</f>
        <v>-27343</v>
      </c>
      <c r="AG18" s="60">
        <f t="shared" si="19"/>
        <v>0.75226904376012971</v>
      </c>
      <c r="AH18" s="41">
        <f t="shared" si="3"/>
        <v>37020</v>
      </c>
      <c r="AI18" s="41">
        <f t="shared" si="8"/>
        <v>27748</v>
      </c>
      <c r="AJ18" s="93">
        <f>IF(AI18&gt;0,SUM(AI$7:AI18)-SUM(AH$7:AH18),0)</f>
        <v>-81624</v>
      </c>
      <c r="AK18" s="60">
        <f t="shared" si="20"/>
        <v>0.74954078876283092</v>
      </c>
      <c r="AM18" s="47">
        <f t="shared" si="21"/>
        <v>40828</v>
      </c>
      <c r="AN18" s="54" t="str">
        <f t="shared" si="9"/>
        <v>sex</v>
      </c>
      <c r="AO18" s="75">
        <v>7700</v>
      </c>
      <c r="AP18" s="75">
        <v>4958</v>
      </c>
      <c r="AQ18" s="75">
        <f>IF(AP18&gt;0,SUM(AP$7:AP18)-SUM(AO$7:AO18),0)</f>
        <v>-1351</v>
      </c>
      <c r="AR18" s="45">
        <f t="shared" si="22"/>
        <v>0.64389610389610386</v>
      </c>
      <c r="AS18" s="75">
        <v>7700</v>
      </c>
      <c r="AT18" s="75">
        <v>5738</v>
      </c>
      <c r="AU18" s="90">
        <v>6855</v>
      </c>
      <c r="AV18" s="45">
        <f t="shared" si="23"/>
        <v>0.74519480519480519</v>
      </c>
      <c r="AW18" s="75">
        <v>7700</v>
      </c>
      <c r="AX18" s="75">
        <v>6855</v>
      </c>
      <c r="AY18" s="90">
        <f>IF(AX18&gt;0,SUM(AX$7:AX18)-SUM(AW$7:AW18),0)</f>
        <v>-22723</v>
      </c>
      <c r="AZ18" s="45">
        <f t="shared" si="31"/>
        <v>0.89025974025974031</v>
      </c>
      <c r="BA18" s="35">
        <f t="shared" si="4"/>
        <v>23100</v>
      </c>
      <c r="BB18" s="35">
        <f t="shared" si="10"/>
        <v>17551</v>
      </c>
      <c r="BC18" s="91">
        <f>IF(BB18&gt;0,SUM(BB$7:BB18)-SUM(BA$7:BA18),0)</f>
        <v>-26779</v>
      </c>
      <c r="BD18" s="45">
        <f t="shared" si="24"/>
        <v>0.75978354978354978</v>
      </c>
      <c r="BF18" s="47">
        <f t="shared" si="25"/>
        <v>40828</v>
      </c>
      <c r="BG18" s="54" t="str">
        <f t="shared" si="11"/>
        <v>sex</v>
      </c>
      <c r="BH18" s="75">
        <v>18200</v>
      </c>
      <c r="BI18" s="75">
        <v>11101</v>
      </c>
      <c r="BJ18" s="75">
        <f>IF(BI18&gt;0,SUM(BI$7:BI18)-SUM(BH$7:BH18),0)</f>
        <v>-44730</v>
      </c>
      <c r="BK18" s="45">
        <f t="shared" si="26"/>
        <v>0.60994505494505491</v>
      </c>
      <c r="BL18" s="75">
        <v>8000</v>
      </c>
      <c r="BM18" s="75">
        <v>6454</v>
      </c>
      <c r="BN18" s="90">
        <f>IF(BM18&gt;0,SUM(BM$7:BM18)-SUM(BL$7:BL18),0)</f>
        <v>-13016</v>
      </c>
      <c r="BO18" s="45">
        <f t="shared" si="27"/>
        <v>0.80674999999999997</v>
      </c>
      <c r="BP18" s="75">
        <v>11000</v>
      </c>
      <c r="BQ18" s="75">
        <v>6873</v>
      </c>
      <c r="BR18" s="90">
        <f>IF(BQ18&gt;0,SUM(BQ$7:BQ18)-SUM(BP$7:BP18),0)</f>
        <v>-27546</v>
      </c>
      <c r="BS18" s="45">
        <f t="shared" si="32"/>
        <v>0.62481818181818183</v>
      </c>
      <c r="BT18" s="35">
        <f t="shared" si="5"/>
        <v>37200</v>
      </c>
      <c r="BU18" s="35">
        <f t="shared" si="5"/>
        <v>24428</v>
      </c>
      <c r="BV18" s="91">
        <f>IF(BU18&gt;0,SUM(BU$7:BU18)-SUM(BT$7:BT18),0)</f>
        <v>-85292</v>
      </c>
      <c r="BW18" s="45">
        <f t="shared" si="28"/>
        <v>0.65666666666666662</v>
      </c>
      <c r="BY18" s="47">
        <f t="shared" si="29"/>
        <v>40828</v>
      </c>
      <c r="BZ18" s="54" t="str">
        <f t="shared" si="12"/>
        <v>sex</v>
      </c>
      <c r="CA18" s="75">
        <v>5000</v>
      </c>
      <c r="CB18" s="75">
        <v>6979</v>
      </c>
      <c r="CC18" s="90">
        <f>IF(CB18&gt;0,SUM(CB$7:CB18)-SUM(CA$7:CA18),0)</f>
        <v>-8983</v>
      </c>
      <c r="CD18" s="45">
        <f t="shared" si="30"/>
        <v>1.3957999999999999</v>
      </c>
    </row>
    <row r="19" spans="1:82" x14ac:dyDescent="0.25">
      <c r="A19" s="47">
        <f t="shared" si="13"/>
        <v>40829</v>
      </c>
      <c r="B19" s="54" t="s">
        <v>25</v>
      </c>
      <c r="C19" s="75">
        <v>12900</v>
      </c>
      <c r="D19" s="75">
        <v>11594</v>
      </c>
      <c r="E19" s="90">
        <f>IF(D19&gt;0,SUM(D$7:D19)-SUM(C$7:C19),0)</f>
        <v>5072</v>
      </c>
      <c r="F19" s="45">
        <f t="shared" si="14"/>
        <v>0.89875968992248056</v>
      </c>
      <c r="G19" s="75">
        <v>12900</v>
      </c>
      <c r="H19" s="75">
        <v>8489</v>
      </c>
      <c r="I19" s="75">
        <f>IF(H19&gt;0,SUM(H$7:H19)-SUM(G$7:G19),0)</f>
        <v>-47551</v>
      </c>
      <c r="J19" s="45">
        <f t="shared" si="33"/>
        <v>0.658062015503876</v>
      </c>
      <c r="K19" s="75">
        <v>12900</v>
      </c>
      <c r="L19" s="75">
        <v>7275</v>
      </c>
      <c r="M19" s="90">
        <f>IF(L19&gt;0,SUM(L$7:L19)-SUM(K$7:K19),0)</f>
        <v>-24265</v>
      </c>
      <c r="N19" s="45">
        <f t="shared" si="35"/>
        <v>0.56395348837209303</v>
      </c>
      <c r="O19" s="35">
        <f t="shared" si="34"/>
        <v>38700</v>
      </c>
      <c r="P19" s="35">
        <f t="shared" si="6"/>
        <v>27358</v>
      </c>
      <c r="Q19" s="91">
        <f>IF(P19&gt;0,SUM(P$7:P19)-SUM(O$7:O19),0)</f>
        <v>-66744</v>
      </c>
      <c r="R19" s="45">
        <f t="shared" si="15"/>
        <v>0.70692506459948323</v>
      </c>
      <c r="T19" s="47">
        <f t="shared" si="16"/>
        <v>40829</v>
      </c>
      <c r="U19" s="54" t="str">
        <f t="shared" si="7"/>
        <v>sáb</v>
      </c>
      <c r="V19" s="75">
        <v>12340</v>
      </c>
      <c r="W19" s="75">
        <v>7816</v>
      </c>
      <c r="X19" s="92">
        <f>IF(W19&gt;0,SUM(W$7:W19)-SUM(V$7:V19),0)</f>
        <v>-24995</v>
      </c>
      <c r="Y19" s="60">
        <f t="shared" si="17"/>
        <v>0.63338735818476499</v>
      </c>
      <c r="Z19" s="75">
        <v>12340</v>
      </c>
      <c r="AA19" s="75">
        <v>5132</v>
      </c>
      <c r="AB19" s="92">
        <f>IF(AA19&gt;0,SUM(AA$7:AA19)-SUM(Z$7:Z19),0)</f>
        <v>-41018</v>
      </c>
      <c r="AC19" s="60">
        <f t="shared" si="18"/>
        <v>0.41588330632090764</v>
      </c>
      <c r="AD19" s="75">
        <v>12340</v>
      </c>
      <c r="AE19" s="75">
        <v>7519</v>
      </c>
      <c r="AF19" s="92">
        <f>IF(AE19&gt;0,SUM(AE$7:AE19)-SUM(AD$7:AD19),0)</f>
        <v>-32164</v>
      </c>
      <c r="AG19" s="60">
        <f t="shared" si="19"/>
        <v>0.60931928687196113</v>
      </c>
      <c r="AH19" s="41">
        <f t="shared" si="3"/>
        <v>37020</v>
      </c>
      <c r="AI19" s="41">
        <f t="shared" si="8"/>
        <v>20467</v>
      </c>
      <c r="AJ19" s="93">
        <f>IF(AI19&gt;0,SUM(AI$7:AI19)-SUM(AH$7:AH19),0)</f>
        <v>-98177</v>
      </c>
      <c r="AK19" s="60">
        <f t="shared" si="20"/>
        <v>0.55286331712587788</v>
      </c>
      <c r="AM19" s="47">
        <f t="shared" si="21"/>
        <v>40829</v>
      </c>
      <c r="AN19" s="54" t="str">
        <f t="shared" si="9"/>
        <v>sáb</v>
      </c>
      <c r="AO19" s="75">
        <v>7700</v>
      </c>
      <c r="AP19" s="75">
        <v>6498</v>
      </c>
      <c r="AQ19" s="75">
        <f>IF(AP19&gt;0,SUM(AP$7:AP19)-SUM(AO$7:AO19),0)</f>
        <v>-2553</v>
      </c>
      <c r="AR19" s="45">
        <f t="shared" si="22"/>
        <v>0.84389610389610392</v>
      </c>
      <c r="AS19" s="75">
        <v>7700</v>
      </c>
      <c r="AT19" s="75">
        <v>7522</v>
      </c>
      <c r="AU19" s="90">
        <f>IF(AT19&gt;0,SUM(AT$7:AT19)-SUM(AS$7:AS19),0)</f>
        <v>-2883</v>
      </c>
      <c r="AV19" s="45">
        <f t="shared" si="23"/>
        <v>0.97688311688311691</v>
      </c>
      <c r="AW19" s="75">
        <v>7700</v>
      </c>
      <c r="AX19" s="75">
        <v>5584</v>
      </c>
      <c r="AY19" s="90">
        <f>IF(AX19&gt;0,SUM(AX$7:AX19)-SUM(AW$7:AW19),0)</f>
        <v>-24839</v>
      </c>
      <c r="AZ19" s="45">
        <f t="shared" si="31"/>
        <v>0.72519480519480517</v>
      </c>
      <c r="BA19" s="35">
        <f t="shared" si="4"/>
        <v>23100</v>
      </c>
      <c r="BB19" s="35">
        <f t="shared" si="10"/>
        <v>19604</v>
      </c>
      <c r="BC19" s="91">
        <f>IF(BB19&gt;0,SUM(BB$7:BB19)-SUM(BA$7:BA19),0)</f>
        <v>-30275</v>
      </c>
      <c r="BD19" s="45">
        <f t="shared" si="24"/>
        <v>0.84865800865800867</v>
      </c>
      <c r="BF19" s="47">
        <f t="shared" si="25"/>
        <v>40829</v>
      </c>
      <c r="BG19" s="54" t="str">
        <f t="shared" si="11"/>
        <v>sáb</v>
      </c>
      <c r="BH19" s="75">
        <v>18200</v>
      </c>
      <c r="BI19" s="75">
        <v>9558</v>
      </c>
      <c r="BJ19" s="75">
        <f>IF(BI19&gt;0,SUM(BI$7:BI19)-SUM(BH$7:BH19),0)</f>
        <v>-53372</v>
      </c>
      <c r="BK19" s="45">
        <f t="shared" si="26"/>
        <v>0.52516483516483514</v>
      </c>
      <c r="BL19" s="75">
        <v>8000</v>
      </c>
      <c r="BM19" s="75">
        <v>9286</v>
      </c>
      <c r="BN19" s="90">
        <f>IF(BM19&gt;0,SUM(BM$7:BM19)-SUM(BL$7:BL19),0)</f>
        <v>-11730</v>
      </c>
      <c r="BO19" s="45">
        <f t="shared" si="27"/>
        <v>1.1607499999999999</v>
      </c>
      <c r="BP19" s="75">
        <v>11000</v>
      </c>
      <c r="BQ19" s="75">
        <v>4474</v>
      </c>
      <c r="BR19" s="90">
        <f>IF(BQ19&gt;0,SUM(BQ$7:BQ19)-SUM(BP$7:BP19),0)</f>
        <v>-34072</v>
      </c>
      <c r="BS19" s="45">
        <f t="shared" si="32"/>
        <v>0.40672727272727272</v>
      </c>
      <c r="BT19" s="35">
        <f t="shared" si="5"/>
        <v>37200</v>
      </c>
      <c r="BU19" s="35">
        <f t="shared" si="5"/>
        <v>23318</v>
      </c>
      <c r="BV19" s="91">
        <f>IF(BU19&gt;0,SUM(BU$7:BU19)-SUM(BT$7:BT19),0)</f>
        <v>-99174</v>
      </c>
      <c r="BW19" s="45">
        <f t="shared" si="28"/>
        <v>0.62682795698924731</v>
      </c>
      <c r="BY19" s="47">
        <f t="shared" si="29"/>
        <v>40829</v>
      </c>
      <c r="BZ19" s="54" t="str">
        <f t="shared" si="12"/>
        <v>sáb</v>
      </c>
      <c r="CA19" s="75">
        <v>5000</v>
      </c>
      <c r="CB19" s="75">
        <v>3241</v>
      </c>
      <c r="CC19" s="90">
        <f>IF(CB19&gt;0,SUM(CB$7:CB19)-SUM(CA$7:CA19),0)</f>
        <v>-10742</v>
      </c>
      <c r="CD19" s="45">
        <f t="shared" si="30"/>
        <v>0.6482</v>
      </c>
    </row>
    <row r="20" spans="1:82" x14ac:dyDescent="0.25">
      <c r="A20" s="47">
        <f t="shared" si="13"/>
        <v>40830</v>
      </c>
      <c r="B20" s="54" t="s">
        <v>26</v>
      </c>
      <c r="C20" s="75"/>
      <c r="D20" s="75">
        <v>9988</v>
      </c>
      <c r="E20" s="90">
        <f>IF(D20&gt;0,SUM(D$7:D20)-SUM(C$7:C20),0)</f>
        <v>15060</v>
      </c>
      <c r="F20" s="45">
        <f t="shared" si="14"/>
        <v>0</v>
      </c>
      <c r="G20" s="75"/>
      <c r="H20" s="75"/>
      <c r="I20" s="75">
        <f>IF(H20&gt;0,SUM(H$7:H20)-SUM(G$7:G20),0)</f>
        <v>0</v>
      </c>
      <c r="J20" s="45">
        <f t="shared" si="33"/>
        <v>0</v>
      </c>
      <c r="K20" s="75"/>
      <c r="L20" s="75"/>
      <c r="M20" s="90">
        <f>IF(L20&gt;0,SUM(L$7:L20)-SUM(K$7:K20),0)</f>
        <v>0</v>
      </c>
      <c r="N20" s="45">
        <f t="shared" si="35"/>
        <v>0</v>
      </c>
      <c r="O20" s="35">
        <f t="shared" si="34"/>
        <v>0</v>
      </c>
      <c r="P20" s="35">
        <f t="shared" si="6"/>
        <v>9988</v>
      </c>
      <c r="Q20" s="91">
        <f>IF(P20&gt;0,SUM(P$7:P20)-SUM(O$7:O20),0)</f>
        <v>-56756</v>
      </c>
      <c r="R20" s="45">
        <f t="shared" si="15"/>
        <v>0</v>
      </c>
      <c r="T20" s="47">
        <f t="shared" si="16"/>
        <v>40830</v>
      </c>
      <c r="U20" s="54" t="str">
        <f t="shared" si="7"/>
        <v>dom</v>
      </c>
      <c r="V20" s="75"/>
      <c r="W20" s="75">
        <v>15952</v>
      </c>
      <c r="X20" s="92">
        <f>IF(W20&gt;0,SUM(W$7:W20)-SUM(V$7:V20),0)</f>
        <v>-9043</v>
      </c>
      <c r="Y20" s="60">
        <f t="shared" si="17"/>
        <v>0</v>
      </c>
      <c r="Z20" s="75"/>
      <c r="AA20" s="75"/>
      <c r="AB20" s="92">
        <f>IF(AA20&gt;0,SUM(AA$7:AA20)-SUM(Z$7:Z20),0)</f>
        <v>0</v>
      </c>
      <c r="AC20" s="60">
        <f t="shared" si="18"/>
        <v>0</v>
      </c>
      <c r="AD20" s="75"/>
      <c r="AE20" s="75"/>
      <c r="AF20" s="92">
        <f>IF(AE20&gt;0,SUM(AE$7:AE20)-SUM(AD$7:AD20),0)</f>
        <v>0</v>
      </c>
      <c r="AG20" s="60">
        <f t="shared" si="19"/>
        <v>0</v>
      </c>
      <c r="AH20" s="41">
        <f t="shared" si="3"/>
        <v>0</v>
      </c>
      <c r="AI20" s="41">
        <f t="shared" si="8"/>
        <v>15952</v>
      </c>
      <c r="AJ20" s="93">
        <f>IF(AI20&gt;0,SUM(AI$7:AI20)-SUM(AH$7:AH20),0)</f>
        <v>-82225</v>
      </c>
      <c r="AK20" s="60">
        <f t="shared" si="20"/>
        <v>0</v>
      </c>
      <c r="AM20" s="47">
        <f t="shared" si="21"/>
        <v>40830</v>
      </c>
      <c r="AN20" s="54" t="str">
        <f t="shared" si="9"/>
        <v>dom</v>
      </c>
      <c r="AO20" s="75"/>
      <c r="AP20" s="75"/>
      <c r="AQ20" s="75">
        <f>IF(AP20&gt;0,SUM(AP$7:AP20)-SUM(AO$7:AO20),0)</f>
        <v>0</v>
      </c>
      <c r="AR20" s="45">
        <f t="shared" si="22"/>
        <v>0</v>
      </c>
      <c r="AS20" s="75"/>
      <c r="AT20" s="75"/>
      <c r="AU20" s="90">
        <f>IF(AT20&gt;0,SUM(AT$7:AT20)-SUM(AS$7:AS20),0)</f>
        <v>0</v>
      </c>
      <c r="AV20" s="45">
        <f t="shared" si="23"/>
        <v>0</v>
      </c>
      <c r="AW20" s="75"/>
      <c r="AX20" s="75"/>
      <c r="AY20" s="90">
        <f>IF(AX20&gt;0,SUM(AX$7:AX20)-SUM(AW$7:AW20),0)</f>
        <v>0</v>
      </c>
      <c r="AZ20" s="45">
        <f t="shared" si="31"/>
        <v>0</v>
      </c>
      <c r="BA20" s="35">
        <f t="shared" si="4"/>
        <v>0</v>
      </c>
      <c r="BB20" s="35">
        <f t="shared" si="10"/>
        <v>0</v>
      </c>
      <c r="BC20" s="91">
        <f>IF(BB20&gt;0,SUM(BB$7:BB20)-SUM(BA$7:BA20),0)</f>
        <v>0</v>
      </c>
      <c r="BD20" s="45">
        <f t="shared" si="24"/>
        <v>0</v>
      </c>
      <c r="BF20" s="47">
        <f t="shared" si="25"/>
        <v>40830</v>
      </c>
      <c r="BG20" s="54" t="str">
        <f t="shared" si="11"/>
        <v>dom</v>
      </c>
      <c r="BH20" s="75"/>
      <c r="BI20" s="75"/>
      <c r="BJ20" s="75">
        <f>IF(BI20&gt;0,SUM(BI$7:BI20)-SUM(BH$7:BH20),0)</f>
        <v>0</v>
      </c>
      <c r="BK20" s="45">
        <f t="shared" si="26"/>
        <v>0</v>
      </c>
      <c r="BL20" s="75"/>
      <c r="BM20" s="75"/>
      <c r="BN20" s="90">
        <f>IF(BM20&gt;0,SUM(BM$7:BM20)-SUM(BL$7:BL20),0)</f>
        <v>0</v>
      </c>
      <c r="BO20" s="45">
        <f t="shared" si="27"/>
        <v>0</v>
      </c>
      <c r="BP20" s="75"/>
      <c r="BQ20" s="75"/>
      <c r="BR20" s="90">
        <f>IF(BQ20&gt;0,SUM(BQ$7:BQ20)-SUM(BP$7:BP20),0)</f>
        <v>0</v>
      </c>
      <c r="BS20" s="45">
        <f t="shared" si="32"/>
        <v>0</v>
      </c>
      <c r="BT20" s="35">
        <f t="shared" si="5"/>
        <v>0</v>
      </c>
      <c r="BU20" s="35">
        <f t="shared" si="5"/>
        <v>0</v>
      </c>
      <c r="BV20" s="91">
        <f>IF(BU20&gt;0,SUM(BU$7:BU20)-SUM(BT$7:BT20),0)</f>
        <v>0</v>
      </c>
      <c r="BW20" s="45">
        <f t="shared" si="28"/>
        <v>0</v>
      </c>
      <c r="BY20" s="47">
        <f t="shared" si="29"/>
        <v>40830</v>
      </c>
      <c r="BZ20" s="54" t="str">
        <f t="shared" si="12"/>
        <v>dom</v>
      </c>
      <c r="CA20" s="75"/>
      <c r="CB20" s="75"/>
      <c r="CC20" s="90">
        <f>IF(CB20&gt;0,SUM(CB$7:CB20)-SUM(CA$7:CA20),0)</f>
        <v>0</v>
      </c>
      <c r="CD20" s="45">
        <f t="shared" si="30"/>
        <v>0</v>
      </c>
    </row>
    <row r="21" spans="1:82" x14ac:dyDescent="0.25">
      <c r="A21" s="47">
        <f t="shared" si="13"/>
        <v>40831</v>
      </c>
      <c r="B21" s="54" t="s">
        <v>27</v>
      </c>
      <c r="C21" s="75">
        <v>12900</v>
      </c>
      <c r="D21" s="75">
        <v>7350</v>
      </c>
      <c r="E21" s="90">
        <f>IF(D21&gt;0,SUM(D$7:D21)-SUM(C$7:C21),0)</f>
        <v>9510</v>
      </c>
      <c r="F21" s="45">
        <f t="shared" si="14"/>
        <v>0.56976744186046513</v>
      </c>
      <c r="G21" s="75">
        <v>12900</v>
      </c>
      <c r="H21" s="75">
        <v>10515</v>
      </c>
      <c r="I21" s="75">
        <f>IF(H21&gt;0,SUM(H$7:H21)-SUM(G$7:G21),0)</f>
        <v>-49936</v>
      </c>
      <c r="J21" s="45">
        <f t="shared" si="33"/>
        <v>0.81511627906976747</v>
      </c>
      <c r="K21" s="75">
        <v>12900</v>
      </c>
      <c r="L21" s="75">
        <v>7838</v>
      </c>
      <c r="M21" s="90">
        <f>IF(L21&gt;0,SUM(L$7:L21)-SUM(K$7:K21),0)</f>
        <v>-29327</v>
      </c>
      <c r="N21" s="45">
        <f t="shared" si="35"/>
        <v>0.6075968992248062</v>
      </c>
      <c r="O21" s="35">
        <f t="shared" si="34"/>
        <v>38700</v>
      </c>
      <c r="P21" s="35">
        <f t="shared" si="6"/>
        <v>25703</v>
      </c>
      <c r="Q21" s="91">
        <f>IF(P21&gt;0,SUM(P$7:P21)-SUM(O$7:O21),0)</f>
        <v>-69753</v>
      </c>
      <c r="R21" s="45">
        <f t="shared" si="15"/>
        <v>0.6641602067183463</v>
      </c>
      <c r="T21" s="47">
        <f t="shared" si="16"/>
        <v>40831</v>
      </c>
      <c r="U21" s="54" t="str">
        <f t="shared" si="7"/>
        <v>seg</v>
      </c>
      <c r="V21" s="75">
        <v>12340</v>
      </c>
      <c r="W21" s="75">
        <v>6596</v>
      </c>
      <c r="X21" s="92">
        <f>IF(W21&gt;0,SUM(W$7:W21)-SUM(V$7:V21),0)</f>
        <v>-14787</v>
      </c>
      <c r="Y21" s="60">
        <f t="shared" si="17"/>
        <v>0.53452188006482981</v>
      </c>
      <c r="Z21" s="75">
        <v>12340</v>
      </c>
      <c r="AA21" s="75">
        <v>7259</v>
      </c>
      <c r="AB21" s="92">
        <f>IF(AA21&gt;0,SUM(AA$7:AA21)-SUM(Z$7:Z21),0)</f>
        <v>-46099</v>
      </c>
      <c r="AC21" s="60">
        <f t="shared" si="18"/>
        <v>0.58824959481361427</v>
      </c>
      <c r="AD21" s="75">
        <v>12340</v>
      </c>
      <c r="AE21" s="75">
        <v>7045</v>
      </c>
      <c r="AF21" s="92">
        <f>IF(AE21&gt;0,SUM(AE$7:AE21)-SUM(AD$7:AD21),0)</f>
        <v>-37459</v>
      </c>
      <c r="AG21" s="60">
        <f t="shared" si="19"/>
        <v>0.57090761750405183</v>
      </c>
      <c r="AH21" s="41">
        <f t="shared" si="3"/>
        <v>37020</v>
      </c>
      <c r="AI21" s="41">
        <f t="shared" si="8"/>
        <v>20900</v>
      </c>
      <c r="AJ21" s="93">
        <f>IF(AI21&gt;0,SUM(AI$7:AI21)-SUM(AH$7:AH21),0)</f>
        <v>-98345</v>
      </c>
      <c r="AK21" s="60">
        <f t="shared" si="20"/>
        <v>0.56455969746083201</v>
      </c>
      <c r="AM21" s="47">
        <f t="shared" si="21"/>
        <v>40831</v>
      </c>
      <c r="AN21" s="54" t="str">
        <f t="shared" si="9"/>
        <v>seg</v>
      </c>
      <c r="AO21" s="75">
        <v>7700</v>
      </c>
      <c r="AP21" s="75">
        <v>7995</v>
      </c>
      <c r="AQ21" s="75">
        <f>IF(AP21&gt;0,SUM(AP$7:AP21)-SUM(AO$7:AO21),0)</f>
        <v>-2258</v>
      </c>
      <c r="AR21" s="45">
        <f t="shared" si="22"/>
        <v>1.0383116883116883</v>
      </c>
      <c r="AS21" s="75">
        <v>7700</v>
      </c>
      <c r="AT21" s="75">
        <v>9577</v>
      </c>
      <c r="AU21" s="90">
        <f>IF(AT21&gt;0,SUM(AT$7:AT21)-SUM(AS$7:AS21),0)</f>
        <v>-1006</v>
      </c>
      <c r="AV21" s="45">
        <f t="shared" si="23"/>
        <v>1.2437662337662339</v>
      </c>
      <c r="AW21" s="75">
        <v>7700</v>
      </c>
      <c r="AX21" s="75">
        <v>4859</v>
      </c>
      <c r="AY21" s="90">
        <f>IF(AX21&gt;0,SUM(AX$7:AX21)-SUM(AW$7:AW21),0)</f>
        <v>-27680</v>
      </c>
      <c r="AZ21" s="45">
        <f t="shared" si="31"/>
        <v>0.63103896103896107</v>
      </c>
      <c r="BA21" s="35">
        <f t="shared" si="4"/>
        <v>23100</v>
      </c>
      <c r="BB21" s="35">
        <f t="shared" si="10"/>
        <v>22431</v>
      </c>
      <c r="BC21" s="91">
        <f>IF(BB21&gt;0,SUM(BB$7:BB21)-SUM(BA$7:BA21),0)</f>
        <v>-30944</v>
      </c>
      <c r="BD21" s="45">
        <f t="shared" si="24"/>
        <v>0.97103896103896103</v>
      </c>
      <c r="BF21" s="47">
        <f t="shared" si="25"/>
        <v>40831</v>
      </c>
      <c r="BG21" s="54" t="str">
        <f t="shared" si="11"/>
        <v>seg</v>
      </c>
      <c r="BH21" s="75">
        <v>18200</v>
      </c>
      <c r="BI21" s="75">
        <v>13747</v>
      </c>
      <c r="BJ21" s="75">
        <f>IF(BI21&gt;0,SUM(BI$7:BI21)-SUM(BH$7:BH21),0)</f>
        <v>-57825</v>
      </c>
      <c r="BK21" s="45">
        <f t="shared" si="26"/>
        <v>0.75532967032967036</v>
      </c>
      <c r="BL21" s="75">
        <v>8000</v>
      </c>
      <c r="BM21" s="75">
        <v>8689</v>
      </c>
      <c r="BN21" s="90">
        <f>IF(BM21&gt;0,SUM(BM$7:BM21)-SUM(BL$7:BL21),0)</f>
        <v>-11041</v>
      </c>
      <c r="BO21" s="45">
        <f t="shared" si="27"/>
        <v>1.086125</v>
      </c>
      <c r="BP21" s="75">
        <v>11000</v>
      </c>
      <c r="BQ21" s="75">
        <v>7798</v>
      </c>
      <c r="BR21" s="90">
        <f>IF(BQ21&gt;0,SUM(BQ$7:BQ21)-SUM(BP$7:BP21),0)</f>
        <v>-37274</v>
      </c>
      <c r="BS21" s="45">
        <f t="shared" si="32"/>
        <v>0.70890909090909093</v>
      </c>
      <c r="BT21" s="35">
        <f t="shared" si="5"/>
        <v>37200</v>
      </c>
      <c r="BU21" s="35">
        <f t="shared" si="5"/>
        <v>30234</v>
      </c>
      <c r="BV21" s="91">
        <f>IF(BU21&gt;0,SUM(BU$7:BU21)-SUM(BT$7:BT21),0)</f>
        <v>-106140</v>
      </c>
      <c r="BW21" s="45">
        <f t="shared" si="28"/>
        <v>0.81274193548387097</v>
      </c>
      <c r="BY21" s="47">
        <f t="shared" si="29"/>
        <v>40831</v>
      </c>
      <c r="BZ21" s="54" t="str">
        <f t="shared" si="12"/>
        <v>seg</v>
      </c>
      <c r="CA21" s="75">
        <v>5000</v>
      </c>
      <c r="CB21" s="75">
        <v>9515</v>
      </c>
      <c r="CC21" s="90">
        <f>IF(CB21&gt;0,SUM(CB$7:CB21)-SUM(CA$7:CA21),0)</f>
        <v>-6227</v>
      </c>
      <c r="CD21" s="45">
        <f t="shared" si="30"/>
        <v>1.903</v>
      </c>
    </row>
    <row r="22" spans="1:82" x14ac:dyDescent="0.25">
      <c r="A22" s="47">
        <f t="shared" si="13"/>
        <v>40832</v>
      </c>
      <c r="B22" s="54" t="s">
        <v>28</v>
      </c>
      <c r="C22" s="75">
        <v>12900</v>
      </c>
      <c r="D22" s="75">
        <v>8968</v>
      </c>
      <c r="E22" s="90">
        <f>IF(D22&gt;0,SUM(D$7:D22)-SUM(C$7:C22),0)</f>
        <v>5578</v>
      </c>
      <c r="F22" s="45">
        <f t="shared" si="14"/>
        <v>0.69519379844961238</v>
      </c>
      <c r="G22" s="75">
        <v>12900</v>
      </c>
      <c r="H22" s="75">
        <v>9914</v>
      </c>
      <c r="I22" s="75">
        <f>IF(H22&gt;0,SUM(H$7:H22)-SUM(G$7:G22),0)</f>
        <v>-52922</v>
      </c>
      <c r="J22" s="45">
        <f t="shared" si="33"/>
        <v>0.76852713178294574</v>
      </c>
      <c r="K22" s="75">
        <v>12900</v>
      </c>
      <c r="L22" s="75">
        <v>10801</v>
      </c>
      <c r="M22" s="90">
        <f>IF(L22&gt;0,SUM(L$7:L22)-SUM(K$7:K22),0)</f>
        <v>-31426</v>
      </c>
      <c r="N22" s="45">
        <f t="shared" si="35"/>
        <v>0.83728682170542634</v>
      </c>
      <c r="O22" s="35">
        <f t="shared" si="34"/>
        <v>38700</v>
      </c>
      <c r="P22" s="35">
        <f t="shared" si="6"/>
        <v>29683</v>
      </c>
      <c r="Q22" s="91">
        <f>IF(P22&gt;0,SUM(P$7:P22)-SUM(O$7:O22),0)</f>
        <v>-78770</v>
      </c>
      <c r="R22" s="45">
        <f t="shared" si="15"/>
        <v>0.76700258397932819</v>
      </c>
      <c r="T22" s="47">
        <f t="shared" si="16"/>
        <v>40832</v>
      </c>
      <c r="U22" s="54" t="str">
        <f t="shared" si="7"/>
        <v>ter</v>
      </c>
      <c r="V22" s="75">
        <v>12340</v>
      </c>
      <c r="W22" s="75">
        <v>8192</v>
      </c>
      <c r="X22" s="92">
        <f>IF(W22&gt;0,SUM(W$7:W22)-SUM(V$7:V22),0)</f>
        <v>-18935</v>
      </c>
      <c r="Y22" s="60">
        <f t="shared" si="17"/>
        <v>0.66385737439222037</v>
      </c>
      <c r="Z22" s="75">
        <v>12340</v>
      </c>
      <c r="AA22" s="75">
        <v>8872</v>
      </c>
      <c r="AB22" s="92">
        <f>IF(AA22&gt;0,SUM(AA$7:AA22)-SUM(Z$7:Z22),0)</f>
        <v>-49567</v>
      </c>
      <c r="AC22" s="60">
        <f t="shared" si="18"/>
        <v>0.71896272285251217</v>
      </c>
      <c r="AD22" s="75">
        <v>12340</v>
      </c>
      <c r="AE22" s="75">
        <v>7053</v>
      </c>
      <c r="AF22" s="92">
        <f>IF(AE22&gt;0,SUM(AE$7:AE22)-SUM(AD$7:AD22),0)</f>
        <v>-42746</v>
      </c>
      <c r="AG22" s="60">
        <f t="shared" si="19"/>
        <v>0.57155591572123177</v>
      </c>
      <c r="AH22" s="41">
        <f t="shared" si="3"/>
        <v>37020</v>
      </c>
      <c r="AI22" s="41">
        <f t="shared" si="8"/>
        <v>24117</v>
      </c>
      <c r="AJ22" s="93">
        <f>IF(AI22&gt;0,SUM(AI$7:AI22)-SUM(AH$7:AH22),0)</f>
        <v>-111248</v>
      </c>
      <c r="AK22" s="60">
        <f t="shared" si="20"/>
        <v>0.65145867098865473</v>
      </c>
      <c r="AM22" s="47">
        <f t="shared" si="21"/>
        <v>40832</v>
      </c>
      <c r="AN22" s="54" t="str">
        <f t="shared" si="9"/>
        <v>ter</v>
      </c>
      <c r="AO22" s="75">
        <v>7700</v>
      </c>
      <c r="AP22" s="75">
        <v>5778</v>
      </c>
      <c r="AQ22" s="75">
        <f>IF(AP22&gt;0,SUM(AP$7:AP22)-SUM(AO$7:AO22),0)</f>
        <v>-4180</v>
      </c>
      <c r="AR22" s="45">
        <f t="shared" si="22"/>
        <v>0.75038961038961038</v>
      </c>
      <c r="AS22" s="75">
        <v>7700</v>
      </c>
      <c r="AT22" s="75">
        <v>7053</v>
      </c>
      <c r="AU22" s="90">
        <f>IF(AT22&gt;0,SUM(AT$7:AT22)-SUM(AS$7:AS22),0)</f>
        <v>-1653</v>
      </c>
      <c r="AV22" s="45">
        <f t="shared" si="23"/>
        <v>0.915974025974026</v>
      </c>
      <c r="AW22" s="75">
        <v>7700</v>
      </c>
      <c r="AX22" s="75">
        <v>5736</v>
      </c>
      <c r="AY22" s="90">
        <f>IF(AX22&gt;0,SUM(AX$7:AX22)-SUM(AW$7:AW22),0)</f>
        <v>-29644</v>
      </c>
      <c r="AZ22" s="45">
        <f t="shared" si="31"/>
        <v>0.74493506493506489</v>
      </c>
      <c r="BA22" s="35">
        <f t="shared" si="4"/>
        <v>23100</v>
      </c>
      <c r="BB22" s="35">
        <f t="shared" si="10"/>
        <v>18567</v>
      </c>
      <c r="BC22" s="91">
        <f>IF(BB22&gt;0,SUM(BB$7:BB22)-SUM(BA$7:BA22),0)</f>
        <v>-35477</v>
      </c>
      <c r="BD22" s="45">
        <f t="shared" si="24"/>
        <v>0.8037662337662338</v>
      </c>
      <c r="BF22" s="47">
        <f t="shared" si="25"/>
        <v>40832</v>
      </c>
      <c r="BG22" s="54" t="str">
        <f t="shared" si="11"/>
        <v>ter</v>
      </c>
      <c r="BH22" s="75">
        <v>18200</v>
      </c>
      <c r="BI22" s="75">
        <v>12400</v>
      </c>
      <c r="BJ22" s="75">
        <f>IF(BI22&gt;0,SUM(BI$7:BI22)-SUM(BH$7:BH22),0)</f>
        <v>-63625</v>
      </c>
      <c r="BK22" s="45">
        <f t="shared" si="26"/>
        <v>0.68131868131868134</v>
      </c>
      <c r="BL22" s="75">
        <v>8000</v>
      </c>
      <c r="BM22" s="75">
        <v>6172</v>
      </c>
      <c r="BN22" s="90">
        <f>IF(BM22&gt;0,SUM(BM$7:BM22)-SUM(BL$7:BL22),0)</f>
        <v>-12869</v>
      </c>
      <c r="BO22" s="45">
        <f t="shared" si="27"/>
        <v>0.77149999999999996</v>
      </c>
      <c r="BP22" s="75">
        <v>11000</v>
      </c>
      <c r="BQ22" s="75">
        <v>10975</v>
      </c>
      <c r="BR22" s="90">
        <f>IF(BQ22&gt;0,SUM(BQ$7:BQ22)-SUM(BP$7:BP22),0)</f>
        <v>-37299</v>
      </c>
      <c r="BS22" s="45">
        <f t="shared" si="32"/>
        <v>0.99772727272727268</v>
      </c>
      <c r="BT22" s="35">
        <f t="shared" si="5"/>
        <v>37200</v>
      </c>
      <c r="BU22" s="35">
        <f t="shared" si="5"/>
        <v>29547</v>
      </c>
      <c r="BV22" s="91">
        <f>IF(BU22&gt;0,SUM(BU$7:BU22)-SUM(BT$7:BT22),0)</f>
        <v>-113793</v>
      </c>
      <c r="BW22" s="45">
        <f t="shared" si="28"/>
        <v>0.79427419354838713</v>
      </c>
      <c r="BY22" s="47">
        <f t="shared" si="29"/>
        <v>40832</v>
      </c>
      <c r="BZ22" s="54" t="str">
        <f t="shared" si="12"/>
        <v>ter</v>
      </c>
      <c r="CA22" s="75">
        <v>5000</v>
      </c>
      <c r="CB22" s="75">
        <v>4209</v>
      </c>
      <c r="CC22" s="90">
        <f>IF(CB22&gt;0,SUM(CB$7:CB22)-SUM(CA$7:CA22),0)</f>
        <v>-7018</v>
      </c>
      <c r="CD22" s="45">
        <f t="shared" si="30"/>
        <v>0.84179999999999999</v>
      </c>
    </row>
    <row r="23" spans="1:82" x14ac:dyDescent="0.25">
      <c r="A23" s="47">
        <f t="shared" si="13"/>
        <v>40833</v>
      </c>
      <c r="B23" s="54" t="s">
        <v>22</v>
      </c>
      <c r="C23" s="75">
        <v>12900</v>
      </c>
      <c r="D23" s="75">
        <v>8736</v>
      </c>
      <c r="E23" s="90">
        <f>IF(D23&gt;0,SUM(D$7:D23)-SUM(C$7:C23),0)</f>
        <v>1414</v>
      </c>
      <c r="F23" s="45">
        <f t="shared" si="14"/>
        <v>0.67720930232558141</v>
      </c>
      <c r="G23" s="75">
        <v>12900</v>
      </c>
      <c r="H23" s="75">
        <v>4951</v>
      </c>
      <c r="I23" s="75">
        <f>IF(H23&gt;0,SUM(H$7:H23)-SUM(G$7:G23),0)</f>
        <v>-60871</v>
      </c>
      <c r="J23" s="45">
        <f t="shared" si="33"/>
        <v>0.38379844961240311</v>
      </c>
      <c r="K23" s="75">
        <v>12900</v>
      </c>
      <c r="L23" s="75">
        <v>9157</v>
      </c>
      <c r="M23" s="90">
        <f>IF(L23&gt;0,SUM(L$7:L23)-SUM(K$7:K23),0)</f>
        <v>-35169</v>
      </c>
      <c r="N23" s="45">
        <f t="shared" si="35"/>
        <v>0.70984496124031005</v>
      </c>
      <c r="O23" s="35">
        <f t="shared" si="34"/>
        <v>38700</v>
      </c>
      <c r="P23" s="35">
        <f t="shared" si="6"/>
        <v>22844</v>
      </c>
      <c r="Q23" s="91">
        <f>IF(P23&gt;0,SUM(P$7:P23)-SUM(O$7:O23),0)</f>
        <v>-94626</v>
      </c>
      <c r="R23" s="45">
        <f t="shared" si="15"/>
        <v>0.59028423772609817</v>
      </c>
      <c r="T23" s="47">
        <f t="shared" si="16"/>
        <v>40833</v>
      </c>
      <c r="U23" s="54" t="str">
        <f t="shared" si="7"/>
        <v>qua</v>
      </c>
      <c r="V23" s="75">
        <v>12340</v>
      </c>
      <c r="W23" s="75">
        <v>8007</v>
      </c>
      <c r="X23" s="92">
        <f>IF(W23&gt;0,SUM(W$7:W23)-SUM(V$7:V23),0)</f>
        <v>-23268</v>
      </c>
      <c r="Y23" s="60">
        <f t="shared" si="17"/>
        <v>0.64886547811993522</v>
      </c>
      <c r="Z23" s="75">
        <v>12340</v>
      </c>
      <c r="AA23" s="75">
        <v>9254</v>
      </c>
      <c r="AB23" s="92">
        <f>IF(AA23&gt;0,SUM(AA$7:AA23)-SUM(Z$7:Z23),0)</f>
        <v>-52653</v>
      </c>
      <c r="AC23" s="60">
        <f t="shared" si="18"/>
        <v>0.74991896272285252</v>
      </c>
      <c r="AD23" s="75">
        <v>12340</v>
      </c>
      <c r="AE23" s="75">
        <v>7465</v>
      </c>
      <c r="AF23" s="92">
        <f>IF(AE23&gt;0,SUM(AE$7:AE23)-SUM(AD$7:AD23),0)</f>
        <v>-47621</v>
      </c>
      <c r="AG23" s="60">
        <f t="shared" si="19"/>
        <v>0.60494327390599678</v>
      </c>
      <c r="AH23" s="41">
        <f t="shared" si="3"/>
        <v>37020</v>
      </c>
      <c r="AI23" s="41">
        <f t="shared" si="8"/>
        <v>24726</v>
      </c>
      <c r="AJ23" s="93">
        <f>IF(AI23&gt;0,SUM(AI$7:AI23)-SUM(AH$7:AH23),0)</f>
        <v>-123542</v>
      </c>
      <c r="AK23" s="60">
        <f t="shared" si="20"/>
        <v>0.66790923824959481</v>
      </c>
      <c r="AM23" s="47">
        <f t="shared" si="21"/>
        <v>40833</v>
      </c>
      <c r="AN23" s="54" t="str">
        <f t="shared" si="9"/>
        <v>qua</v>
      </c>
      <c r="AO23" s="75">
        <v>7700</v>
      </c>
      <c r="AP23" s="75">
        <v>3850</v>
      </c>
      <c r="AQ23" s="75">
        <f>IF(AP23&gt;0,SUM(AP$7:AP23)-SUM(AO$7:AO22),0)</f>
        <v>-330</v>
      </c>
      <c r="AR23" s="45">
        <f>IF(AP23&gt;0,IF(AO18&gt;0,AP23/AO18,0),0)</f>
        <v>0.5</v>
      </c>
      <c r="AS23" s="75">
        <v>7700</v>
      </c>
      <c r="AT23" s="75">
        <v>5529</v>
      </c>
      <c r="AU23" s="90">
        <f>IF(AT23&gt;0,SUM(AT$7:AT23)-SUM(AS$7:AS23),0)</f>
        <v>-3824</v>
      </c>
      <c r="AV23" s="45">
        <f t="shared" si="23"/>
        <v>0.71805194805194805</v>
      </c>
      <c r="AW23" s="75">
        <v>2707</v>
      </c>
      <c r="AX23" s="75">
        <v>2707</v>
      </c>
      <c r="AY23" s="90">
        <f>IF(AX23&gt;0,SUM(AX$7:AX23)-SUM(AW$7:AW23),0)</f>
        <v>-29644</v>
      </c>
      <c r="AZ23" s="45">
        <f t="shared" si="31"/>
        <v>1</v>
      </c>
      <c r="BA23" s="35">
        <f t="shared" si="4"/>
        <v>18107</v>
      </c>
      <c r="BB23" s="35">
        <f t="shared" si="10"/>
        <v>12086</v>
      </c>
      <c r="BC23" s="91">
        <f>IF(BB23&gt;0,SUM(BB$7:BB23)-SUM(BA$7:BA23),0)</f>
        <v>-41498</v>
      </c>
      <c r="BD23" s="45">
        <f t="shared" si="24"/>
        <v>0.66747666648257575</v>
      </c>
      <c r="BF23" s="47">
        <f t="shared" si="25"/>
        <v>40833</v>
      </c>
      <c r="BG23" s="54" t="str">
        <f t="shared" si="11"/>
        <v>qua</v>
      </c>
      <c r="BH23" s="75">
        <v>18200</v>
      </c>
      <c r="BI23" s="75">
        <v>9346</v>
      </c>
      <c r="BJ23" s="75">
        <f>IF(BI23&gt;0,SUM(BI$7:BI23)-SUM(BH$7:BH23),0)</f>
        <v>-72479</v>
      </c>
      <c r="BK23" s="45">
        <f t="shared" si="26"/>
        <v>0.51351648351648349</v>
      </c>
      <c r="BL23" s="75">
        <v>8000</v>
      </c>
      <c r="BM23" s="75">
        <v>2740</v>
      </c>
      <c r="BN23" s="90">
        <f>IF(BM23&gt;0,SUM(BM$7:BM23)-SUM(BL$7:BL23),0)</f>
        <v>-18129</v>
      </c>
      <c r="BO23" s="45">
        <f t="shared" si="27"/>
        <v>0.34250000000000003</v>
      </c>
      <c r="BP23" s="75">
        <v>11000</v>
      </c>
      <c r="BQ23" s="75">
        <v>10704</v>
      </c>
      <c r="BR23" s="90">
        <f>IF(BQ23&gt;0,SUM(BQ$7:BQ23)-SUM(BP$7:BP23),0)</f>
        <v>-37595</v>
      </c>
      <c r="BS23" s="45">
        <f t="shared" si="32"/>
        <v>0.97309090909090912</v>
      </c>
      <c r="BT23" s="35">
        <f t="shared" si="5"/>
        <v>37200</v>
      </c>
      <c r="BU23" s="35">
        <f t="shared" si="5"/>
        <v>22790</v>
      </c>
      <c r="BV23" s="91">
        <f>IF(BU23&gt;0,SUM(BU$7:BU23)-SUM(BT$7:BT23),0)</f>
        <v>-128203</v>
      </c>
      <c r="BW23" s="45">
        <f t="shared" si="28"/>
        <v>0.61263440860215057</v>
      </c>
      <c r="BY23" s="47">
        <f t="shared" si="29"/>
        <v>40833</v>
      </c>
      <c r="BZ23" s="54" t="str">
        <f t="shared" si="12"/>
        <v>qua</v>
      </c>
      <c r="CA23" s="75">
        <v>5000</v>
      </c>
      <c r="CB23" s="75">
        <v>3180</v>
      </c>
      <c r="CC23" s="90">
        <f>IF(CB23&gt;0,SUM(CB$7:CB23)-SUM(CA$7:CA23),0)</f>
        <v>-8838</v>
      </c>
      <c r="CD23" s="45">
        <f t="shared" si="30"/>
        <v>0.63600000000000001</v>
      </c>
    </row>
    <row r="24" spans="1:82" x14ac:dyDescent="0.25">
      <c r="A24" s="47">
        <f t="shared" si="13"/>
        <v>40834</v>
      </c>
      <c r="B24" s="54" t="s">
        <v>23</v>
      </c>
      <c r="C24" s="75">
        <v>12900</v>
      </c>
      <c r="D24" s="75">
        <v>7911</v>
      </c>
      <c r="E24" s="90">
        <f>IF(D24&gt;0,SUM(D$7:D24)-SUM(C$7:C24),0)</f>
        <v>-3575</v>
      </c>
      <c r="F24" s="45">
        <f t="shared" si="14"/>
        <v>0.61325581395348838</v>
      </c>
      <c r="G24" s="75">
        <v>12900</v>
      </c>
      <c r="H24" s="75">
        <v>9888</v>
      </c>
      <c r="I24" s="75">
        <f>IF(H24&gt;0,SUM(H$7:H24)-SUM(G$7:G24),0)</f>
        <v>-63883</v>
      </c>
      <c r="J24" s="45">
        <f t="shared" si="33"/>
        <v>0.76651162790697669</v>
      </c>
      <c r="K24" s="75">
        <v>12900</v>
      </c>
      <c r="L24" s="75">
        <v>10937</v>
      </c>
      <c r="M24" s="90">
        <f>IF(L24&gt;0,SUM(L$7:L24)-SUM(K$7:K24),0)</f>
        <v>-37132</v>
      </c>
      <c r="N24" s="45">
        <f t="shared" si="35"/>
        <v>0.84782945736434112</v>
      </c>
      <c r="O24" s="35">
        <f t="shared" si="34"/>
        <v>38700</v>
      </c>
      <c r="P24" s="35">
        <f t="shared" si="6"/>
        <v>28736</v>
      </c>
      <c r="Q24" s="91">
        <f>IF(P24&gt;0,SUM(P$7:P24)-SUM(O$7:O24),0)</f>
        <v>-104590</v>
      </c>
      <c r="R24" s="45">
        <f t="shared" si="15"/>
        <v>0.74253229974160206</v>
      </c>
      <c r="T24" s="47">
        <f t="shared" si="16"/>
        <v>40834</v>
      </c>
      <c r="U24" s="54" t="str">
        <f t="shared" si="7"/>
        <v>qui</v>
      </c>
      <c r="V24" s="75">
        <v>12340</v>
      </c>
      <c r="W24" s="75">
        <v>8158</v>
      </c>
      <c r="X24" s="92">
        <f>IF(W24&gt;0,SUM(W$7:W24)-SUM(V$7:V24),0)</f>
        <v>-27450</v>
      </c>
      <c r="Y24" s="60">
        <f t="shared" si="17"/>
        <v>0.66110210696920579</v>
      </c>
      <c r="Z24" s="75">
        <v>12340</v>
      </c>
      <c r="AA24" s="75">
        <v>10796</v>
      </c>
      <c r="AB24" s="92">
        <f>IF(AA24&gt;0,SUM(AA$7:AA24)-SUM(Z$7:Z24),0)</f>
        <v>-54197</v>
      </c>
      <c r="AC24" s="60">
        <f t="shared" si="18"/>
        <v>0.87487844408427873</v>
      </c>
      <c r="AD24" s="75">
        <v>12340</v>
      </c>
      <c r="AE24" s="75">
        <v>9119</v>
      </c>
      <c r="AF24" s="92">
        <f>IF(AE24&gt;0,SUM(AE$7:AE24)-SUM(AD$7:AD24),0)</f>
        <v>-50842</v>
      </c>
      <c r="AG24" s="60">
        <f t="shared" si="19"/>
        <v>0.73897893030794171</v>
      </c>
      <c r="AH24" s="41">
        <f t="shared" si="3"/>
        <v>37020</v>
      </c>
      <c r="AI24" s="41">
        <f t="shared" si="8"/>
        <v>28073</v>
      </c>
      <c r="AJ24" s="93">
        <f>IF(AI24&gt;0,SUM(AI$7:AI24)-SUM(AH$7:AH24),0)</f>
        <v>-132489</v>
      </c>
      <c r="AK24" s="60">
        <f t="shared" si="20"/>
        <v>0.75831982712047541</v>
      </c>
      <c r="AM24" s="47">
        <f t="shared" si="21"/>
        <v>40834</v>
      </c>
      <c r="AN24" s="54" t="str">
        <f t="shared" si="9"/>
        <v>qui</v>
      </c>
      <c r="AO24" s="75">
        <v>7700</v>
      </c>
      <c r="AP24" s="75">
        <v>4575</v>
      </c>
      <c r="AQ24" s="75">
        <f>IF(AP24&gt;0,SUM(AP$7:AP24)-SUM(AO$7:AO24),0)</f>
        <v>-11155</v>
      </c>
      <c r="AR24" s="45">
        <f t="shared" si="22"/>
        <v>0.5941558441558441</v>
      </c>
      <c r="AS24" s="75">
        <v>7700</v>
      </c>
      <c r="AT24" s="75">
        <v>5223</v>
      </c>
      <c r="AU24" s="90">
        <f>IF(AT24&gt;0,SUM(AT$7:AT24)-SUM(AS$7:AS24),0)</f>
        <v>-6301</v>
      </c>
      <c r="AV24" s="45">
        <f t="shared" si="23"/>
        <v>0.67831168831168831</v>
      </c>
      <c r="AW24" s="75">
        <v>7700</v>
      </c>
      <c r="AX24" s="75">
        <v>4306</v>
      </c>
      <c r="AY24" s="90">
        <f>IF(AX24&gt;0,SUM(AX$7:AX24)-SUM(AW$7:AW24),0)</f>
        <v>-33038</v>
      </c>
      <c r="AZ24" s="45">
        <f t="shared" si="31"/>
        <v>0.55922077922077917</v>
      </c>
      <c r="BA24" s="35">
        <f t="shared" si="4"/>
        <v>23100</v>
      </c>
      <c r="BB24" s="35">
        <f t="shared" si="10"/>
        <v>14104</v>
      </c>
      <c r="BC24" s="91">
        <f>IF(BB24&gt;0,SUM(BB$7:BB24)-SUM(BA$7:BA24),0)</f>
        <v>-50494</v>
      </c>
      <c r="BD24" s="45">
        <f t="shared" si="24"/>
        <v>0.61056277056277053</v>
      </c>
      <c r="BF24" s="47">
        <f t="shared" si="25"/>
        <v>40834</v>
      </c>
      <c r="BG24" s="54" t="str">
        <f t="shared" si="11"/>
        <v>qui</v>
      </c>
      <c r="BH24" s="75">
        <v>18200</v>
      </c>
      <c r="BI24" s="75">
        <v>9538</v>
      </c>
      <c r="BJ24" s="75">
        <f>IF(BI24&gt;0,SUM(BI$7:BI24)-SUM(BH$7:BH24),0)</f>
        <v>-81141</v>
      </c>
      <c r="BK24" s="45">
        <f t="shared" si="26"/>
        <v>0.52406593406593405</v>
      </c>
      <c r="BL24" s="75">
        <v>8000</v>
      </c>
      <c r="BM24" s="75">
        <v>4570</v>
      </c>
      <c r="BN24" s="90">
        <f>IF(BM24&gt;0,SUM(BM$7:BM24)-SUM(BL$7:BL24),0)</f>
        <v>-21559</v>
      </c>
      <c r="BO24" s="45">
        <f t="shared" si="27"/>
        <v>0.57125000000000004</v>
      </c>
      <c r="BP24" s="75">
        <v>11000</v>
      </c>
      <c r="BQ24" s="75">
        <v>12694</v>
      </c>
      <c r="BR24" s="90">
        <f>IF(BQ24&gt;0,SUM(BQ$7:BQ24)-SUM(BP$7:BP24),0)</f>
        <v>-35901</v>
      </c>
      <c r="BS24" s="45">
        <f t="shared" si="32"/>
        <v>1.1539999999999999</v>
      </c>
      <c r="BT24" s="35">
        <f t="shared" si="5"/>
        <v>37200</v>
      </c>
      <c r="BU24" s="35">
        <f t="shared" si="5"/>
        <v>26802</v>
      </c>
      <c r="BV24" s="91">
        <f>IF(BU24&gt;0,SUM(BU$7:BU24)-SUM(BT$7:BT24),0)</f>
        <v>-138601</v>
      </c>
      <c r="BW24" s="45">
        <f t="shared" si="28"/>
        <v>0.72048387096774191</v>
      </c>
      <c r="BY24" s="47">
        <f t="shared" si="29"/>
        <v>40834</v>
      </c>
      <c r="BZ24" s="54" t="str">
        <f t="shared" si="12"/>
        <v>qui</v>
      </c>
      <c r="CA24" s="75">
        <v>5000</v>
      </c>
      <c r="CB24" s="75">
        <v>12582</v>
      </c>
      <c r="CC24" s="90">
        <f>IF(CB24&gt;0,SUM(CB$7:CB24)-SUM(CA$7:CA24),0)</f>
        <v>-1256</v>
      </c>
      <c r="CD24" s="45">
        <f t="shared" si="30"/>
        <v>2.5164</v>
      </c>
    </row>
    <row r="25" spans="1:82" x14ac:dyDescent="0.25">
      <c r="A25" s="47">
        <f t="shared" si="13"/>
        <v>40835</v>
      </c>
      <c r="B25" s="54" t="s">
        <v>24</v>
      </c>
      <c r="C25" s="75">
        <v>12900</v>
      </c>
      <c r="D25" s="75">
        <v>6005</v>
      </c>
      <c r="E25" s="90">
        <f>IF(D25&gt;0,SUM(D$7:D25)-SUM(C$7:C25),0)</f>
        <v>-10470</v>
      </c>
      <c r="F25" s="45">
        <f t="shared" si="14"/>
        <v>0.46550387596899223</v>
      </c>
      <c r="G25" s="75">
        <v>12900</v>
      </c>
      <c r="H25" s="75">
        <v>9169</v>
      </c>
      <c r="I25" s="75">
        <f>IF(H25&gt;0,SUM(H$7:H25)-SUM(G$7:G25),0)</f>
        <v>-67614</v>
      </c>
      <c r="J25" s="45">
        <f t="shared" si="33"/>
        <v>0.71077519379844967</v>
      </c>
      <c r="K25" s="75">
        <v>12900</v>
      </c>
      <c r="L25" s="75">
        <v>11653</v>
      </c>
      <c r="M25" s="90">
        <f>IF(L25&gt;0,SUM(L$7:L25)-SUM(K$7:K25),0)</f>
        <v>-38379</v>
      </c>
      <c r="N25" s="45">
        <f t="shared" si="35"/>
        <v>0.90333333333333332</v>
      </c>
      <c r="O25" s="35">
        <f t="shared" si="34"/>
        <v>38700</v>
      </c>
      <c r="P25" s="35">
        <f t="shared" si="6"/>
        <v>26827</v>
      </c>
      <c r="Q25" s="91">
        <f>IF(P25&gt;0,SUM(P$7:P25)-SUM(O$7:O25),0)</f>
        <v>-116463</v>
      </c>
      <c r="R25" s="45">
        <f t="shared" si="15"/>
        <v>0.69320413436692507</v>
      </c>
      <c r="T25" s="47">
        <f t="shared" si="16"/>
        <v>40835</v>
      </c>
      <c r="U25" s="54" t="str">
        <f t="shared" si="7"/>
        <v>sex</v>
      </c>
      <c r="V25" s="75">
        <v>12340</v>
      </c>
      <c r="W25" s="75">
        <v>9988</v>
      </c>
      <c r="X25" s="92">
        <f>IF(W25&gt;0,SUM(W$7:W25)-SUM(V$7:V25),0)</f>
        <v>-29802</v>
      </c>
      <c r="Y25" s="60">
        <f t="shared" si="17"/>
        <v>0.80940032414910856</v>
      </c>
      <c r="Z25" s="75">
        <v>12340</v>
      </c>
      <c r="AA25" s="75">
        <v>13132</v>
      </c>
      <c r="AB25" s="92">
        <f>IF(AA25&gt;0,SUM(AA$7:AA25)-SUM(Z$7:Z25),0)</f>
        <v>-53405</v>
      </c>
      <c r="AC25" s="60">
        <f t="shared" si="18"/>
        <v>1.0641815235008103</v>
      </c>
      <c r="AD25" s="75">
        <v>12340</v>
      </c>
      <c r="AE25" s="75">
        <v>11293</v>
      </c>
      <c r="AF25" s="92">
        <f>IF(AE25&gt;0,SUM(AE$7:AE25)-SUM(AD$7:AD25),0)</f>
        <v>-51889</v>
      </c>
      <c r="AG25" s="60">
        <f t="shared" si="19"/>
        <v>0.91515397082658023</v>
      </c>
      <c r="AH25" s="41">
        <f t="shared" si="3"/>
        <v>37020</v>
      </c>
      <c r="AI25" s="41">
        <f t="shared" si="8"/>
        <v>34413</v>
      </c>
      <c r="AJ25" s="93">
        <f>IF(AI25&gt;0,SUM(AI$7:AI25)-SUM(AH$7:AH25),0)</f>
        <v>-135096</v>
      </c>
      <c r="AK25" s="60">
        <f t="shared" si="20"/>
        <v>0.92957860615883303</v>
      </c>
      <c r="AM25" s="47">
        <f t="shared" si="21"/>
        <v>40835</v>
      </c>
      <c r="AN25" s="54" t="str">
        <f t="shared" si="9"/>
        <v>sex</v>
      </c>
      <c r="AO25" s="75">
        <v>7700</v>
      </c>
      <c r="AP25" s="75">
        <v>3239</v>
      </c>
      <c r="AQ25" s="75">
        <f>IF(AP25&gt;0,SUM(AP$7:AP25)-SUM(AO$7:AO25),0)</f>
        <v>-15616</v>
      </c>
      <c r="AR25" s="45">
        <f t="shared" si="22"/>
        <v>0.42064935064935066</v>
      </c>
      <c r="AS25" s="75">
        <v>7700</v>
      </c>
      <c r="AT25" s="75">
        <v>6918</v>
      </c>
      <c r="AU25" s="90">
        <f>IF(AT25&gt;0,SUM(AT$7:AT25)-SUM(AS$7:AS25),0)</f>
        <v>-7083</v>
      </c>
      <c r="AV25" s="45">
        <f t="shared" si="23"/>
        <v>0.89844155844155849</v>
      </c>
      <c r="AW25" s="75">
        <v>7700</v>
      </c>
      <c r="AX25" s="75">
        <v>7221</v>
      </c>
      <c r="AY25" s="90">
        <f>IF(AX25&gt;0,SUM(AX$7:AX25)-SUM(AW$7:AW25),0)</f>
        <v>-33517</v>
      </c>
      <c r="AZ25" s="45">
        <f t="shared" si="31"/>
        <v>0.93779220779220784</v>
      </c>
      <c r="BA25" s="35">
        <f t="shared" si="4"/>
        <v>23100</v>
      </c>
      <c r="BB25" s="35">
        <f t="shared" si="10"/>
        <v>17378</v>
      </c>
      <c r="BC25" s="91">
        <f>IF(BB25&gt;0,SUM(BB$7:BB25)-SUM(BA$7:BA25),0)</f>
        <v>-56216</v>
      </c>
      <c r="BD25" s="45">
        <f t="shared" si="24"/>
        <v>0.75229437229437235</v>
      </c>
      <c r="BF25" s="47">
        <f t="shared" si="25"/>
        <v>40835</v>
      </c>
      <c r="BG25" s="54" t="str">
        <f t="shared" si="11"/>
        <v>sex</v>
      </c>
      <c r="BH25" s="75">
        <v>18200</v>
      </c>
      <c r="BI25" s="75">
        <v>10301</v>
      </c>
      <c r="BJ25" s="75">
        <f>IF(BI25&gt;0,SUM(BI$7:BI25)-SUM(BH$7:BH25),0)</f>
        <v>-89040</v>
      </c>
      <c r="BK25" s="45">
        <f t="shared" si="26"/>
        <v>0.565989010989011</v>
      </c>
      <c r="BL25" s="75">
        <v>8000</v>
      </c>
      <c r="BM25" s="75">
        <v>7082</v>
      </c>
      <c r="BN25" s="90">
        <f>IF(BM25&gt;0,SUM(BM$7:BM25)-SUM(BL$7:BL25),0)</f>
        <v>-22477</v>
      </c>
      <c r="BO25" s="45">
        <f t="shared" si="27"/>
        <v>0.88524999999999998</v>
      </c>
      <c r="BP25" s="75">
        <v>11000</v>
      </c>
      <c r="BQ25" s="75">
        <v>8679</v>
      </c>
      <c r="BR25" s="90">
        <f>IF(BQ25&gt;0,SUM(BQ$7:BQ25)-SUM(BP$7:BP25),0)</f>
        <v>-38222</v>
      </c>
      <c r="BS25" s="45">
        <f t="shared" si="32"/>
        <v>0.78900000000000003</v>
      </c>
      <c r="BT25" s="35">
        <f t="shared" si="5"/>
        <v>37200</v>
      </c>
      <c r="BU25" s="35">
        <f t="shared" si="5"/>
        <v>26062</v>
      </c>
      <c r="BV25" s="91">
        <f>IF(BU25&gt;0,SUM(BU$7:BU25)-SUM(BT$7:BT25),0)</f>
        <v>-149739</v>
      </c>
      <c r="BW25" s="45">
        <f t="shared" si="28"/>
        <v>0.70059139784946234</v>
      </c>
      <c r="BY25" s="47">
        <f t="shared" si="29"/>
        <v>40835</v>
      </c>
      <c r="BZ25" s="54" t="str">
        <f t="shared" si="12"/>
        <v>sex</v>
      </c>
      <c r="CA25" s="75">
        <v>5000</v>
      </c>
      <c r="CB25" s="75">
        <v>1</v>
      </c>
      <c r="CC25" s="90">
        <f>IF(CB25&gt;0,SUM(CB$7:CB25)-SUM(CA$7:CA25),0)</f>
        <v>-6255</v>
      </c>
      <c r="CD25" s="45">
        <f t="shared" si="30"/>
        <v>2.0000000000000001E-4</v>
      </c>
    </row>
    <row r="26" spans="1:82" x14ac:dyDescent="0.25">
      <c r="A26" s="47">
        <f t="shared" si="13"/>
        <v>40836</v>
      </c>
      <c r="B26" s="54" t="s">
        <v>25</v>
      </c>
      <c r="C26" s="75">
        <v>12900</v>
      </c>
      <c r="D26" s="75">
        <v>14667</v>
      </c>
      <c r="E26" s="90">
        <f>IF(D26&gt;0,SUM(D$7:D26)-SUM(C$7:C26),0)</f>
        <v>-8703</v>
      </c>
      <c r="F26" s="45">
        <f t="shared" si="14"/>
        <v>1.1369767441860466</v>
      </c>
      <c r="G26" s="75">
        <v>12900</v>
      </c>
      <c r="H26" s="75">
        <v>7415</v>
      </c>
      <c r="I26" s="75">
        <f>IF(H26&gt;0,SUM(H$7:H26)-SUM(G$7:G26),0)</f>
        <v>-73099</v>
      </c>
      <c r="J26" s="45">
        <f t="shared" si="33"/>
        <v>0.57480620155038764</v>
      </c>
      <c r="K26" s="75">
        <v>12900</v>
      </c>
      <c r="L26" s="75">
        <v>3395</v>
      </c>
      <c r="M26" s="90">
        <f>IF(L26&gt;0,SUM(L$7:L26)-SUM(K$7:K26),0)</f>
        <v>-47884</v>
      </c>
      <c r="N26" s="45">
        <f t="shared" si="35"/>
        <v>0.26317829457364339</v>
      </c>
      <c r="O26" s="35">
        <f t="shared" si="34"/>
        <v>38700</v>
      </c>
      <c r="P26" s="35">
        <f t="shared" si="6"/>
        <v>25477</v>
      </c>
      <c r="Q26" s="91">
        <f>IF(P26&gt;0,SUM(P$7:P26)-SUM(O$7:O26),0)</f>
        <v>-129686</v>
      </c>
      <c r="R26" s="45">
        <f t="shared" si="15"/>
        <v>0.65832041343669245</v>
      </c>
      <c r="T26" s="47">
        <f t="shared" si="16"/>
        <v>40836</v>
      </c>
      <c r="U26" s="54" t="str">
        <f t="shared" si="7"/>
        <v>sáb</v>
      </c>
      <c r="V26" s="75">
        <v>12340</v>
      </c>
      <c r="W26" s="75">
        <v>11410</v>
      </c>
      <c r="X26" s="92">
        <f>IF(W26&gt;0,SUM(W$7:W26)-SUM(V$7:V26),0)</f>
        <v>-30732</v>
      </c>
      <c r="Y26" s="60">
        <f t="shared" si="17"/>
        <v>0.92463533225283634</v>
      </c>
      <c r="Z26" s="75">
        <v>12340</v>
      </c>
      <c r="AA26" s="75">
        <v>9312</v>
      </c>
      <c r="AB26" s="92">
        <f>IF(AA26&gt;0,SUM(AA$7:AA26)-SUM(Z$7:Z26),0)</f>
        <v>-56433</v>
      </c>
      <c r="AC26" s="60">
        <f t="shared" si="18"/>
        <v>0.75461912479740678</v>
      </c>
      <c r="AD26" s="75">
        <v>12340</v>
      </c>
      <c r="AE26" s="75">
        <v>10800</v>
      </c>
      <c r="AF26" s="92">
        <f>IF(AE26&gt;0,SUM(AE$7:AE26)-SUM(AD$7:AD26),0)</f>
        <v>-53429</v>
      </c>
      <c r="AG26" s="60">
        <f t="shared" si="19"/>
        <v>0.87520259319286875</v>
      </c>
      <c r="AH26" s="41">
        <f t="shared" si="3"/>
        <v>37020</v>
      </c>
      <c r="AI26" s="41">
        <f t="shared" si="8"/>
        <v>31522</v>
      </c>
      <c r="AJ26" s="93">
        <f>IF(AI26&gt;0,SUM(AI$7:AI26)-SUM(AH$7:AH26),0)</f>
        <v>-140594</v>
      </c>
      <c r="AK26" s="60">
        <f t="shared" si="20"/>
        <v>0.85148568341437059</v>
      </c>
      <c r="AM26" s="47">
        <f t="shared" si="21"/>
        <v>40836</v>
      </c>
      <c r="AN26" s="54" t="str">
        <f t="shared" si="9"/>
        <v>sáb</v>
      </c>
      <c r="AO26" s="75">
        <v>7700</v>
      </c>
      <c r="AP26" s="75">
        <v>12009</v>
      </c>
      <c r="AQ26" s="75">
        <f>IF(AP26&gt;0,SUM(AP$7:AP26)-SUM(AO$7:AO26),0)</f>
        <v>-11307</v>
      </c>
      <c r="AR26" s="45">
        <f t="shared" si="22"/>
        <v>1.5596103896103897</v>
      </c>
      <c r="AS26" s="75">
        <v>7700</v>
      </c>
      <c r="AT26" s="75">
        <v>7059</v>
      </c>
      <c r="AU26" s="90">
        <f>IF(AT26&gt;0,SUM(AT$7:AT26)-SUM(AS$7:AS26),0)</f>
        <v>-7724</v>
      </c>
      <c r="AV26" s="45">
        <f t="shared" si="23"/>
        <v>0.91675324675324676</v>
      </c>
      <c r="AW26" s="75">
        <v>7700</v>
      </c>
      <c r="AX26" s="75">
        <v>5450</v>
      </c>
      <c r="AY26" s="90">
        <f>IF(AX26&gt;0,SUM(AX$7:AX26)-SUM(AW$7:AW26),0)</f>
        <v>-35767</v>
      </c>
      <c r="AZ26" s="45">
        <f t="shared" si="31"/>
        <v>0.70779220779220775</v>
      </c>
      <c r="BA26" s="35">
        <f t="shared" si="4"/>
        <v>23100</v>
      </c>
      <c r="BB26" s="35">
        <f t="shared" si="10"/>
        <v>24518</v>
      </c>
      <c r="BC26" s="91">
        <f>IF(BB26&gt;0,SUM(BB$7:BB26)-SUM(BA$7:BA26),0)</f>
        <v>-54798</v>
      </c>
      <c r="BD26" s="45">
        <f t="shared" si="24"/>
        <v>1.0613852813852813</v>
      </c>
      <c r="BF26" s="47">
        <f t="shared" si="25"/>
        <v>40836</v>
      </c>
      <c r="BG26" s="54" t="str">
        <f t="shared" si="11"/>
        <v>sáb</v>
      </c>
      <c r="BH26" s="75">
        <v>18200</v>
      </c>
      <c r="BI26" s="75">
        <v>1</v>
      </c>
      <c r="BJ26" s="75">
        <f>IF(BI26&gt;0,SUM(BI$7:BI26)-SUM(BH$7:BH26),0)</f>
        <v>-107239</v>
      </c>
      <c r="BK26" s="45">
        <f t="shared" si="26"/>
        <v>5.4945054945054945E-5</v>
      </c>
      <c r="BL26" s="75">
        <v>8000</v>
      </c>
      <c r="BM26" s="75"/>
      <c r="BN26" s="90">
        <f>IF(BM26&gt;0,SUM(BM$7:BM26)-SUM(BL$7:BL26),0)</f>
        <v>0</v>
      </c>
      <c r="BO26" s="45">
        <f t="shared" si="27"/>
        <v>0</v>
      </c>
      <c r="BP26" s="75">
        <v>11000</v>
      </c>
      <c r="BQ26" s="75"/>
      <c r="BR26" s="90">
        <f>IF(BQ26&gt;0,SUM(BQ$7:BQ26)-SUM(BP$7:BP26),0)</f>
        <v>0</v>
      </c>
      <c r="BS26" s="45">
        <f t="shared" si="32"/>
        <v>0</v>
      </c>
      <c r="BT26" s="35">
        <f t="shared" si="5"/>
        <v>37200</v>
      </c>
      <c r="BU26" s="35">
        <f t="shared" si="5"/>
        <v>1</v>
      </c>
      <c r="BV26" s="91">
        <f>IF(BU26&gt;0,SUM(BU$7:BU26)-SUM(BT$7:BT26),0)</f>
        <v>-186938</v>
      </c>
      <c r="BW26" s="45">
        <f t="shared" si="28"/>
        <v>2.6881720430107527E-5</v>
      </c>
      <c r="BY26" s="47">
        <f t="shared" si="29"/>
        <v>40836</v>
      </c>
      <c r="BZ26" s="54" t="str">
        <f t="shared" si="12"/>
        <v>sáb</v>
      </c>
      <c r="CA26" s="75">
        <v>5000</v>
      </c>
      <c r="CB26" s="75">
        <v>1</v>
      </c>
      <c r="CC26" s="90">
        <f>IF(CB26&gt;0,SUM(CB$7:CB26)-SUM(CA$7:CA26),0)</f>
        <v>-11254</v>
      </c>
      <c r="CD26" s="45">
        <f t="shared" si="30"/>
        <v>2.0000000000000001E-4</v>
      </c>
    </row>
    <row r="27" spans="1:82" x14ac:dyDescent="0.25">
      <c r="A27" s="47">
        <f t="shared" si="13"/>
        <v>40837</v>
      </c>
      <c r="B27" s="54" t="s">
        <v>26</v>
      </c>
      <c r="C27" s="75"/>
      <c r="D27" s="75"/>
      <c r="E27" s="90">
        <f>IF(D27&gt;0,SUM(D$7:D27)-SUM(C$7:C27),0)</f>
        <v>0</v>
      </c>
      <c r="F27" s="45">
        <f t="shared" si="14"/>
        <v>0</v>
      </c>
      <c r="G27" s="75"/>
      <c r="H27" s="75"/>
      <c r="I27" s="75">
        <f>IF(H27&gt;0,SUM(H$7:H27)-SUM(G$7:G27),0)</f>
        <v>0</v>
      </c>
      <c r="J27" s="45">
        <f t="shared" si="33"/>
        <v>0</v>
      </c>
      <c r="K27" s="75"/>
      <c r="L27" s="75"/>
      <c r="M27" s="90">
        <f>IF(L27&gt;0,SUM(L$7:L27)-SUM(K$7:K27),0)</f>
        <v>0</v>
      </c>
      <c r="N27" s="45">
        <f t="shared" si="35"/>
        <v>0</v>
      </c>
      <c r="O27" s="35">
        <f t="shared" si="34"/>
        <v>0</v>
      </c>
      <c r="P27" s="35">
        <f t="shared" si="6"/>
        <v>0</v>
      </c>
      <c r="Q27" s="91">
        <f>IF(P27&gt;0,SUM(P$7:P27)-SUM(O$7:O27),0)</f>
        <v>0</v>
      </c>
      <c r="R27" s="45">
        <f t="shared" si="15"/>
        <v>0</v>
      </c>
      <c r="T27" s="47">
        <f t="shared" si="16"/>
        <v>40837</v>
      </c>
      <c r="U27" s="54" t="str">
        <f t="shared" si="7"/>
        <v>dom</v>
      </c>
      <c r="V27" s="75"/>
      <c r="W27" s="75">
        <v>12477</v>
      </c>
      <c r="X27" s="92">
        <f>IF(W27&gt;0,SUM(W$7:W27)-SUM(V$7:V27),0)</f>
        <v>-18255</v>
      </c>
      <c r="Y27" s="60">
        <f t="shared" si="17"/>
        <v>0</v>
      </c>
      <c r="Z27" s="75"/>
      <c r="AA27" s="75"/>
      <c r="AB27" s="92">
        <f>IF(AA27&gt;0,SUM(AA$7:AA27)-SUM(Z$7:Z27),0)</f>
        <v>0</v>
      </c>
      <c r="AC27" s="60">
        <f t="shared" si="18"/>
        <v>0</v>
      </c>
      <c r="AD27" s="75"/>
      <c r="AE27" s="75"/>
      <c r="AF27" s="92">
        <f>IF(AE27&gt;0,SUM(AE$7:AE27)-SUM(AD$7:AD27),0)</f>
        <v>0</v>
      </c>
      <c r="AG27" s="60">
        <f t="shared" si="19"/>
        <v>0</v>
      </c>
      <c r="AH27" s="41">
        <f t="shared" si="3"/>
        <v>0</v>
      </c>
      <c r="AI27" s="41">
        <f t="shared" si="8"/>
        <v>12477</v>
      </c>
      <c r="AJ27" s="93">
        <f>IF(AI27&gt;0,SUM(AI$7:AI27)-SUM(AH$7:AH27),0)</f>
        <v>-128117</v>
      </c>
      <c r="AK27" s="60">
        <f t="shared" si="20"/>
        <v>0</v>
      </c>
      <c r="AM27" s="47">
        <f t="shared" si="21"/>
        <v>40837</v>
      </c>
      <c r="AN27" s="54" t="str">
        <f t="shared" si="9"/>
        <v>dom</v>
      </c>
      <c r="AO27" s="75"/>
      <c r="AP27" s="75"/>
      <c r="AQ27" s="75">
        <f>IF(AP27&gt;0,SUM(AP$7:AP27)-SUM(AO$7:AO27),0)</f>
        <v>0</v>
      </c>
      <c r="AR27" s="45">
        <f t="shared" si="22"/>
        <v>0</v>
      </c>
      <c r="AS27" s="75"/>
      <c r="AT27" s="75"/>
      <c r="AU27" s="90">
        <f>IF(AT27&gt;0,SUM(AT$7:AT27)-SUM(AS$7:AS27),0)</f>
        <v>0</v>
      </c>
      <c r="AV27" s="45">
        <f t="shared" si="23"/>
        <v>0</v>
      </c>
      <c r="AW27" s="75"/>
      <c r="AX27" s="75"/>
      <c r="AY27" s="90">
        <f>IF(AX27&gt;0,SUM(AX$7:AX27)-SUM(AW$7:AW27),0)</f>
        <v>0</v>
      </c>
      <c r="AZ27" s="45">
        <f t="shared" si="31"/>
        <v>0</v>
      </c>
      <c r="BA27" s="35">
        <f t="shared" si="4"/>
        <v>0</v>
      </c>
      <c r="BB27" s="35">
        <f t="shared" si="10"/>
        <v>0</v>
      </c>
      <c r="BC27" s="91">
        <f>IF(BB27&gt;0,SUM(BB$7:BB27)-SUM(BA$7:BA27),0)</f>
        <v>0</v>
      </c>
      <c r="BD27" s="45">
        <f t="shared" si="24"/>
        <v>0</v>
      </c>
      <c r="BF27" s="47">
        <f t="shared" si="25"/>
        <v>40837</v>
      </c>
      <c r="BG27" s="54" t="str">
        <f t="shared" si="11"/>
        <v>dom</v>
      </c>
      <c r="BH27" s="75"/>
      <c r="BI27" s="75"/>
      <c r="BJ27" s="75">
        <f>IF(BI27&gt;0,SUM(BI$7:BI27)-SUM(BH$7:BH27),0)</f>
        <v>0</v>
      </c>
      <c r="BK27" s="45">
        <f t="shared" si="26"/>
        <v>0</v>
      </c>
      <c r="BL27" s="75"/>
      <c r="BM27" s="75"/>
      <c r="BN27" s="90">
        <f>IF(BM27&gt;0,SUM(BM$7:BM27)-SUM(BL$7:BL27),0)</f>
        <v>0</v>
      </c>
      <c r="BO27" s="45">
        <f t="shared" si="27"/>
        <v>0</v>
      </c>
      <c r="BP27" s="75"/>
      <c r="BQ27" s="75"/>
      <c r="BR27" s="90">
        <f>IF(BQ27&gt;0,SUM(BQ$7:BQ27)-SUM(BP$7:BP27),0)</f>
        <v>0</v>
      </c>
      <c r="BS27" s="45">
        <f t="shared" si="32"/>
        <v>0</v>
      </c>
      <c r="BT27" s="35">
        <f t="shared" si="5"/>
        <v>0</v>
      </c>
      <c r="BU27" s="35">
        <f t="shared" si="5"/>
        <v>0</v>
      </c>
      <c r="BV27" s="91">
        <f>IF(BU27&gt;0,SUM(BU$7:BU27)-SUM(BT$7:BT27),0)</f>
        <v>0</v>
      </c>
      <c r="BW27" s="45">
        <f t="shared" si="28"/>
        <v>0</v>
      </c>
      <c r="BY27" s="47">
        <f t="shared" si="29"/>
        <v>40837</v>
      </c>
      <c r="BZ27" s="54" t="str">
        <f t="shared" si="12"/>
        <v>dom</v>
      </c>
      <c r="CA27" s="75"/>
      <c r="CB27" s="75"/>
      <c r="CC27" s="90">
        <f>IF(CB27&gt;0,SUM(CB$7:CB27)-SUM(CA$7:CA27),0)</f>
        <v>0</v>
      </c>
      <c r="CD27" s="45">
        <f t="shared" si="30"/>
        <v>0</v>
      </c>
    </row>
    <row r="28" spans="1:82" x14ac:dyDescent="0.25">
      <c r="A28" s="47">
        <f t="shared" si="13"/>
        <v>40838</v>
      </c>
      <c r="B28" s="54" t="s">
        <v>27</v>
      </c>
      <c r="C28" s="75">
        <v>12900</v>
      </c>
      <c r="D28" s="75">
        <v>5914</v>
      </c>
      <c r="E28" s="90">
        <f>IF(D28&gt;0,SUM(D$7:D28)-SUM(C$7:C28),0)</f>
        <v>-15689</v>
      </c>
      <c r="F28" s="45">
        <f t="shared" si="14"/>
        <v>0.45844961240310078</v>
      </c>
      <c r="G28" s="75">
        <v>12900</v>
      </c>
      <c r="H28" s="75">
        <v>9216</v>
      </c>
      <c r="I28" s="75">
        <f>IF(H28&gt;0,SUM(H$7:H28)-SUM(G$7:G28),0)</f>
        <v>-76783</v>
      </c>
      <c r="J28" s="45">
        <f t="shared" si="33"/>
        <v>0.7144186046511628</v>
      </c>
      <c r="K28" s="75">
        <v>12900</v>
      </c>
      <c r="L28" s="75">
        <v>11573</v>
      </c>
      <c r="M28" s="90">
        <f>IF(L28&gt;0,SUM(L$7:L28)-SUM(K$7:K28),0)</f>
        <v>-49211</v>
      </c>
      <c r="N28" s="45" t="s">
        <v>46</v>
      </c>
      <c r="O28" s="35">
        <f t="shared" si="34"/>
        <v>38700</v>
      </c>
      <c r="P28" s="35">
        <f t="shared" si="6"/>
        <v>26703</v>
      </c>
      <c r="Q28" s="91">
        <f>IF(P28&gt;0,SUM(P$7:P28)-SUM(O$7:O28),0)</f>
        <v>-141683</v>
      </c>
      <c r="R28" s="45">
        <f t="shared" si="15"/>
        <v>0.69</v>
      </c>
      <c r="T28" s="47">
        <f t="shared" si="16"/>
        <v>40838</v>
      </c>
      <c r="U28" s="54" t="str">
        <f t="shared" si="7"/>
        <v>seg</v>
      </c>
      <c r="V28" s="75">
        <v>12340</v>
      </c>
      <c r="W28" s="75">
        <v>7440</v>
      </c>
      <c r="X28" s="92">
        <f>IF(W28&gt;0,SUM(W$7:W28)-SUM(V$7:V28),0)</f>
        <v>-23155</v>
      </c>
      <c r="Y28" s="60">
        <f t="shared" si="17"/>
        <v>0.60291734197730962</v>
      </c>
      <c r="Z28" s="75">
        <v>12340</v>
      </c>
      <c r="AA28" s="75">
        <v>10681</v>
      </c>
      <c r="AB28" s="92">
        <f>IF(AA28&gt;0,SUM(AA$7:AA28)-SUM(Z$7:Z28),0)</f>
        <v>-58092</v>
      </c>
      <c r="AC28" s="60">
        <f t="shared" si="18"/>
        <v>0.86555915721231769</v>
      </c>
      <c r="AD28" s="75">
        <v>12340</v>
      </c>
      <c r="AE28" s="75">
        <v>7768</v>
      </c>
      <c r="AF28" s="92">
        <f>IF(AE28&gt;0,SUM(AE$7:AE28)-SUM(AD$7:AD28),0)</f>
        <v>-58001</v>
      </c>
      <c r="AG28" s="60">
        <f t="shared" si="19"/>
        <v>0.62949756888168562</v>
      </c>
      <c r="AH28" s="41">
        <f t="shared" si="3"/>
        <v>37020</v>
      </c>
      <c r="AI28" s="41">
        <f t="shared" si="8"/>
        <v>25889</v>
      </c>
      <c r="AJ28" s="93">
        <f>IF(AI28&gt;0,SUM(AI$7:AI28)-SUM(AH$7:AH28),0)</f>
        <v>-139248</v>
      </c>
      <c r="AK28" s="60">
        <f t="shared" si="20"/>
        <v>0.69932468935710423</v>
      </c>
      <c r="AM28" s="47">
        <f t="shared" si="21"/>
        <v>40838</v>
      </c>
      <c r="AN28" s="54" t="str">
        <f t="shared" si="9"/>
        <v>seg</v>
      </c>
      <c r="AO28" s="75">
        <v>7700</v>
      </c>
      <c r="AP28" s="75">
        <v>8067</v>
      </c>
      <c r="AQ28" s="75">
        <f>IF(AP28&gt;0,SUM(AP$7:AP28)-SUM(AO$7:AO28),0)</f>
        <v>-10940</v>
      </c>
      <c r="AR28" s="45">
        <f t="shared" si="22"/>
        <v>1.0476623376623377</v>
      </c>
      <c r="AS28" s="75">
        <v>7700</v>
      </c>
      <c r="AT28" s="75">
        <v>6200</v>
      </c>
      <c r="AU28" s="90">
        <f>IF(AT28&gt;0,SUM(AT$7:AT28)-SUM(AS$7:AS28),0)</f>
        <v>-9224</v>
      </c>
      <c r="AV28" s="45">
        <f t="shared" si="23"/>
        <v>0.80519480519480524</v>
      </c>
      <c r="AW28" s="75">
        <v>7700</v>
      </c>
      <c r="AX28" s="75">
        <v>8180</v>
      </c>
      <c r="AY28" s="90">
        <f>IF(AX28&gt;0,SUM(AX$7:AX28)-SUM(AW$7:AW28),0)</f>
        <v>-35287</v>
      </c>
      <c r="AZ28" s="45">
        <f t="shared" si="31"/>
        <v>1.0623376623376624</v>
      </c>
      <c r="BA28" s="35">
        <f t="shared" si="4"/>
        <v>23100</v>
      </c>
      <c r="BB28" s="35">
        <f t="shared" si="10"/>
        <v>22447</v>
      </c>
      <c r="BC28" s="91">
        <f>IF(BB28&gt;0,SUM(BB$7:BB28)-SUM(BA$7:BA28),0)</f>
        <v>-55451</v>
      </c>
      <c r="BD28" s="45">
        <f t="shared" si="24"/>
        <v>0.97173160173160178</v>
      </c>
      <c r="BF28" s="47">
        <f t="shared" si="25"/>
        <v>40838</v>
      </c>
      <c r="BG28" s="54" t="str">
        <f t="shared" si="11"/>
        <v>seg</v>
      </c>
      <c r="BH28" s="75">
        <v>18200</v>
      </c>
      <c r="BI28" s="75">
        <v>17228</v>
      </c>
      <c r="BJ28" s="75">
        <f>IF(BI28&gt;0,SUM(BI$7:BI28)-SUM(BH$7:BH28),0)</f>
        <v>-108211</v>
      </c>
      <c r="BK28" s="45">
        <f t="shared" si="26"/>
        <v>0.94659340659340663</v>
      </c>
      <c r="BL28" s="75">
        <v>8000</v>
      </c>
      <c r="BM28" s="75">
        <v>5224</v>
      </c>
      <c r="BN28" s="90">
        <f>IF(BM28&gt;0,SUM(BM$7:BM28)-SUM(BL$7:BL28),0)</f>
        <v>-33253</v>
      </c>
      <c r="BO28" s="45">
        <f t="shared" si="27"/>
        <v>0.65300000000000002</v>
      </c>
      <c r="BP28" s="75">
        <v>11000</v>
      </c>
      <c r="BQ28" s="75">
        <v>9350</v>
      </c>
      <c r="BR28" s="90">
        <f>IF(BQ28&gt;0,SUM(BQ$7:BQ28)-SUM(BP$7:BP28),0)</f>
        <v>-50872</v>
      </c>
      <c r="BS28" s="45">
        <f t="shared" si="32"/>
        <v>0.85</v>
      </c>
      <c r="BT28" s="35">
        <f t="shared" si="5"/>
        <v>37200</v>
      </c>
      <c r="BU28" s="35">
        <f t="shared" si="5"/>
        <v>31802</v>
      </c>
      <c r="BV28" s="91">
        <f>IF(BU28&gt;0,SUM(BU$7:BU28)-SUM(BT$7:BT28),0)</f>
        <v>-192336</v>
      </c>
      <c r="BW28" s="45">
        <f t="shared" si="28"/>
        <v>0.85489247311827954</v>
      </c>
      <c r="BY28" s="47">
        <f t="shared" si="29"/>
        <v>40838</v>
      </c>
      <c r="BZ28" s="54" t="str">
        <f t="shared" si="12"/>
        <v>seg</v>
      </c>
      <c r="CA28" s="75">
        <v>5000</v>
      </c>
      <c r="CB28" s="75">
        <v>1</v>
      </c>
      <c r="CC28" s="90">
        <f>IF(CB28&gt;0,SUM(CB$7:CB28)-SUM(CA$7:CA28),0)</f>
        <v>-16253</v>
      </c>
      <c r="CD28" s="45">
        <f t="shared" si="30"/>
        <v>2.0000000000000001E-4</v>
      </c>
    </row>
    <row r="29" spans="1:82" x14ac:dyDescent="0.25">
      <c r="A29" s="47">
        <f t="shared" si="13"/>
        <v>40839</v>
      </c>
      <c r="B29" s="54" t="s">
        <v>28</v>
      </c>
      <c r="C29" s="75">
        <v>12900</v>
      </c>
      <c r="D29" s="75">
        <v>9817</v>
      </c>
      <c r="E29" s="90">
        <f>IF(D29&gt;0,SUM(D$7:D29)-SUM(C$7:C29),0)</f>
        <v>-18772</v>
      </c>
      <c r="F29" s="45">
        <f t="shared" si="14"/>
        <v>0.76100775193798453</v>
      </c>
      <c r="G29" s="75">
        <v>12900</v>
      </c>
      <c r="H29" s="75">
        <v>10186</v>
      </c>
      <c r="I29" s="75">
        <f>IF(H29&gt;0,SUM(H$7:H29)-SUM(G$7:G29),0)</f>
        <v>-79497</v>
      </c>
      <c r="J29" s="45">
        <f t="shared" si="33"/>
        <v>0.78961240310077518</v>
      </c>
      <c r="K29" s="75">
        <v>12900</v>
      </c>
      <c r="L29" s="75">
        <v>10695</v>
      </c>
      <c r="M29" s="90">
        <f>IF(L29&gt;0,SUM(L$7:L29)-SUM(K$7:K29),0)</f>
        <v>-51416</v>
      </c>
      <c r="N29" s="45">
        <f t="shared" si="35"/>
        <v>0.82906976744186045</v>
      </c>
      <c r="O29" s="35">
        <f t="shared" si="34"/>
        <v>38700</v>
      </c>
      <c r="P29" s="35">
        <f t="shared" si="6"/>
        <v>30698</v>
      </c>
      <c r="Q29" s="91">
        <f>IF(P29&gt;0,SUM(P$7:P29)-SUM(O$7:O29),0)</f>
        <v>-149685</v>
      </c>
      <c r="R29" s="45">
        <f t="shared" si="15"/>
        <v>0.79322997416020669</v>
      </c>
      <c r="T29" s="47">
        <f t="shared" si="16"/>
        <v>40839</v>
      </c>
      <c r="U29" s="54" t="str">
        <f t="shared" si="7"/>
        <v>ter</v>
      </c>
      <c r="V29" s="75">
        <v>12340</v>
      </c>
      <c r="W29" s="75">
        <v>5193</v>
      </c>
      <c r="X29" s="92">
        <f>IF(W29&gt;0,SUM(W$7:W29)-SUM(V$7:V29),0)</f>
        <v>-30302</v>
      </c>
      <c r="Y29" s="60">
        <f t="shared" si="17"/>
        <v>0.42082658022690439</v>
      </c>
      <c r="Z29" s="75">
        <v>12340</v>
      </c>
      <c r="AA29" s="75">
        <v>9010</v>
      </c>
      <c r="AB29" s="92">
        <f>IF(AA29&gt;0,SUM(AA$7:AA29)-SUM(Z$7:Z29),0)</f>
        <v>-61422</v>
      </c>
      <c r="AC29" s="60">
        <f t="shared" si="18"/>
        <v>0.73014586709886553</v>
      </c>
      <c r="AD29" s="75">
        <v>12340</v>
      </c>
      <c r="AE29" s="75">
        <v>6831</v>
      </c>
      <c r="AF29" s="92">
        <f>IF(AE29&gt;0,SUM(AE$7:AE29)-SUM(AD$7:AD29),0)</f>
        <v>-63510</v>
      </c>
      <c r="AG29" s="60">
        <f t="shared" si="19"/>
        <v>0.55356564019448951</v>
      </c>
      <c r="AH29" s="41">
        <f t="shared" si="3"/>
        <v>37020</v>
      </c>
      <c r="AI29" s="41">
        <f t="shared" si="8"/>
        <v>21034</v>
      </c>
      <c r="AJ29" s="93">
        <f>IF(AI29&gt;0,SUM(AI$7:AI29)-SUM(AH$7:AH29),0)</f>
        <v>-155234</v>
      </c>
      <c r="AK29" s="60">
        <f t="shared" si="20"/>
        <v>0.56817936250675316</v>
      </c>
      <c r="AM29" s="47">
        <f t="shared" si="21"/>
        <v>40839</v>
      </c>
      <c r="AN29" s="54" t="str">
        <f t="shared" si="9"/>
        <v>ter</v>
      </c>
      <c r="AO29" s="75">
        <v>7700</v>
      </c>
      <c r="AP29" s="75">
        <v>6619</v>
      </c>
      <c r="AQ29" s="75">
        <f>IF(AP29&gt;0,SUM(AP$7:AP29)-SUM(AO$7:AO29),0)</f>
        <v>-12021</v>
      </c>
      <c r="AR29" s="45">
        <f t="shared" si="22"/>
        <v>0.8596103896103896</v>
      </c>
      <c r="AS29" s="75">
        <v>7700</v>
      </c>
      <c r="AT29" s="75">
        <v>7884</v>
      </c>
      <c r="AU29" s="90">
        <f>IF(AT29&gt;0,SUM(AT$7:AT29)-SUM(AS$7:AS29),0)</f>
        <v>-9040</v>
      </c>
      <c r="AV29" s="45">
        <f t="shared" si="23"/>
        <v>1.0238961038961039</v>
      </c>
      <c r="AW29" s="75">
        <v>7700</v>
      </c>
      <c r="AX29" s="75">
        <v>7965</v>
      </c>
      <c r="AY29" s="90">
        <f>IF(AX29&gt;0,SUM(AX$7:AX29)-SUM(AW$7:AW29),0)</f>
        <v>-35022</v>
      </c>
      <c r="AZ29" s="45">
        <f t="shared" si="31"/>
        <v>1.0344155844155845</v>
      </c>
      <c r="BA29" s="35">
        <f t="shared" si="4"/>
        <v>23100</v>
      </c>
      <c r="BB29" s="35">
        <f t="shared" si="10"/>
        <v>22468</v>
      </c>
      <c r="BC29" s="91">
        <f>IF(BB29&gt;0,SUM(BB$7:BB29)-SUM(BA$7:BA29),0)</f>
        <v>-56083</v>
      </c>
      <c r="BD29" s="45">
        <f t="shared" si="24"/>
        <v>0.97264069264069264</v>
      </c>
      <c r="BF29" s="47">
        <f t="shared" si="25"/>
        <v>40839</v>
      </c>
      <c r="BG29" s="54" t="str">
        <f t="shared" si="11"/>
        <v>ter</v>
      </c>
      <c r="BH29" s="75">
        <v>18200</v>
      </c>
      <c r="BI29" s="75">
        <v>15644</v>
      </c>
      <c r="BJ29" s="75">
        <f>IF(BI29&gt;0,SUM(BI$7:BI29)-SUM(BH$7:BH29),0)</f>
        <v>-110767</v>
      </c>
      <c r="BK29" s="45">
        <f t="shared" si="26"/>
        <v>0.85956043956043959</v>
      </c>
      <c r="BL29" s="75">
        <v>8000</v>
      </c>
      <c r="BM29" s="75">
        <v>6828</v>
      </c>
      <c r="BN29" s="90">
        <f>IF(BM29&gt;0,SUM(BM$7:BM29)-SUM(BL$7:BL29),0)</f>
        <v>-34425</v>
      </c>
      <c r="BO29" s="45">
        <f t="shared" si="27"/>
        <v>0.85350000000000004</v>
      </c>
      <c r="BP29" s="75">
        <v>11000</v>
      </c>
      <c r="BQ29" s="75">
        <v>5826</v>
      </c>
      <c r="BR29" s="90">
        <f>IF(BQ29&gt;0,SUM(BQ$7:BQ29)-SUM(BP$7:BP29),0)</f>
        <v>-56046</v>
      </c>
      <c r="BS29" s="45">
        <f t="shared" si="32"/>
        <v>0.52963636363636368</v>
      </c>
      <c r="BT29" s="35">
        <f t="shared" si="5"/>
        <v>37200</v>
      </c>
      <c r="BU29" s="35">
        <f t="shared" si="5"/>
        <v>28298</v>
      </c>
      <c r="BV29" s="91">
        <f>IF(BU29&gt;0,SUM(BU$7:BU29)-SUM(BT$7:BT29),0)</f>
        <v>-201238</v>
      </c>
      <c r="BW29" s="45">
        <f t="shared" si="28"/>
        <v>0.76069892473118284</v>
      </c>
      <c r="BY29" s="47">
        <f t="shared" si="29"/>
        <v>40839</v>
      </c>
      <c r="BZ29" s="54" t="str">
        <f t="shared" si="12"/>
        <v>ter</v>
      </c>
      <c r="CA29" s="75">
        <v>5000</v>
      </c>
      <c r="CB29" s="75">
        <v>3708</v>
      </c>
      <c r="CC29" s="90">
        <f>IF(CB29&gt;0,SUM(CB$7:CB29)-SUM(CA$7:CA29),0)</f>
        <v>-17545</v>
      </c>
      <c r="CD29" s="45">
        <f t="shared" si="30"/>
        <v>0.74160000000000004</v>
      </c>
    </row>
    <row r="30" spans="1:82" x14ac:dyDescent="0.25">
      <c r="A30" s="47">
        <f t="shared" si="13"/>
        <v>40840</v>
      </c>
      <c r="B30" s="54" t="s">
        <v>22</v>
      </c>
      <c r="C30" s="75">
        <v>12900</v>
      </c>
      <c r="D30" s="75">
        <v>8525</v>
      </c>
      <c r="E30" s="90">
        <f>IF(D30&gt;0,SUM(D$7:D30)-SUM(C$7:C30),0)</f>
        <v>-23147</v>
      </c>
      <c r="F30" s="45">
        <f t="shared" si="14"/>
        <v>0.66085271317829453</v>
      </c>
      <c r="G30" s="75">
        <v>12900</v>
      </c>
      <c r="H30" s="75">
        <v>11740</v>
      </c>
      <c r="I30" s="75">
        <f>IF(H30&gt;0,SUM(H$7:H30)-SUM(G$7:G30),0)</f>
        <v>-80657</v>
      </c>
      <c r="J30" s="45">
        <f t="shared" si="33"/>
        <v>0.91007751937984493</v>
      </c>
      <c r="K30" s="75">
        <v>12900</v>
      </c>
      <c r="L30" s="75">
        <v>7114</v>
      </c>
      <c r="M30" s="90">
        <f>IF(L30&gt;0,SUM(L$7:L30)-SUM(K$7:K30),0)</f>
        <v>-57202</v>
      </c>
      <c r="N30" s="45">
        <f t="shared" si="35"/>
        <v>0.55147286821705421</v>
      </c>
      <c r="O30" s="35">
        <f t="shared" si="34"/>
        <v>38700</v>
      </c>
      <c r="P30" s="35">
        <f t="shared" si="6"/>
        <v>27379</v>
      </c>
      <c r="Q30" s="91">
        <f>IF(P30&gt;0,SUM(P$7:P30)-SUM(O$7:O30),0)</f>
        <v>-161006</v>
      </c>
      <c r="R30" s="45">
        <f t="shared" si="15"/>
        <v>0.70746770025839789</v>
      </c>
      <c r="T30" s="47">
        <f t="shared" si="16"/>
        <v>40840</v>
      </c>
      <c r="U30" s="54" t="str">
        <f t="shared" si="7"/>
        <v>qua</v>
      </c>
      <c r="V30" s="75">
        <v>12340</v>
      </c>
      <c r="W30" s="75">
        <v>6715</v>
      </c>
      <c r="X30" s="92">
        <f>IF(W30&gt;0,SUM(W$7:W30)-SUM(V$7:V30),0)</f>
        <v>-35927</v>
      </c>
      <c r="Y30" s="60">
        <f t="shared" si="17"/>
        <v>0.54416531604538088</v>
      </c>
      <c r="Z30" s="75">
        <v>12340</v>
      </c>
      <c r="AA30" s="75">
        <v>7237</v>
      </c>
      <c r="AB30" s="92">
        <f>IF(AA30&gt;0,SUM(AA$7:AA30)-SUM(Z$7:Z30),0)</f>
        <v>-66525</v>
      </c>
      <c r="AC30" s="60">
        <f t="shared" si="18"/>
        <v>0.58646677471636954</v>
      </c>
      <c r="AD30" s="75">
        <v>12340</v>
      </c>
      <c r="AE30" s="75">
        <v>9424</v>
      </c>
      <c r="AF30" s="92">
        <f>IF(AE30&gt;0,SUM(AE$7:AE30)-SUM(AD$7:AD30),0)</f>
        <v>-66426</v>
      </c>
      <c r="AG30" s="60">
        <f t="shared" si="19"/>
        <v>0.7636952998379255</v>
      </c>
      <c r="AH30" s="41">
        <f t="shared" si="3"/>
        <v>37020</v>
      </c>
      <c r="AI30" s="41">
        <f t="shared" si="8"/>
        <v>23376</v>
      </c>
      <c r="AJ30" s="93">
        <f>IF(AI30&gt;0,SUM(AI$7:AI30)-SUM(AH$7:AH30),0)</f>
        <v>-168878</v>
      </c>
      <c r="AK30" s="60">
        <f t="shared" si="20"/>
        <v>0.63144246353322531</v>
      </c>
      <c r="AM30" s="47">
        <f t="shared" si="21"/>
        <v>40840</v>
      </c>
      <c r="AN30" s="54" t="str">
        <f t="shared" si="9"/>
        <v>qua</v>
      </c>
      <c r="AO30" s="75">
        <v>7700</v>
      </c>
      <c r="AP30" s="75">
        <v>6253</v>
      </c>
      <c r="AQ30" s="75">
        <f>IF(AP30&gt;0,SUM(AP$7:AP30)-SUM(AO$7:AO30),0)</f>
        <v>-13468</v>
      </c>
      <c r="AR30" s="45">
        <f t="shared" si="22"/>
        <v>0.81207792207792207</v>
      </c>
      <c r="AS30" s="75">
        <v>7700</v>
      </c>
      <c r="AT30" s="75">
        <v>6968</v>
      </c>
      <c r="AU30" s="90">
        <f>IF(AT30&gt;0,SUM(AT$7:AT30)-SUM(AS$7:AS30),0)</f>
        <v>-9772</v>
      </c>
      <c r="AV30" s="45">
        <f t="shared" si="23"/>
        <v>0.90493506493506493</v>
      </c>
      <c r="AW30" s="75">
        <v>7700</v>
      </c>
      <c r="AX30" s="75">
        <v>4967</v>
      </c>
      <c r="AY30" s="90">
        <f>IF(AX30&gt;0,SUM(AX$7:AX30)-SUM(AW$7:AW30),0)</f>
        <v>-37755</v>
      </c>
      <c r="AZ30" s="45">
        <f t="shared" si="31"/>
        <v>0.64506493506493512</v>
      </c>
      <c r="BA30" s="35">
        <f t="shared" si="4"/>
        <v>23100</v>
      </c>
      <c r="BB30" s="35">
        <f t="shared" si="10"/>
        <v>18188</v>
      </c>
      <c r="BC30" s="91">
        <f>IF(BB30&gt;0,SUM(BB$7:BB30)-SUM(BA$7:BA30),0)</f>
        <v>-60995</v>
      </c>
      <c r="BD30" s="45">
        <f t="shared" si="24"/>
        <v>0.78735930735930737</v>
      </c>
      <c r="BF30" s="47">
        <f t="shared" si="25"/>
        <v>40840</v>
      </c>
      <c r="BG30" s="54" t="str">
        <f t="shared" si="11"/>
        <v>qua</v>
      </c>
      <c r="BH30" s="75">
        <v>18200</v>
      </c>
      <c r="BI30" s="75">
        <v>12591</v>
      </c>
      <c r="BJ30" s="75">
        <f>IF(BI30&gt;0,SUM(BI$7:BI30)-SUM(BH$7:BH30),0)</f>
        <v>-116376</v>
      </c>
      <c r="BK30" s="45">
        <f t="shared" si="26"/>
        <v>0.69181318681318682</v>
      </c>
      <c r="BL30" s="75">
        <v>8000</v>
      </c>
      <c r="BM30" s="75">
        <v>5601</v>
      </c>
      <c r="BN30" s="90">
        <f>IF(BM30&gt;0,SUM(BM$7:BM30)-SUM(BL$7:BL30),0)</f>
        <v>-36824</v>
      </c>
      <c r="BO30" s="45">
        <f t="shared" si="27"/>
        <v>0.700125</v>
      </c>
      <c r="BP30" s="75">
        <v>11000</v>
      </c>
      <c r="BQ30" s="75">
        <v>10297</v>
      </c>
      <c r="BR30" s="90">
        <f>IF(BQ30&gt;0,SUM(BQ$7:BQ30)-SUM(BP$7:BP30),0)</f>
        <v>-56749</v>
      </c>
      <c r="BS30" s="45">
        <f t="shared" si="32"/>
        <v>0.93609090909090908</v>
      </c>
      <c r="BT30" s="35">
        <f t="shared" si="5"/>
        <v>37200</v>
      </c>
      <c r="BU30" s="35">
        <f t="shared" si="5"/>
        <v>28489</v>
      </c>
      <c r="BV30" s="91">
        <f>IF(BU30&gt;0,SUM(BU$7:BU30)-SUM(BT$7:BT30),0)</f>
        <v>-209949</v>
      </c>
      <c r="BW30" s="45">
        <f t="shared" si="28"/>
        <v>0.76583333333333337</v>
      </c>
      <c r="BY30" s="47">
        <f t="shared" si="29"/>
        <v>40840</v>
      </c>
      <c r="BZ30" s="54" t="str">
        <f t="shared" si="12"/>
        <v>qua</v>
      </c>
      <c r="CA30" s="75">
        <v>5000</v>
      </c>
      <c r="CB30" s="75">
        <v>6202</v>
      </c>
      <c r="CC30" s="90">
        <f>IF(CB30&gt;0,SUM(CB$7:CB30)-SUM(CA$7:CA30),0)</f>
        <v>-16343</v>
      </c>
      <c r="CD30" s="45">
        <f t="shared" si="30"/>
        <v>1.2403999999999999</v>
      </c>
    </row>
    <row r="31" spans="1:82" x14ac:dyDescent="0.25">
      <c r="A31" s="47">
        <f t="shared" si="13"/>
        <v>40841</v>
      </c>
      <c r="B31" s="54" t="s">
        <v>23</v>
      </c>
      <c r="C31" s="75">
        <v>12900</v>
      </c>
      <c r="D31" s="75">
        <v>5263</v>
      </c>
      <c r="E31" s="90">
        <f>IF(D31&gt;0,SUM(D$7:D31)-SUM(C$7:C31),0)</f>
        <v>-30784</v>
      </c>
      <c r="F31" s="45">
        <f t="shared" si="14"/>
        <v>0.40798449612403098</v>
      </c>
      <c r="G31" s="75">
        <v>12900</v>
      </c>
      <c r="H31" s="75">
        <v>9188</v>
      </c>
      <c r="I31" s="75">
        <f>IF(H31&gt;0,SUM(H$7:H31)-SUM(G$7:G31),0)</f>
        <v>-84369</v>
      </c>
      <c r="J31" s="45">
        <f t="shared" si="33"/>
        <v>0.71224806201550384</v>
      </c>
      <c r="K31" s="75">
        <v>12900</v>
      </c>
      <c r="L31" s="75">
        <v>11860</v>
      </c>
      <c r="M31" s="90">
        <f>IF(L31&gt;0,SUM(L$7:L31)-SUM(K$7:K31),0)</f>
        <v>-58242</v>
      </c>
      <c r="N31" s="45">
        <f t="shared" si="35"/>
        <v>0.91937984496124026</v>
      </c>
      <c r="O31" s="35">
        <f t="shared" si="34"/>
        <v>38700</v>
      </c>
      <c r="P31" s="35">
        <f t="shared" si="6"/>
        <v>26311</v>
      </c>
      <c r="Q31" s="91">
        <f>IF(P31&gt;0,SUM(P$7:P31)-SUM(O$7:O31),0)</f>
        <v>-173395</v>
      </c>
      <c r="R31" s="45">
        <f t="shared" si="15"/>
        <v>0.67987080103359177</v>
      </c>
      <c r="T31" s="47">
        <f t="shared" si="16"/>
        <v>40841</v>
      </c>
      <c r="U31" s="54" t="str">
        <f t="shared" si="7"/>
        <v>qui</v>
      </c>
      <c r="V31" s="75">
        <v>12340</v>
      </c>
      <c r="W31" s="75">
        <v>8429</v>
      </c>
      <c r="X31" s="92">
        <f>IF(W31&gt;0,SUM(W$7:W31)-SUM(V$7:V31),0)</f>
        <v>-39838</v>
      </c>
      <c r="Y31" s="60">
        <f t="shared" si="17"/>
        <v>0.68306320907617502</v>
      </c>
      <c r="Z31" s="75">
        <v>12340</v>
      </c>
      <c r="AA31" s="75">
        <v>12430</v>
      </c>
      <c r="AB31" s="92">
        <f>IF(AA31&gt;0,SUM(AA$7:AA31)-SUM(Z$7:Z31),0)</f>
        <v>-66435</v>
      </c>
      <c r="AC31" s="60">
        <f t="shared" si="18"/>
        <v>1.0072933549432739</v>
      </c>
      <c r="AD31" s="75">
        <v>12340</v>
      </c>
      <c r="AE31" s="75">
        <v>8263</v>
      </c>
      <c r="AF31" s="92">
        <f>IF(AE31&gt;0,SUM(AE$7:AE31)-SUM(AD$7:AD31),0)</f>
        <v>-70503</v>
      </c>
      <c r="AG31" s="60">
        <f t="shared" si="19"/>
        <v>0.66961102106969206</v>
      </c>
      <c r="AH31" s="41">
        <f t="shared" si="3"/>
        <v>37020</v>
      </c>
      <c r="AI31" s="41">
        <f t="shared" si="8"/>
        <v>29122</v>
      </c>
      <c r="AJ31" s="93">
        <f>IF(AI31&gt;0,SUM(AI$7:AI31)-SUM(AH$7:AH31),0)</f>
        <v>-176776</v>
      </c>
      <c r="AK31" s="60">
        <f t="shared" si="20"/>
        <v>0.78665586169638035</v>
      </c>
      <c r="AM31" s="47">
        <f t="shared" si="21"/>
        <v>40841</v>
      </c>
      <c r="AN31" s="54" t="str">
        <f t="shared" si="9"/>
        <v>qui</v>
      </c>
      <c r="AO31" s="75">
        <v>7700</v>
      </c>
      <c r="AP31" s="75">
        <v>4347</v>
      </c>
      <c r="AQ31" s="75">
        <f>IF(AP31&gt;0,SUM(AP$7:AP31)-SUM(AO$7:AO31),0)</f>
        <v>-16821</v>
      </c>
      <c r="AR31" s="45">
        <f t="shared" si="22"/>
        <v>0.56454545454545457</v>
      </c>
      <c r="AS31" s="75">
        <v>7700</v>
      </c>
      <c r="AT31" s="75">
        <v>6220</v>
      </c>
      <c r="AU31" s="90">
        <f>IF(AT31&gt;0,SUM(AT$7:AT31)-SUM(AS$7:AS31),0)</f>
        <v>-11252</v>
      </c>
      <c r="AV31" s="45">
        <f t="shared" si="23"/>
        <v>0.80779220779220784</v>
      </c>
      <c r="AW31" s="75">
        <v>7700</v>
      </c>
      <c r="AX31" s="75">
        <v>5156</v>
      </c>
      <c r="AY31" s="90">
        <f>IF(AX31&gt;0,SUM(AX$7:AX31)-SUM(AW$7:AW31),0)</f>
        <v>-40299</v>
      </c>
      <c r="AZ31" s="45">
        <f t="shared" si="31"/>
        <v>0.66961038961038966</v>
      </c>
      <c r="BA31" s="35">
        <f t="shared" si="4"/>
        <v>23100</v>
      </c>
      <c r="BB31" s="35">
        <f t="shared" si="10"/>
        <v>15723</v>
      </c>
      <c r="BC31" s="91">
        <f>IF(BB31&gt;0,SUM(BB$7:BB31)-SUM(BA$7:BA31),0)</f>
        <v>-68372</v>
      </c>
      <c r="BD31" s="45">
        <f t="shared" si="24"/>
        <v>0.68064935064935062</v>
      </c>
      <c r="BF31" s="47">
        <f t="shared" si="25"/>
        <v>40841</v>
      </c>
      <c r="BG31" s="54" t="str">
        <f t="shared" si="11"/>
        <v>qui</v>
      </c>
      <c r="BH31" s="75">
        <v>18200</v>
      </c>
      <c r="BI31" s="75">
        <v>11447</v>
      </c>
      <c r="BJ31" s="75">
        <f>IF(BI31&gt;0,SUM(BI$7:BI31)-SUM(BH$7:BH31),0)</f>
        <v>-123129</v>
      </c>
      <c r="BK31" s="45">
        <f t="shared" si="26"/>
        <v>0.62895604395604399</v>
      </c>
      <c r="BL31" s="75">
        <v>8000</v>
      </c>
      <c r="BM31" s="75">
        <v>4281</v>
      </c>
      <c r="BN31" s="90">
        <f>IF(BM31&gt;0,SUM(BM$7:BM31)-SUM(BL$7:BL31),0)</f>
        <v>-40543</v>
      </c>
      <c r="BO31" s="45">
        <f t="shared" si="27"/>
        <v>0.53512499999999996</v>
      </c>
      <c r="BP31" s="75">
        <v>11000</v>
      </c>
      <c r="BQ31" s="75">
        <v>11186</v>
      </c>
      <c r="BR31" s="90">
        <f>IF(BQ31&gt;0,SUM(BQ$7:BQ31)-SUM(BP$7:BP31),0)</f>
        <v>-56563</v>
      </c>
      <c r="BS31" s="45">
        <f t="shared" si="32"/>
        <v>1.016909090909091</v>
      </c>
      <c r="BT31" s="35">
        <f t="shared" si="5"/>
        <v>37200</v>
      </c>
      <c r="BU31" s="35">
        <f t="shared" si="5"/>
        <v>26914</v>
      </c>
      <c r="BV31" s="91">
        <f>IF(BU31&gt;0,SUM(BU$7:BU31)-SUM(BT$7:BT31),0)</f>
        <v>-220235</v>
      </c>
      <c r="BW31" s="45">
        <f t="shared" si="28"/>
        <v>0.72349462365591399</v>
      </c>
      <c r="BY31" s="47">
        <f t="shared" si="29"/>
        <v>40841</v>
      </c>
      <c r="BZ31" s="54" t="str">
        <f t="shared" si="12"/>
        <v>qui</v>
      </c>
      <c r="CA31" s="75">
        <v>5000</v>
      </c>
      <c r="CB31" s="75">
        <v>4183</v>
      </c>
      <c r="CC31" s="90">
        <f>IF(CB31&gt;0,SUM(CB$7:CB31)-SUM(CA$7:CA31),0)</f>
        <v>-17160</v>
      </c>
      <c r="CD31" s="45">
        <f t="shared" si="30"/>
        <v>0.83660000000000001</v>
      </c>
    </row>
    <row r="32" spans="1:82" x14ac:dyDescent="0.25">
      <c r="A32" s="47">
        <f t="shared" si="13"/>
        <v>40842</v>
      </c>
      <c r="B32" s="54" t="s">
        <v>24</v>
      </c>
      <c r="C32" s="75">
        <v>12900</v>
      </c>
      <c r="D32" s="75">
        <v>7703</v>
      </c>
      <c r="E32" s="90">
        <f>IF(D32&gt;0,SUM(D$7:D32)-SUM(C$7:C32),0)</f>
        <v>-35981</v>
      </c>
      <c r="F32" s="45">
        <f t="shared" si="14"/>
        <v>0.59713178294573643</v>
      </c>
      <c r="G32" s="75">
        <v>12900</v>
      </c>
      <c r="H32" s="75">
        <v>10269</v>
      </c>
      <c r="I32" s="75">
        <f>IF(H32&gt;0,SUM(H$7:H32)-SUM(G$7:G32),0)</f>
        <v>-87000</v>
      </c>
      <c r="J32" s="45">
        <f t="shared" si="33"/>
        <v>0.79604651162790696</v>
      </c>
      <c r="K32" s="75">
        <v>12900</v>
      </c>
      <c r="L32" s="75">
        <v>11618</v>
      </c>
      <c r="M32" s="90">
        <f>IF(L32&gt;0,SUM(L$7:L32)-SUM(K$7:K32),0)</f>
        <v>-59524</v>
      </c>
      <c r="N32" s="45">
        <f t="shared" si="35"/>
        <v>0.9006201550387597</v>
      </c>
      <c r="O32" s="35">
        <f t="shared" si="34"/>
        <v>38700</v>
      </c>
      <c r="P32" s="35">
        <f t="shared" si="6"/>
        <v>29590</v>
      </c>
      <c r="Q32" s="91">
        <f>IF(P32&gt;0,SUM(P$7:P32)-SUM(O$7:O32),0)</f>
        <v>-182505</v>
      </c>
      <c r="R32" s="45">
        <f t="shared" si="15"/>
        <v>0.7645994832041344</v>
      </c>
      <c r="T32" s="47">
        <f t="shared" si="16"/>
        <v>40842</v>
      </c>
      <c r="U32" s="54" t="str">
        <f t="shared" si="7"/>
        <v>sex</v>
      </c>
      <c r="V32" s="75">
        <v>12340</v>
      </c>
      <c r="W32" s="75">
        <v>9195</v>
      </c>
      <c r="X32" s="92">
        <f>IF(W32&gt;0,SUM(W$7:W32)-SUM(V$7:V32),0)</f>
        <v>-42983</v>
      </c>
      <c r="Y32" s="60">
        <f t="shared" si="17"/>
        <v>0.74513776337115067</v>
      </c>
      <c r="Z32" s="75">
        <v>12340</v>
      </c>
      <c r="AA32" s="75">
        <v>11492</v>
      </c>
      <c r="AB32" s="92">
        <f>IF(AA32&gt;0,SUM(AA$7:AA32)-SUM(Z$7:Z32),0)</f>
        <v>-67283</v>
      </c>
      <c r="AC32" s="60">
        <f t="shared" si="18"/>
        <v>0.93128038897893028</v>
      </c>
      <c r="AD32" s="75">
        <v>12340</v>
      </c>
      <c r="AE32" s="75">
        <v>7397</v>
      </c>
      <c r="AF32" s="92">
        <f>IF(AE32&gt;0,SUM(AE$7:AE32)-SUM(AD$7:AD32),0)</f>
        <v>-75446</v>
      </c>
      <c r="AG32" s="60">
        <f t="shared" si="19"/>
        <v>0.59943273905996763</v>
      </c>
      <c r="AH32" s="41">
        <f t="shared" si="3"/>
        <v>37020</v>
      </c>
      <c r="AI32" s="41">
        <f t="shared" si="8"/>
        <v>28084</v>
      </c>
      <c r="AJ32" s="93">
        <f>IF(AI32&gt;0,SUM(AI$7:AI32)-SUM(AH$7:AH32),0)</f>
        <v>-185712</v>
      </c>
      <c r="AK32" s="60">
        <f t="shared" si="20"/>
        <v>0.75861696380334953</v>
      </c>
      <c r="AM32" s="47">
        <f t="shared" si="21"/>
        <v>40842</v>
      </c>
      <c r="AN32" s="54" t="str">
        <f t="shared" si="9"/>
        <v>sex</v>
      </c>
      <c r="AO32" s="75">
        <v>7700</v>
      </c>
      <c r="AP32" s="75">
        <v>6527</v>
      </c>
      <c r="AQ32" s="75">
        <f>IF(AP32&gt;0,SUM(AP$7:AP32)-SUM(AO$7:AO32),0)</f>
        <v>-17994</v>
      </c>
      <c r="AR32" s="45">
        <f t="shared" si="22"/>
        <v>0.84766233766233767</v>
      </c>
      <c r="AS32" s="75">
        <v>7700</v>
      </c>
      <c r="AT32" s="75">
        <v>7712</v>
      </c>
      <c r="AU32" s="90">
        <f>IF(AT32&gt;0,SUM(AT$7:AT32)-SUM(AS$7:AS32),0)</f>
        <v>-11240</v>
      </c>
      <c r="AV32" s="45">
        <f t="shared" si="23"/>
        <v>1.0015584415584415</v>
      </c>
      <c r="AW32" s="75">
        <v>7700</v>
      </c>
      <c r="AX32" s="75">
        <v>4502</v>
      </c>
      <c r="AY32" s="90">
        <f>IF(AX32&gt;0,SUM(AX$7:AX32)-SUM(AW$7:AW32),0)</f>
        <v>-43497</v>
      </c>
      <c r="AZ32" s="45">
        <f t="shared" si="31"/>
        <v>0.58467532467532468</v>
      </c>
      <c r="BA32" s="35">
        <f t="shared" si="4"/>
        <v>23100</v>
      </c>
      <c r="BB32" s="35">
        <f t="shared" si="10"/>
        <v>18741</v>
      </c>
      <c r="BC32" s="91">
        <f>IF(BB32&gt;0,SUM(BB$7:BB32)-SUM(BA$7:BA32),0)</f>
        <v>-72731</v>
      </c>
      <c r="BD32" s="45">
        <f t="shared" si="24"/>
        <v>0.8112987012987013</v>
      </c>
      <c r="BF32" s="47">
        <f t="shared" si="25"/>
        <v>40842</v>
      </c>
      <c r="BG32" s="54" t="str">
        <f t="shared" si="11"/>
        <v>sex</v>
      </c>
      <c r="BH32" s="75">
        <v>18200</v>
      </c>
      <c r="BI32" s="75">
        <v>12020</v>
      </c>
      <c r="BJ32" s="75">
        <f>IF(BI32&gt;0,SUM(BI$7:BI32)-SUM(BH$7:BH32),0)</f>
        <v>-129309</v>
      </c>
      <c r="BK32" s="45">
        <f t="shared" si="26"/>
        <v>0.66043956043956042</v>
      </c>
      <c r="BL32" s="75">
        <v>8000</v>
      </c>
      <c r="BM32" s="75">
        <v>6722</v>
      </c>
      <c r="BN32" s="90">
        <f>IF(BM32&gt;0,SUM(BM$7:BM32)-SUM(BL$7:BL32),0)</f>
        <v>-41821</v>
      </c>
      <c r="BO32" s="45">
        <f t="shared" si="27"/>
        <v>0.84025000000000005</v>
      </c>
      <c r="BP32" s="75">
        <v>11000</v>
      </c>
      <c r="BQ32" s="75">
        <v>10014</v>
      </c>
      <c r="BR32" s="90">
        <f>IF(BQ32&gt;0,SUM(BQ$7:BQ32)-SUM(BP$7:BP32),0)</f>
        <v>-57549</v>
      </c>
      <c r="BS32" s="45">
        <f t="shared" si="32"/>
        <v>0.91036363636363637</v>
      </c>
      <c r="BT32" s="35">
        <f t="shared" si="5"/>
        <v>37200</v>
      </c>
      <c r="BU32" s="35">
        <f t="shared" si="5"/>
        <v>28756</v>
      </c>
      <c r="BV32" s="91">
        <f>IF(BU32&gt;0,SUM(BU$7:BU32)-SUM(BT$7:BT32),0)</f>
        <v>-228679</v>
      </c>
      <c r="BW32" s="45">
        <f t="shared" si="28"/>
        <v>0.7730107526881721</v>
      </c>
      <c r="BY32" s="47">
        <f t="shared" si="29"/>
        <v>40842</v>
      </c>
      <c r="BZ32" s="54" t="str">
        <f t="shared" si="12"/>
        <v>sex</v>
      </c>
      <c r="CA32" s="75">
        <v>5000</v>
      </c>
      <c r="CB32" s="75">
        <v>1</v>
      </c>
      <c r="CC32" s="90">
        <f>IF(CB32&gt;0,SUM(CB$7:CB32)-SUM(CA$7:CA32),0)</f>
        <v>-22159</v>
      </c>
      <c r="CD32" s="45">
        <f t="shared" si="30"/>
        <v>2.0000000000000001E-4</v>
      </c>
    </row>
    <row r="33" spans="1:82" x14ac:dyDescent="0.25">
      <c r="A33" s="47">
        <f t="shared" si="13"/>
        <v>40843</v>
      </c>
      <c r="B33" s="54" t="s">
        <v>25</v>
      </c>
      <c r="C33" s="75">
        <v>12900</v>
      </c>
      <c r="D33" s="75">
        <v>11663</v>
      </c>
      <c r="E33" s="90">
        <f>IF(D33&gt;0,SUM(D$7:D33)-SUM(C$7:C33),0)</f>
        <v>-37218</v>
      </c>
      <c r="F33" s="45">
        <f t="shared" si="14"/>
        <v>0.90410852713178291</v>
      </c>
      <c r="G33" s="75">
        <v>12900</v>
      </c>
      <c r="H33" s="75">
        <v>5796</v>
      </c>
      <c r="I33" s="75">
        <f>IF(H33&gt;0,SUM(H$7:H33)-SUM(G$7:G33),0)</f>
        <v>-94104</v>
      </c>
      <c r="J33" s="45">
        <f t="shared" si="33"/>
        <v>0.44930232558139532</v>
      </c>
      <c r="K33" s="75">
        <v>12900</v>
      </c>
      <c r="L33" s="75">
        <v>5498</v>
      </c>
      <c r="M33" s="90">
        <f>IF(L33&gt;0,SUM(L$7:L33)-SUM(K$7:K33),0)</f>
        <v>-66926</v>
      </c>
      <c r="N33" s="45">
        <f t="shared" si="35"/>
        <v>0.42620155038759688</v>
      </c>
      <c r="O33" s="35">
        <f t="shared" si="34"/>
        <v>38700</v>
      </c>
      <c r="P33" s="35">
        <f t="shared" si="6"/>
        <v>22957</v>
      </c>
      <c r="Q33" s="91">
        <f>IF(P33&gt;0,SUM(P$7:P33)-SUM(O$7:O33),0)</f>
        <v>-198248</v>
      </c>
      <c r="R33" s="45">
        <f t="shared" si="15"/>
        <v>0.5932041343669251</v>
      </c>
      <c r="T33" s="47">
        <f t="shared" si="16"/>
        <v>40843</v>
      </c>
      <c r="U33" s="54" t="str">
        <f t="shared" si="7"/>
        <v>sáb</v>
      </c>
      <c r="V33" s="75">
        <v>12340</v>
      </c>
      <c r="W33" s="75">
        <v>6700</v>
      </c>
      <c r="X33" s="92">
        <f>IF(W33&gt;0,SUM(W$7:W33)-SUM(V$7:V33),0)</f>
        <v>-48623</v>
      </c>
      <c r="Y33" s="60">
        <f t="shared" si="17"/>
        <v>0.5429497568881686</v>
      </c>
      <c r="Z33" s="75">
        <v>12340</v>
      </c>
      <c r="AA33" s="75">
        <v>7605</v>
      </c>
      <c r="AB33" s="92">
        <f>IF(AA33&gt;0,SUM(AA$7:AA33)-SUM(Z$7:Z33),0)</f>
        <v>-72018</v>
      </c>
      <c r="AC33" s="60">
        <f t="shared" si="18"/>
        <v>0.6162884927066451</v>
      </c>
      <c r="AD33" s="75">
        <v>12340</v>
      </c>
      <c r="AE33" s="75">
        <v>7306</v>
      </c>
      <c r="AF33" s="92">
        <f>IF(AE33&gt;0,SUM(AE$7:AE33)-SUM(AD$7:AD33),0)</f>
        <v>-80480</v>
      </c>
      <c r="AG33" s="60">
        <f t="shared" si="19"/>
        <v>0.59205834683954617</v>
      </c>
      <c r="AH33" s="41">
        <f t="shared" si="3"/>
        <v>37020</v>
      </c>
      <c r="AI33" s="41">
        <f t="shared" si="8"/>
        <v>21611</v>
      </c>
      <c r="AJ33" s="93">
        <f>IF(AI33&gt;0,SUM(AI$7:AI33)-SUM(AH$7:AH33),0)</f>
        <v>-201121</v>
      </c>
      <c r="AK33" s="60">
        <f t="shared" si="20"/>
        <v>0.58376553214478655</v>
      </c>
      <c r="AM33" s="47">
        <f t="shared" si="21"/>
        <v>40843</v>
      </c>
      <c r="AN33" s="54" t="str">
        <f t="shared" si="9"/>
        <v>sáb</v>
      </c>
      <c r="AO33" s="75">
        <v>7700</v>
      </c>
      <c r="AP33" s="75">
        <v>7119</v>
      </c>
      <c r="AQ33" s="75">
        <f>IF(AP33&gt;0,SUM(AP$7:AP33)-SUM(AO$7:AO33),0)</f>
        <v>-18575</v>
      </c>
      <c r="AR33" s="45">
        <f t="shared" si="22"/>
        <v>0.92454545454545456</v>
      </c>
      <c r="AS33" s="75">
        <v>7700</v>
      </c>
      <c r="AT33" s="75">
        <v>6775</v>
      </c>
      <c r="AU33" s="90">
        <f>IF(AT33&gt;0,SUM(AT$7:AT33)-SUM(AS$7:AS33),0)</f>
        <v>-12165</v>
      </c>
      <c r="AV33" s="45">
        <f t="shared" si="23"/>
        <v>0.87987012987012991</v>
      </c>
      <c r="AW33" s="75">
        <v>7700</v>
      </c>
      <c r="AX33" s="75">
        <v>5831</v>
      </c>
      <c r="AY33" s="90">
        <f>IF(AX33&gt;0,SUM(AX$7:AX33)-SUM(AW$7:AW33),0)</f>
        <v>-45366</v>
      </c>
      <c r="AZ33" s="45">
        <f t="shared" si="31"/>
        <v>0.75727272727272732</v>
      </c>
      <c r="BA33" s="35">
        <f t="shared" si="4"/>
        <v>23100</v>
      </c>
      <c r="BB33" s="35">
        <f t="shared" si="10"/>
        <v>19725</v>
      </c>
      <c r="BC33" s="91">
        <f>IF(BB33&gt;0,SUM(BB$7:BB33)-SUM(BA$7:BA33),0)</f>
        <v>-76106</v>
      </c>
      <c r="BD33" s="45">
        <f t="shared" si="24"/>
        <v>0.85389610389610393</v>
      </c>
      <c r="BF33" s="47">
        <f t="shared" si="25"/>
        <v>40843</v>
      </c>
      <c r="BG33" s="54" t="str">
        <f t="shared" si="11"/>
        <v>sáb</v>
      </c>
      <c r="BH33" s="75">
        <v>18200</v>
      </c>
      <c r="BI33" s="75">
        <v>10492</v>
      </c>
      <c r="BJ33" s="75">
        <f>IF(BI33&gt;0,SUM(BI$7:BI33)-SUM(BH$7:BH33),0)</f>
        <v>-137017</v>
      </c>
      <c r="BK33" s="45">
        <f t="shared" si="26"/>
        <v>0.57648351648351648</v>
      </c>
      <c r="BL33" s="75">
        <v>8000</v>
      </c>
      <c r="BM33" s="75">
        <v>9236</v>
      </c>
      <c r="BN33" s="90">
        <f>IF(BM33&gt;0,SUM(BM$7:BM33)-SUM(BL$7:BL33),0)</f>
        <v>-40585</v>
      </c>
      <c r="BO33" s="45">
        <f t="shared" si="27"/>
        <v>1.1545000000000001</v>
      </c>
      <c r="BP33" s="75">
        <v>11000</v>
      </c>
      <c r="BQ33" s="75">
        <v>10014</v>
      </c>
      <c r="BR33" s="90">
        <f>IF(BQ33&gt;0,SUM(BQ$7:BQ33)-SUM(BP$7:BP33),0)</f>
        <v>-58535</v>
      </c>
      <c r="BS33" s="45">
        <f t="shared" si="32"/>
        <v>0.91036363636363637</v>
      </c>
      <c r="BT33" s="35">
        <f t="shared" si="5"/>
        <v>37200</v>
      </c>
      <c r="BU33" s="35">
        <f t="shared" si="5"/>
        <v>29742</v>
      </c>
      <c r="BV33" s="91">
        <f>IF(BU33&gt;0,SUM(BU$7:BU33)-SUM(BT$7:BT33),0)</f>
        <v>-236137</v>
      </c>
      <c r="BW33" s="45">
        <f t="shared" si="28"/>
        <v>0.7995161290322581</v>
      </c>
      <c r="BY33" s="47">
        <f t="shared" si="29"/>
        <v>40843</v>
      </c>
      <c r="BZ33" s="54" t="str">
        <f t="shared" si="12"/>
        <v>sáb</v>
      </c>
      <c r="CA33" s="75">
        <v>5000</v>
      </c>
      <c r="CB33" s="75"/>
      <c r="CC33" s="90">
        <f>IF(CB33&gt;0,SUM(CB$7:CB33)-SUM(CA$7:CA33),0)</f>
        <v>0</v>
      </c>
      <c r="CD33" s="45">
        <f t="shared" si="30"/>
        <v>0</v>
      </c>
    </row>
    <row r="34" spans="1:82" x14ac:dyDescent="0.25">
      <c r="A34" s="47">
        <f t="shared" si="13"/>
        <v>40844</v>
      </c>
      <c r="B34" s="54" t="s">
        <v>26</v>
      </c>
      <c r="C34" s="75"/>
      <c r="D34" s="75"/>
      <c r="E34" s="90">
        <f>IF(D34&gt;0,SUM(D$7:D34)-SUM(C$7:C34),0)</f>
        <v>0</v>
      </c>
      <c r="F34" s="45">
        <f t="shared" si="14"/>
        <v>0</v>
      </c>
      <c r="G34" s="75"/>
      <c r="H34" s="75"/>
      <c r="I34" s="75">
        <f>IF(H34&gt;0,SUM(H$7:H34)-SUM(G$7:G34),0)</f>
        <v>0</v>
      </c>
      <c r="J34" s="45">
        <f t="shared" si="33"/>
        <v>0</v>
      </c>
      <c r="K34" s="75"/>
      <c r="L34" s="75"/>
      <c r="M34" s="90">
        <f>IF(L34&gt;0,SUM(L$7:L34)-SUM(K$7:K34),0)</f>
        <v>0</v>
      </c>
      <c r="N34" s="45">
        <f t="shared" si="35"/>
        <v>0</v>
      </c>
      <c r="O34" s="35">
        <f t="shared" si="34"/>
        <v>0</v>
      </c>
      <c r="P34" s="35">
        <f t="shared" si="6"/>
        <v>0</v>
      </c>
      <c r="Q34" s="91">
        <f>IF(P34&gt;0,SUM(P$7:P34)-SUM(O$7:O34),0)</f>
        <v>0</v>
      </c>
      <c r="R34" s="45">
        <f t="shared" si="15"/>
        <v>0</v>
      </c>
      <c r="T34" s="47">
        <f t="shared" si="16"/>
        <v>40844</v>
      </c>
      <c r="U34" s="54" t="str">
        <f t="shared" si="7"/>
        <v>dom</v>
      </c>
      <c r="V34" s="75"/>
      <c r="W34" s="75">
        <v>21452</v>
      </c>
      <c r="X34" s="92">
        <f>IF(W34&gt;0,SUM(W$7:W34)-SUM(V$7:V34),0)</f>
        <v>-27171</v>
      </c>
      <c r="Y34" s="60">
        <f t="shared" si="17"/>
        <v>0</v>
      </c>
      <c r="Z34" s="75"/>
      <c r="AA34" s="75"/>
      <c r="AB34" s="92">
        <f>IF(AA34&gt;0,SUM(AA$7:AA34)-SUM(Z$7:Z34),0)</f>
        <v>0</v>
      </c>
      <c r="AC34" s="60">
        <f t="shared" si="18"/>
        <v>0</v>
      </c>
      <c r="AD34" s="75"/>
      <c r="AE34" s="75"/>
      <c r="AF34" s="92">
        <f>IF(AE34&gt;0,SUM(AE$7:AE34)-SUM(AD$7:AD34),0)</f>
        <v>0</v>
      </c>
      <c r="AG34" s="60">
        <f t="shared" si="19"/>
        <v>0</v>
      </c>
      <c r="AH34" s="41">
        <f t="shared" si="3"/>
        <v>0</v>
      </c>
      <c r="AI34" s="41">
        <f t="shared" si="8"/>
        <v>21452</v>
      </c>
      <c r="AJ34" s="93">
        <f>IF(AI34&gt;0,SUM(AI$7:AI34)-SUM(AH$7:AH34),0)</f>
        <v>-179669</v>
      </c>
      <c r="AK34" s="60">
        <f t="shared" si="20"/>
        <v>0</v>
      </c>
      <c r="AM34" s="47">
        <f t="shared" si="21"/>
        <v>40844</v>
      </c>
      <c r="AN34" s="54" t="str">
        <f t="shared" si="9"/>
        <v>dom</v>
      </c>
      <c r="AO34" s="75"/>
      <c r="AP34" s="75"/>
      <c r="AQ34" s="75">
        <f>IF(AP34&gt;0,SUM(AP$7:AP34)-SUM(AO$7:AO34),0)</f>
        <v>0</v>
      </c>
      <c r="AR34" s="45">
        <f t="shared" si="22"/>
        <v>0</v>
      </c>
      <c r="AS34" s="75"/>
      <c r="AT34" s="75"/>
      <c r="AU34" s="90">
        <f>IF(AT34&gt;0,SUM(AT$7:AT34)-SUM(AS$7:AS34),0)</f>
        <v>0</v>
      </c>
      <c r="AV34" s="45">
        <f t="shared" si="23"/>
        <v>0</v>
      </c>
      <c r="AW34" s="75"/>
      <c r="AX34" s="75"/>
      <c r="AY34" s="90">
        <f>IF(AX34&gt;0,SUM(AX$7:AX34)-SUM(AW$7:AW34),0)</f>
        <v>0</v>
      </c>
      <c r="AZ34" s="45">
        <f t="shared" si="31"/>
        <v>0</v>
      </c>
      <c r="BA34" s="35">
        <f t="shared" si="4"/>
        <v>0</v>
      </c>
      <c r="BB34" s="35">
        <f t="shared" si="10"/>
        <v>0</v>
      </c>
      <c r="BC34" s="91">
        <f>IF(BB34&gt;0,SUM(BB$7:BB34)-SUM(BA$7:BA34),0)</f>
        <v>0</v>
      </c>
      <c r="BD34" s="45">
        <f t="shared" si="24"/>
        <v>0</v>
      </c>
      <c r="BF34" s="47">
        <f t="shared" si="25"/>
        <v>40844</v>
      </c>
      <c r="BG34" s="54" t="str">
        <f t="shared" si="11"/>
        <v>dom</v>
      </c>
      <c r="BH34" s="75"/>
      <c r="BI34" s="75"/>
      <c r="BJ34" s="75">
        <f>IF(BI34&gt;0,SUM(BI$7:BI34)-SUM(BH$7:BH34),0)</f>
        <v>0</v>
      </c>
      <c r="BK34" s="45">
        <f t="shared" si="26"/>
        <v>0</v>
      </c>
      <c r="BL34" s="75"/>
      <c r="BM34" s="75"/>
      <c r="BN34" s="90">
        <f>IF(BM34&gt;0,SUM(BM$7:BM34)-SUM(BL$7:BL34),0)</f>
        <v>0</v>
      </c>
      <c r="BO34" s="45">
        <f t="shared" si="27"/>
        <v>0</v>
      </c>
      <c r="BP34" s="75"/>
      <c r="BQ34" s="75"/>
      <c r="BR34" s="90">
        <f>IF(BQ34&gt;0,SUM(BQ$7:BQ34)-SUM(BP$7:BP34),0)</f>
        <v>0</v>
      </c>
      <c r="BS34" s="45">
        <f t="shared" si="32"/>
        <v>0</v>
      </c>
      <c r="BT34" s="35">
        <f t="shared" si="5"/>
        <v>0</v>
      </c>
      <c r="BU34" s="35">
        <f t="shared" si="5"/>
        <v>0</v>
      </c>
      <c r="BV34" s="91">
        <f>IF(BU34&gt;0,SUM(BU$7:BU34)-SUM(BT$7:BT34),0)</f>
        <v>0</v>
      </c>
      <c r="BW34" s="45">
        <f t="shared" si="28"/>
        <v>0</v>
      </c>
      <c r="BY34" s="47">
        <f t="shared" si="29"/>
        <v>40844</v>
      </c>
      <c r="BZ34" s="54" t="str">
        <f t="shared" si="12"/>
        <v>dom</v>
      </c>
      <c r="CA34" s="75"/>
      <c r="CB34" s="75"/>
      <c r="CC34" s="90">
        <f>IF(CB34&gt;0,SUM(CB$7:CB34)-SUM(CA$7:CA34),0)</f>
        <v>0</v>
      </c>
      <c r="CD34" s="45">
        <f t="shared" si="30"/>
        <v>0</v>
      </c>
    </row>
    <row r="35" spans="1:82" x14ac:dyDescent="0.25">
      <c r="A35" s="47">
        <f t="shared" si="13"/>
        <v>40845</v>
      </c>
      <c r="B35" s="54" t="s">
        <v>27</v>
      </c>
      <c r="C35" s="75">
        <v>12900</v>
      </c>
      <c r="D35" s="75">
        <v>1350</v>
      </c>
      <c r="E35" s="90">
        <f>IF(D35&gt;0,SUM(D$7:D35)-SUM(C$7:C35),0)</f>
        <v>-48768</v>
      </c>
      <c r="F35" s="45">
        <f t="shared" si="14"/>
        <v>0.10465116279069768</v>
      </c>
      <c r="G35" s="75">
        <v>12900</v>
      </c>
      <c r="H35" s="75">
        <v>1963</v>
      </c>
      <c r="I35" s="75">
        <f>IF(H35&gt;0,SUM(H$7:H35)-SUM(G$7:G35),0)</f>
        <v>-105041</v>
      </c>
      <c r="J35" s="45">
        <f t="shared" si="33"/>
        <v>0.15217054263565891</v>
      </c>
      <c r="K35" s="75">
        <v>12900</v>
      </c>
      <c r="L35" s="75">
        <v>11686</v>
      </c>
      <c r="M35" s="90">
        <f>IF(L35&gt;0,SUM(L$7:L35)-SUM(K$7:K35),0)</f>
        <v>-68140</v>
      </c>
      <c r="N35" s="45">
        <f t="shared" si="35"/>
        <v>0.90589147286821703</v>
      </c>
      <c r="O35" s="35">
        <f t="shared" si="34"/>
        <v>38700</v>
      </c>
      <c r="P35" s="35">
        <f t="shared" si="6"/>
        <v>14999</v>
      </c>
      <c r="Q35" s="91">
        <f>IF(P35&gt;0,SUM(P$7:P35)-SUM(O$7:O35),0)</f>
        <v>-221949</v>
      </c>
      <c r="R35" s="45">
        <f t="shared" si="15"/>
        <v>0.38757105943152453</v>
      </c>
      <c r="T35" s="47">
        <f t="shared" si="16"/>
        <v>40845</v>
      </c>
      <c r="U35" s="54" t="str">
        <f t="shared" si="7"/>
        <v>seg</v>
      </c>
      <c r="V35" s="75">
        <v>12340</v>
      </c>
      <c r="W35" s="75">
        <v>8094</v>
      </c>
      <c r="X35" s="92">
        <f>IF(W35&gt;0,SUM(W$7:W35)-SUM(V$7:V35),0)</f>
        <v>-31417</v>
      </c>
      <c r="Y35" s="60">
        <f t="shared" si="17"/>
        <v>0.65591572123176656</v>
      </c>
      <c r="Z35" s="75">
        <v>12340</v>
      </c>
      <c r="AA35" s="75">
        <v>7903</v>
      </c>
      <c r="AB35" s="92">
        <f>IF(AA35&gt;0,SUM(AA$7:AA35)-SUM(Z$7:Z35),0)</f>
        <v>-76455</v>
      </c>
      <c r="AC35" s="60">
        <f t="shared" si="18"/>
        <v>0.64043760129659644</v>
      </c>
      <c r="AD35" s="75">
        <v>12340</v>
      </c>
      <c r="AE35" s="75">
        <v>7009</v>
      </c>
      <c r="AF35" s="92">
        <f>IF(AE35&gt;0,SUM(AE$7:AE35)-SUM(AD$7:AD35),0)</f>
        <v>-85811</v>
      </c>
      <c r="AG35" s="60">
        <f t="shared" si="19"/>
        <v>0.56799027552674231</v>
      </c>
      <c r="AH35" s="41">
        <f t="shared" si="3"/>
        <v>37020</v>
      </c>
      <c r="AI35" s="41">
        <f t="shared" si="8"/>
        <v>23006</v>
      </c>
      <c r="AJ35" s="93">
        <f>IF(AI35&gt;0,SUM(AI$7:AI35)-SUM(AH$7:AH35),0)</f>
        <v>-193683</v>
      </c>
      <c r="AK35" s="60">
        <f t="shared" si="20"/>
        <v>0.62144786601836843</v>
      </c>
      <c r="AM35" s="47">
        <f t="shared" si="21"/>
        <v>40845</v>
      </c>
      <c r="AN35" s="54" t="str">
        <f t="shared" si="9"/>
        <v>seg</v>
      </c>
      <c r="AO35" s="75">
        <v>7700</v>
      </c>
      <c r="AP35" s="75">
        <v>8628</v>
      </c>
      <c r="AQ35" s="75">
        <f>IF(AP35&gt;0,SUM(AP$7:AP35)-SUM(AO$7:AO35),0)</f>
        <v>-17647</v>
      </c>
      <c r="AR35" s="45">
        <f t="shared" si="22"/>
        <v>1.1205194805194805</v>
      </c>
      <c r="AS35" s="75">
        <v>7700</v>
      </c>
      <c r="AT35" s="75">
        <v>9450</v>
      </c>
      <c r="AU35" s="90">
        <f>IF(AT35&gt;0,SUM(AT$7:AT35)-SUM(AS$7:AS35),0)</f>
        <v>-10415</v>
      </c>
      <c r="AV35" s="45">
        <f t="shared" si="23"/>
        <v>1.2272727272727273</v>
      </c>
      <c r="AW35" s="75">
        <v>7700</v>
      </c>
      <c r="AX35" s="75">
        <v>6525</v>
      </c>
      <c r="AY35" s="90">
        <f>IF(AX35&gt;0,SUM(AX$7:AX35)-SUM(AW$7:AW35),0)</f>
        <v>-46541</v>
      </c>
      <c r="AZ35" s="45">
        <f t="shared" si="31"/>
        <v>0.84740259740259738</v>
      </c>
      <c r="BA35" s="35">
        <f t="shared" si="4"/>
        <v>23100</v>
      </c>
      <c r="BB35" s="35">
        <f t="shared" si="10"/>
        <v>24603</v>
      </c>
      <c r="BC35" s="91">
        <f>IF(BB35&gt;0,SUM(BB$7:BB35)-SUM(BA$7:BA35),0)</f>
        <v>-74603</v>
      </c>
      <c r="BD35" s="45">
        <f t="shared" si="24"/>
        <v>1.065064935064935</v>
      </c>
      <c r="BF35" s="47">
        <f t="shared" si="25"/>
        <v>40845</v>
      </c>
      <c r="BG35" s="54" t="str">
        <f t="shared" si="11"/>
        <v>seg</v>
      </c>
      <c r="BH35" s="75">
        <v>18200</v>
      </c>
      <c r="BI35" s="75">
        <v>15643</v>
      </c>
      <c r="BJ35" s="75">
        <f>IF(BI35&gt;0,SUM(BI$7:BI35)-SUM(BH$7:BH35),0)</f>
        <v>-139574</v>
      </c>
      <c r="BK35" s="45">
        <f t="shared" si="26"/>
        <v>0.85950549450549452</v>
      </c>
      <c r="BL35" s="75">
        <v>8000</v>
      </c>
      <c r="BM35" s="75">
        <v>8936</v>
      </c>
      <c r="BN35" s="90">
        <f>IF(BM35&gt;0,SUM(BM$7:BM35)-SUM(BL$7:BL35),0)</f>
        <v>-39649</v>
      </c>
      <c r="BO35" s="45">
        <f t="shared" si="27"/>
        <v>1.117</v>
      </c>
      <c r="BP35" s="75">
        <v>11000</v>
      </c>
      <c r="BQ35" s="75">
        <v>9050</v>
      </c>
      <c r="BR35" s="90">
        <f>IF(BQ35&gt;0,SUM(BQ$7:BQ35)-SUM(BP$7:BP35),0)</f>
        <v>-60485</v>
      </c>
      <c r="BS35" s="45">
        <f t="shared" si="32"/>
        <v>0.82272727272727275</v>
      </c>
      <c r="BT35" s="35">
        <f t="shared" si="5"/>
        <v>37200</v>
      </c>
      <c r="BU35" s="35">
        <f t="shared" si="5"/>
        <v>33629</v>
      </c>
      <c r="BV35" s="91">
        <f>IF(BU35&gt;0,SUM(BU$7:BU35)-SUM(BT$7:BT35),0)</f>
        <v>-239708</v>
      </c>
      <c r="BW35" s="45">
        <f t="shared" si="28"/>
        <v>0.90400537634408606</v>
      </c>
      <c r="BY35" s="47">
        <f t="shared" si="29"/>
        <v>40845</v>
      </c>
      <c r="BZ35" s="54" t="str">
        <f t="shared" si="12"/>
        <v>seg</v>
      </c>
      <c r="CA35" s="75">
        <v>5000</v>
      </c>
      <c r="CB35" s="75">
        <v>1</v>
      </c>
      <c r="CC35" s="90">
        <f>IF(CB35&gt;0,SUM(CB$7:CB35)-SUM(CA$7:CA35),0)</f>
        <v>-32158</v>
      </c>
      <c r="CD35" s="45">
        <f t="shared" si="30"/>
        <v>2.0000000000000001E-4</v>
      </c>
    </row>
    <row r="36" spans="1:82" x14ac:dyDescent="0.25">
      <c r="A36" s="47">
        <f t="shared" si="13"/>
        <v>40846</v>
      </c>
      <c r="B36" s="54" t="s">
        <v>28</v>
      </c>
      <c r="C36" s="75">
        <v>12900</v>
      </c>
      <c r="D36" s="75">
        <v>6836</v>
      </c>
      <c r="E36" s="90">
        <f>IF(D36&gt;0,SUM(D$7:D36)-SUM(C$7:C36),0)</f>
        <v>-54832</v>
      </c>
      <c r="F36" s="45">
        <f t="shared" si="14"/>
        <v>0.52992248062015501</v>
      </c>
      <c r="G36" s="75">
        <v>12900</v>
      </c>
      <c r="H36" s="75">
        <v>9025</v>
      </c>
      <c r="I36" s="75">
        <f>IF(H36&gt;0,SUM(H$7:H36)-SUM(G$7:G36),0)</f>
        <v>-108916</v>
      </c>
      <c r="J36" s="45">
        <f t="shared" si="33"/>
        <v>0.69961240310077522</v>
      </c>
      <c r="K36" s="75">
        <v>12900</v>
      </c>
      <c r="L36" s="75">
        <v>9965</v>
      </c>
      <c r="M36" s="90">
        <f>IF(L36&gt;0,SUM(L$7:L36)-SUM(K$7:K36),0)</f>
        <v>-71075</v>
      </c>
      <c r="N36" s="45">
        <f t="shared" si="35"/>
        <v>0.77248062015503871</v>
      </c>
      <c r="O36" s="35">
        <f t="shared" si="34"/>
        <v>38700</v>
      </c>
      <c r="P36" s="35">
        <f t="shared" si="6"/>
        <v>25826</v>
      </c>
      <c r="Q36" s="91">
        <f>IF(P36&gt;0,SUM(P$7:P36)-SUM(O$7:O36),0)</f>
        <v>-234823</v>
      </c>
      <c r="R36" s="45">
        <f t="shared" si="15"/>
        <v>0.66733850129198968</v>
      </c>
      <c r="T36" s="47">
        <f t="shared" si="16"/>
        <v>40846</v>
      </c>
      <c r="U36" s="54" t="str">
        <f t="shared" si="7"/>
        <v>ter</v>
      </c>
      <c r="V36" s="75">
        <v>12340</v>
      </c>
      <c r="W36" s="75">
        <v>7716</v>
      </c>
      <c r="X36" s="92">
        <f>IF(W36&gt;0,SUM(W$7:W36)-SUM(V$7:V36),0)</f>
        <v>-36041</v>
      </c>
      <c r="Y36" s="60">
        <f t="shared" si="17"/>
        <v>0.62528363047001623</v>
      </c>
      <c r="Z36" s="75">
        <v>12340</v>
      </c>
      <c r="AA36" s="75">
        <v>7936</v>
      </c>
      <c r="AB36" s="92">
        <f>IF(AA36&gt;0,SUM(AA$7:AA36)-SUM(Z$7:Z36),0)</f>
        <v>-80859</v>
      </c>
      <c r="AC36" s="60">
        <f t="shared" si="18"/>
        <v>0.64311183144246353</v>
      </c>
      <c r="AD36" s="75">
        <v>12340</v>
      </c>
      <c r="AE36" s="75">
        <v>8738</v>
      </c>
      <c r="AF36" s="92">
        <f>IF(AE36&gt;0,SUM(AE$7:AE36)-SUM(AD$7:AD36),0)</f>
        <v>-89413</v>
      </c>
      <c r="AG36" s="60">
        <f t="shared" si="19"/>
        <v>0.70810372771474883</v>
      </c>
      <c r="AH36" s="41">
        <f t="shared" si="3"/>
        <v>37020</v>
      </c>
      <c r="AI36" s="41">
        <f t="shared" si="8"/>
        <v>24390</v>
      </c>
      <c r="AJ36" s="93">
        <f>IF(AI36&gt;0,SUM(AI$7:AI36)-SUM(AH$7:AH36),0)</f>
        <v>-206313</v>
      </c>
      <c r="AK36" s="60">
        <f t="shared" si="20"/>
        <v>0.6588330632090762</v>
      </c>
      <c r="AM36" s="47">
        <f t="shared" si="21"/>
        <v>40846</v>
      </c>
      <c r="AN36" s="54" t="str">
        <f t="shared" si="9"/>
        <v>ter</v>
      </c>
      <c r="AO36" s="75">
        <v>7700</v>
      </c>
      <c r="AP36" s="75">
        <v>5812</v>
      </c>
      <c r="AQ36" s="75">
        <f>IF(AP36&gt;0,SUM(AP$7:AP36)-SUM(AO$7:AO36),0)</f>
        <v>-19535</v>
      </c>
      <c r="AR36" s="45">
        <f t="shared" si="22"/>
        <v>0.75480519480519481</v>
      </c>
      <c r="AS36" s="75">
        <v>7700</v>
      </c>
      <c r="AT36" s="75">
        <v>8839</v>
      </c>
      <c r="AU36" s="90">
        <f>IF(AT36&gt;0,SUM(AT$7:AT36)-SUM(AS$7:AS36),0)</f>
        <v>-9276</v>
      </c>
      <c r="AV36" s="45">
        <f t="shared" si="23"/>
        <v>1.147922077922078</v>
      </c>
      <c r="AW36" s="75">
        <v>7700</v>
      </c>
      <c r="AX36" s="75">
        <v>7277</v>
      </c>
      <c r="AY36" s="90">
        <f>IF(AX36&gt;0,SUM(AX$7:AX36)-SUM(AW$7:AW36),0)</f>
        <v>-46964</v>
      </c>
      <c r="AZ36" s="45">
        <f t="shared" si="31"/>
        <v>0.94506493506493505</v>
      </c>
      <c r="BA36" s="35">
        <f t="shared" si="4"/>
        <v>23100</v>
      </c>
      <c r="BB36" s="35">
        <f t="shared" si="10"/>
        <v>21928</v>
      </c>
      <c r="BC36" s="91">
        <f>IF(BB36&gt;0,SUM(BB$7:BB36)-SUM(BA$7:BA36),0)</f>
        <v>-75775</v>
      </c>
      <c r="BD36" s="45">
        <f t="shared" si="24"/>
        <v>0.94926406926406925</v>
      </c>
      <c r="BF36" s="47">
        <f t="shared" si="25"/>
        <v>40846</v>
      </c>
      <c r="BG36" s="54" t="str">
        <f t="shared" si="11"/>
        <v>ter</v>
      </c>
      <c r="BH36" s="75">
        <v>18200</v>
      </c>
      <c r="BI36" s="75">
        <v>12341</v>
      </c>
      <c r="BJ36" s="75">
        <f>IF(BI36&gt;0,SUM(BI$7:BI36)-SUM(BH$7:BH36),0)</f>
        <v>-145433</v>
      </c>
      <c r="BK36" s="45">
        <f t="shared" si="26"/>
        <v>0.67807692307692302</v>
      </c>
      <c r="BL36" s="75">
        <v>8000</v>
      </c>
      <c r="BM36" s="75">
        <v>9318</v>
      </c>
      <c r="BN36" s="90">
        <f>IF(BM36&gt;0,SUM(BM$7:BM36)-SUM(BL$7:BL36),0)</f>
        <v>-38331</v>
      </c>
      <c r="BO36" s="45">
        <f t="shared" si="27"/>
        <v>1.16475</v>
      </c>
      <c r="BP36" s="75">
        <v>11000</v>
      </c>
      <c r="BQ36" s="75">
        <v>3479</v>
      </c>
      <c r="BR36" s="90">
        <f>IF(BQ36&gt;0,SUM(BQ$7:BQ36)-SUM(BP$7:BP36),0)</f>
        <v>-68006</v>
      </c>
      <c r="BS36" s="45">
        <f t="shared" si="32"/>
        <v>0.31627272727272726</v>
      </c>
      <c r="BT36" s="35">
        <f t="shared" si="5"/>
        <v>37200</v>
      </c>
      <c r="BU36" s="35">
        <f t="shared" si="5"/>
        <v>25138</v>
      </c>
      <c r="BV36" s="91">
        <f>IF(BU36&gt;0,SUM(BU$7:BU36)-SUM(BT$7:BT36),0)</f>
        <v>-251770</v>
      </c>
      <c r="BW36" s="45">
        <f t="shared" si="28"/>
        <v>0.67575268817204304</v>
      </c>
      <c r="BY36" s="47">
        <f t="shared" si="29"/>
        <v>40846</v>
      </c>
      <c r="BZ36" s="54" t="str">
        <f t="shared" si="12"/>
        <v>ter</v>
      </c>
      <c r="CA36" s="75">
        <v>5000</v>
      </c>
      <c r="CB36" s="75">
        <v>5098</v>
      </c>
      <c r="CC36" s="90">
        <f>IF(CB36&gt;0,SUM(CB$7:CB36)-SUM(CA$7:CA36),0)</f>
        <v>-32060</v>
      </c>
      <c r="CD36" s="45">
        <f t="shared" si="30"/>
        <v>1.0196000000000001</v>
      </c>
    </row>
    <row r="37" spans="1:82" x14ac:dyDescent="0.25">
      <c r="A37" s="47">
        <v>31</v>
      </c>
      <c r="B37" s="54" t="s">
        <v>22</v>
      </c>
      <c r="C37" s="75">
        <v>12900</v>
      </c>
      <c r="D37" s="75">
        <v>6484</v>
      </c>
      <c r="E37" s="90">
        <f>IF(D37&gt;0,SUM(D$7:D37)-SUM(C$7:C37),0)</f>
        <v>-61248</v>
      </c>
      <c r="F37" s="45">
        <f t="shared" si="14"/>
        <v>0.50263565891472872</v>
      </c>
      <c r="G37" s="75">
        <v>12900</v>
      </c>
      <c r="H37" s="75">
        <v>11427</v>
      </c>
      <c r="I37" s="75">
        <f>IF(H37&gt;0,SUM(H$7:H37)-SUM(G$7:G37),0)</f>
        <v>-110389</v>
      </c>
      <c r="J37" s="45">
        <f>IF(H37&gt;0,IF(G37&gt;0,H37/G37,0),0)</f>
        <v>0.88581395348837211</v>
      </c>
      <c r="K37" s="75">
        <v>12900</v>
      </c>
      <c r="L37" s="75">
        <v>13096</v>
      </c>
      <c r="M37" s="90">
        <f>IF(L37&gt;0,SUM(L$7:L37)-SUM(K$7:K37),0)</f>
        <v>-70879</v>
      </c>
      <c r="N37" s="45">
        <f t="shared" si="35"/>
        <v>1.0151937984496124</v>
      </c>
      <c r="O37" s="35">
        <f>IF(SUM(C37,G37,K37)&gt;0,SUM(C37,G37,K37),0)</f>
        <v>38700</v>
      </c>
      <c r="P37" s="35">
        <f t="shared" si="6"/>
        <v>31007</v>
      </c>
      <c r="Q37" s="91">
        <f>IF(P37&gt;0,SUM(P$7:P37)-SUM(O$7:O37),0)</f>
        <v>-242516</v>
      </c>
      <c r="R37" s="45">
        <f t="shared" si="15"/>
        <v>0.80121447028423776</v>
      </c>
      <c r="T37" s="47">
        <v>31</v>
      </c>
      <c r="U37" s="54" t="str">
        <f t="shared" si="7"/>
        <v>qua</v>
      </c>
      <c r="V37" s="75">
        <v>12340</v>
      </c>
      <c r="W37" s="75">
        <v>7738</v>
      </c>
      <c r="X37" s="92">
        <f>IF(W37&gt;0,SUM(W$7:W37)-SUM(V$7:V37),0)</f>
        <v>-40643</v>
      </c>
      <c r="Y37" s="60">
        <f t="shared" si="17"/>
        <v>0.62706645056726096</v>
      </c>
      <c r="Z37" s="75">
        <v>12340</v>
      </c>
      <c r="AA37" s="75">
        <v>9806</v>
      </c>
      <c r="AB37" s="92">
        <f>IF(AA37&gt;0,SUM(AA$7:AA37)-SUM(Z$7:Z37),0)</f>
        <v>-83393</v>
      </c>
      <c r="AC37" s="60">
        <f t="shared" si="18"/>
        <v>0.79465153970826585</v>
      </c>
      <c r="AD37" s="75">
        <v>12340</v>
      </c>
      <c r="AE37" s="75">
        <v>8666</v>
      </c>
      <c r="AF37" s="92">
        <f>IF(AE37&gt;0,SUM(AE$7:AE37)-SUM(AD$7:AD37),0)</f>
        <v>-93087</v>
      </c>
      <c r="AG37" s="60">
        <f t="shared" si="19"/>
        <v>0.70226904376012966</v>
      </c>
      <c r="AH37" s="41">
        <f t="shared" si="3"/>
        <v>37020</v>
      </c>
      <c r="AI37" s="41">
        <f t="shared" si="8"/>
        <v>26210</v>
      </c>
      <c r="AJ37" s="93">
        <f>IF(AI37&gt;0,SUM(AI$7:AI37)-SUM(AH$7:AH37),0)</f>
        <v>-217123</v>
      </c>
      <c r="AK37" s="60">
        <f t="shared" si="20"/>
        <v>0.70799567801188545</v>
      </c>
      <c r="AM37" s="47">
        <v>31</v>
      </c>
      <c r="AN37" s="54" t="str">
        <f t="shared" si="9"/>
        <v>qua</v>
      </c>
      <c r="AO37" s="75">
        <v>7700</v>
      </c>
      <c r="AP37" s="75">
        <v>7293</v>
      </c>
      <c r="AQ37" s="75">
        <f>IF(AP37&gt;0,SUM(AP$7:AP37)-SUM(AO$7:AO37),0)</f>
        <v>-19942</v>
      </c>
      <c r="AR37" s="45">
        <f t="shared" si="22"/>
        <v>0.94714285714285718</v>
      </c>
      <c r="AS37" s="75">
        <v>7700</v>
      </c>
      <c r="AT37" s="75">
        <v>10151</v>
      </c>
      <c r="AU37" s="90">
        <f>IF(AT37&gt;0,SUM(AT$7:AT37)-SUM(AS$7:AS37),0)</f>
        <v>-6825</v>
      </c>
      <c r="AV37" s="45">
        <f t="shared" si="23"/>
        <v>1.3183116883116883</v>
      </c>
      <c r="AW37" s="75">
        <v>7700</v>
      </c>
      <c r="AX37" s="75">
        <v>8602</v>
      </c>
      <c r="AY37" s="90">
        <f>IF(AX37&gt;0,SUM(AX$7:AX37)-SUM(AW$7:AW37),0)</f>
        <v>-46062</v>
      </c>
      <c r="AZ37" s="45">
        <f t="shared" si="31"/>
        <v>1.1171428571428572</v>
      </c>
      <c r="BA37" s="35">
        <f t="shared" si="4"/>
        <v>23100</v>
      </c>
      <c r="BB37" s="35">
        <f t="shared" si="10"/>
        <v>26046</v>
      </c>
      <c r="BC37" s="91">
        <f>IF(BB37&gt;0,SUM(BB$7:BB37)-SUM(BA$7:BA37),0)</f>
        <v>-72829</v>
      </c>
      <c r="BD37" s="45">
        <f t="shared" si="24"/>
        <v>1.1275324675324676</v>
      </c>
      <c r="BF37" s="47">
        <v>31</v>
      </c>
      <c r="BG37" s="54" t="str">
        <f t="shared" si="11"/>
        <v>qua</v>
      </c>
      <c r="BH37" s="75">
        <v>18200</v>
      </c>
      <c r="BI37" s="75">
        <v>15835</v>
      </c>
      <c r="BJ37" s="75">
        <f>IF(BI37&gt;0,SUM(BI$7:BI37)-SUM(BH$7:BH37),0)</f>
        <v>-147798</v>
      </c>
      <c r="BK37" s="45">
        <f t="shared" si="26"/>
        <v>0.87005494505494507</v>
      </c>
      <c r="BL37" s="75">
        <v>8000</v>
      </c>
      <c r="BM37" s="75">
        <v>10215</v>
      </c>
      <c r="BN37" s="90">
        <f>IF(BM37&gt;0,SUM(BM$7:BM37)-SUM(BL$7:BL37),0)</f>
        <v>-36116</v>
      </c>
      <c r="BO37" s="45">
        <f t="shared" si="27"/>
        <v>1.276875</v>
      </c>
      <c r="BP37" s="75">
        <v>11000</v>
      </c>
      <c r="BQ37" s="75">
        <v>7026</v>
      </c>
      <c r="BR37" s="90">
        <f>IF(BQ37&gt;0,SUM(BQ$7:BQ37)-SUM(BP$7:BP37),0)</f>
        <v>-71980</v>
      </c>
      <c r="BS37" s="45">
        <f t="shared" si="32"/>
        <v>0.6387272727272727</v>
      </c>
      <c r="BT37" s="35">
        <f t="shared" si="5"/>
        <v>37200</v>
      </c>
      <c r="BU37" s="35">
        <f t="shared" si="5"/>
        <v>33076</v>
      </c>
      <c r="BV37" s="91">
        <f>IF(BU37&gt;0,SUM(BU$7:BU37)-SUM(BT$7:BT37),0)</f>
        <v>-255894</v>
      </c>
      <c r="BW37" s="45">
        <f t="shared" si="28"/>
        <v>0.88913978494623658</v>
      </c>
      <c r="BY37" s="47">
        <v>31</v>
      </c>
      <c r="BZ37" s="54" t="str">
        <f t="shared" si="12"/>
        <v>qua</v>
      </c>
      <c r="CA37" s="75">
        <v>5000</v>
      </c>
      <c r="CB37" s="75">
        <v>5923</v>
      </c>
      <c r="CC37" s="90">
        <f>IF(CB37&gt;0,SUM(CB$7:CB37)-SUM(CA$7:CA37),0)</f>
        <v>-31137</v>
      </c>
      <c r="CD37" s="45">
        <f t="shared" si="30"/>
        <v>1.1846000000000001</v>
      </c>
    </row>
    <row r="38" spans="1:82" ht="17.25" customHeight="1" thickBot="1" x14ac:dyDescent="0.25">
      <c r="A38" s="46" t="s">
        <v>17</v>
      </c>
      <c r="B38" s="63"/>
      <c r="C38" s="78">
        <f>SUM(C7:C37)</f>
        <v>335400</v>
      </c>
      <c r="D38" s="78">
        <f>SUM(D7:D37)</f>
        <v>274152</v>
      </c>
      <c r="E38" s="78">
        <f>D38-C38</f>
        <v>-61248</v>
      </c>
      <c r="F38" s="53">
        <f t="shared" si="14"/>
        <v>0.81738819320214673</v>
      </c>
      <c r="G38" s="78">
        <f>SUM(G7:G37)</f>
        <v>335400</v>
      </c>
      <c r="H38" s="78">
        <f>SUM(H7:H37)</f>
        <v>225011</v>
      </c>
      <c r="I38" s="78">
        <f>H38-G38</f>
        <v>-110389</v>
      </c>
      <c r="J38" s="53">
        <f>IF(H38&gt;0,IF(G38&gt;0,H38/G38,0),0)</f>
        <v>0.6708735837805605</v>
      </c>
      <c r="K38" s="78">
        <f>SUM(K7:K37)</f>
        <v>335400</v>
      </c>
      <c r="L38" s="78">
        <f>SUM(L7:L37)</f>
        <v>264521</v>
      </c>
      <c r="M38" s="78">
        <f>L38-K38</f>
        <v>-70879</v>
      </c>
      <c r="N38" s="45">
        <f t="shared" si="35"/>
        <v>0.7886732259988074</v>
      </c>
      <c r="O38" s="58">
        <f>IF(SUM(C38,G38,K38)&gt;0,SUM(C38,G38,K38),0)</f>
        <v>1006200</v>
      </c>
      <c r="P38" s="58">
        <f>IF(SUM(D38,H38,L38)&gt;0,SUM(D38,H38,L38),0)</f>
        <v>763684</v>
      </c>
      <c r="Q38" s="58">
        <f>P38-O38</f>
        <v>-242516</v>
      </c>
      <c r="R38" s="53">
        <f t="shared" si="15"/>
        <v>0.75897833432717154</v>
      </c>
      <c r="T38" s="46" t="s">
        <v>17</v>
      </c>
      <c r="U38" s="63"/>
      <c r="V38" s="79">
        <f>SUM(V7:V37)</f>
        <v>320840</v>
      </c>
      <c r="W38" s="79">
        <f>SUM(W7:W37)</f>
        <v>280197</v>
      </c>
      <c r="X38" s="79">
        <f>W38-V38</f>
        <v>-40643</v>
      </c>
      <c r="Y38" s="61">
        <f t="shared" si="17"/>
        <v>0.87332315172671737</v>
      </c>
      <c r="Z38" s="79">
        <f>SUM(Z7:Z37)</f>
        <v>320840</v>
      </c>
      <c r="AA38" s="79">
        <f>SUM(AA7:AA37)</f>
        <v>237447</v>
      </c>
      <c r="AB38" s="79">
        <f>AA38-Z38</f>
        <v>-83393</v>
      </c>
      <c r="AC38" s="61">
        <f t="shared" si="18"/>
        <v>0.74007916718613642</v>
      </c>
      <c r="AD38" s="79">
        <f>SUM(AD7:AD37)</f>
        <v>320840</v>
      </c>
      <c r="AE38" s="79">
        <f>SUM(AE7:AE37)</f>
        <v>227753</v>
      </c>
      <c r="AF38" s="79">
        <f>AE38-AD38</f>
        <v>-93087</v>
      </c>
      <c r="AG38" s="61">
        <f t="shared" si="19"/>
        <v>0.70986473008353068</v>
      </c>
      <c r="AH38" s="62">
        <f t="shared" si="3"/>
        <v>962520</v>
      </c>
      <c r="AI38" s="62">
        <f t="shared" si="3"/>
        <v>745397</v>
      </c>
      <c r="AJ38" s="62">
        <f>AI38-AH38</f>
        <v>-217123</v>
      </c>
      <c r="AK38" s="61">
        <f>IF(AI38&gt;0,IF(AH38&gt;0,AI38/AH38,0),0)</f>
        <v>0.77442234966546153</v>
      </c>
      <c r="AM38" s="46" t="s">
        <v>17</v>
      </c>
      <c r="AN38" s="63"/>
      <c r="AO38" s="78">
        <f>SUM(AO7:AO37)</f>
        <v>200200</v>
      </c>
      <c r="AP38" s="78">
        <f>SUM(AP7:AP37)</f>
        <v>180258</v>
      </c>
      <c r="AQ38" s="78">
        <f>AP38-AO38</f>
        <v>-19942</v>
      </c>
      <c r="AR38" s="53">
        <f t="shared" si="22"/>
        <v>0.90038961038961041</v>
      </c>
      <c r="AS38" s="78">
        <f>SUM(AS7:AS37)</f>
        <v>200200</v>
      </c>
      <c r="AT38" s="95">
        <f>SUM(AT7:AT37)</f>
        <v>193375</v>
      </c>
      <c r="AU38" s="90">
        <f>IF(AT38&gt;0,SUM(AT$7:AT38)-SUM(AS$7:AS38),0)</f>
        <v>-13650</v>
      </c>
      <c r="AV38" s="96">
        <f t="shared" si="23"/>
        <v>0.96590909090909094</v>
      </c>
      <c r="AW38" s="78">
        <f>SUM(AW7:AW37)</f>
        <v>195207</v>
      </c>
      <c r="AX38" s="78">
        <f>SUM(AX7:AX37)</f>
        <v>149145</v>
      </c>
      <c r="AY38" s="78">
        <f>AX38-AW38</f>
        <v>-46062</v>
      </c>
      <c r="AZ38" s="53">
        <f t="shared" si="31"/>
        <v>0.7640351012002643</v>
      </c>
      <c r="BA38" s="58">
        <f t="shared" si="4"/>
        <v>595607</v>
      </c>
      <c r="BB38" s="58">
        <f>IF(SUM(AP38,AT38,AX38)&gt;0,SUM(AP38,AT38,AX38),0)</f>
        <v>522778</v>
      </c>
      <c r="BC38" s="58">
        <f>BB38-BA38</f>
        <v>-72829</v>
      </c>
      <c r="BD38" s="53">
        <f t="shared" si="24"/>
        <v>0.87772306235487496</v>
      </c>
      <c r="BF38" s="46" t="s">
        <v>17</v>
      </c>
      <c r="BG38" s="63"/>
      <c r="BH38" s="75">
        <f>SUM(BH7:BH37)</f>
        <v>473200</v>
      </c>
      <c r="BI38" s="78">
        <f>SUM(BI7:BI37)</f>
        <v>325402</v>
      </c>
      <c r="BJ38" s="78">
        <f>BI38-BH38</f>
        <v>-147798</v>
      </c>
      <c r="BK38" s="53">
        <f t="shared" si="26"/>
        <v>0.68766272189349109</v>
      </c>
      <c r="BL38" s="78">
        <f>SUM(BL7:BL37)</f>
        <v>208000</v>
      </c>
      <c r="BM38" s="78">
        <f>SUM(BM7:BM37)</f>
        <v>171884</v>
      </c>
      <c r="BN38" s="78">
        <f>BM38-BL38</f>
        <v>-36116</v>
      </c>
      <c r="BO38" s="53">
        <f t="shared" si="27"/>
        <v>0.82636538461538467</v>
      </c>
      <c r="BP38" s="78">
        <f>SUM(BP7:BP37)</f>
        <v>286000</v>
      </c>
      <c r="BQ38" s="78">
        <f>SUM(BQ7:BQ37)</f>
        <v>214020</v>
      </c>
      <c r="BR38" s="78">
        <f>BQ38-BP38</f>
        <v>-71980</v>
      </c>
      <c r="BS38" s="53">
        <f t="shared" si="32"/>
        <v>0.74832167832167829</v>
      </c>
      <c r="BT38" s="58">
        <f t="shared" si="5"/>
        <v>967200</v>
      </c>
      <c r="BU38" s="58">
        <f t="shared" si="5"/>
        <v>711306</v>
      </c>
      <c r="BV38" s="58">
        <f>BU38-BT38</f>
        <v>-255894</v>
      </c>
      <c r="BW38" s="53">
        <f t="shared" si="28"/>
        <v>0.73542803970223325</v>
      </c>
      <c r="BY38" s="46" t="s">
        <v>17</v>
      </c>
      <c r="BZ38" s="63"/>
      <c r="CA38" s="78">
        <f>SUM(CA7:CA37)</f>
        <v>130000</v>
      </c>
      <c r="CB38" s="78">
        <f>SUM(CB7:CB37)</f>
        <v>98863</v>
      </c>
      <c r="CC38" s="90">
        <f>CB38-CA38</f>
        <v>-31137</v>
      </c>
      <c r="CD38" s="53">
        <f t="shared" si="30"/>
        <v>0.76048461538461543</v>
      </c>
    </row>
    <row r="39" spans="1:82" x14ac:dyDescent="0.25">
      <c r="O39" s="97">
        <f>SUM(O38/0.7)</f>
        <v>1437428.5714285716</v>
      </c>
      <c r="P39" s="97">
        <f>SUM(P38/0.7)</f>
        <v>1090977.142857143</v>
      </c>
      <c r="AH39" s="97">
        <f>SUM(AH38/0.74)</f>
        <v>1300702.7027027027</v>
      </c>
      <c r="AI39" s="97">
        <f>SUM(AI38/0.7)</f>
        <v>1064852.8571428573</v>
      </c>
      <c r="AU39" s="94"/>
      <c r="BA39" s="97">
        <f>SUM(BA38/0.7)</f>
        <v>850867.14285714296</v>
      </c>
      <c r="BB39" s="97">
        <f>SUM(BB38/0.7)</f>
        <v>746825.71428571432</v>
      </c>
      <c r="BT39" s="97">
        <f>SUM(BT38/0.74)</f>
        <v>1307027.027027027</v>
      </c>
      <c r="BU39" s="97">
        <f>SUM(BU38/0.7)</f>
        <v>1016151.4285714286</v>
      </c>
      <c r="CA39" s="97">
        <f>SUM(CA38/0.74)</f>
        <v>175675.67567567568</v>
      </c>
      <c r="CB39" s="97">
        <f>SUM(CB38/0.7)</f>
        <v>141232.85714285716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</mergeCells>
  <conditionalFormatting sqref="D8">
    <cfRule type="top10" dxfId="865" priority="2093" rank="1"/>
  </conditionalFormatting>
  <conditionalFormatting sqref="D7:E37">
    <cfRule type="top10" dxfId="864" priority="2136" rank="1"/>
  </conditionalFormatting>
  <conditionalFormatting sqref="H7:H37">
    <cfRule type="top10" dxfId="863" priority="2135" rank="1"/>
  </conditionalFormatting>
  <conditionalFormatting sqref="H8">
    <cfRule type="top10" dxfId="862" priority="2092" rank="1"/>
  </conditionalFormatting>
  <conditionalFormatting sqref="H16">
    <cfRule type="top10" dxfId="861" priority="2133" rank="1"/>
  </conditionalFormatting>
  <conditionalFormatting sqref="H32">
    <cfRule type="top10" dxfId="860" priority="1923" rank="1"/>
  </conditionalFormatting>
  <conditionalFormatting sqref="L7:L37">
    <cfRule type="top10" dxfId="859" priority="1988" rank="1"/>
  </conditionalFormatting>
  <conditionalFormatting sqref="L8">
    <cfRule type="top10" dxfId="858" priority="1987" rank="1"/>
  </conditionalFormatting>
  <conditionalFormatting sqref="P7:Q37">
    <cfRule type="top10" dxfId="857" priority="2134" rank="1"/>
  </conditionalFormatting>
  <conditionalFormatting sqref="W7:W37">
    <cfRule type="top10" dxfId="856" priority="1986" rank="1"/>
  </conditionalFormatting>
  <conditionalFormatting sqref="W8">
    <cfRule type="top10" dxfId="855" priority="1985" rank="1"/>
  </conditionalFormatting>
  <conditionalFormatting sqref="X7:X37">
    <cfRule type="top10" dxfId="854" priority="2132" rank="1"/>
  </conditionalFormatting>
  <conditionalFormatting sqref="AA7:AA23 AA25:AA37">
    <cfRule type="top10" dxfId="853" priority="1984" rank="1"/>
  </conditionalFormatting>
  <conditionalFormatting sqref="AA8">
    <cfRule type="top10" dxfId="852" priority="1983" rank="1"/>
  </conditionalFormatting>
  <conditionalFormatting sqref="AA24">
    <cfRule type="top10" dxfId="851" priority="1966" rank="1"/>
  </conditionalFormatting>
  <conditionalFormatting sqref="AE7:AE37">
    <cfRule type="top10" dxfId="850" priority="1968" rank="1"/>
  </conditionalFormatting>
  <conditionalFormatting sqref="AE8">
    <cfRule type="top10" dxfId="849" priority="1967" rank="1"/>
  </conditionalFormatting>
  <conditionalFormatting sqref="AI7:AJ37">
    <cfRule type="top10" dxfId="848" priority="2131" rank="1"/>
  </conditionalFormatting>
  <conditionalFormatting sqref="AP7:AP37">
    <cfRule type="top10" dxfId="847" priority="1974" rank="1"/>
  </conditionalFormatting>
  <conditionalFormatting sqref="AP8">
    <cfRule type="top10" dxfId="846" priority="1973" rank="1"/>
  </conditionalFormatting>
  <conditionalFormatting sqref="AQ7:AQ37">
    <cfRule type="top10" dxfId="845" priority="2130" rank="1"/>
  </conditionalFormatting>
  <conditionalFormatting sqref="AT7:AT37">
    <cfRule type="top10" dxfId="844" priority="1972" rank="1"/>
  </conditionalFormatting>
  <conditionalFormatting sqref="AT8">
    <cfRule type="top10" dxfId="843" priority="1971" rank="1"/>
  </conditionalFormatting>
  <conditionalFormatting sqref="AX7:AX37">
    <cfRule type="top10" dxfId="842" priority="1970" rank="1"/>
  </conditionalFormatting>
  <conditionalFormatting sqref="AX8">
    <cfRule type="top10" dxfId="841" priority="1969" rank="1"/>
  </conditionalFormatting>
  <conditionalFormatting sqref="BB7:BC37">
    <cfRule type="top10" dxfId="840" priority="2129" rank="1"/>
  </conditionalFormatting>
  <conditionalFormatting sqref="BH7:BH38">
    <cfRule type="top10" dxfId="839" priority="2126" rank="1"/>
  </conditionalFormatting>
  <conditionalFormatting sqref="BI7:BI37">
    <cfRule type="top10" dxfId="838" priority="1982" rank="1"/>
  </conditionalFormatting>
  <conditionalFormatting sqref="BI8">
    <cfRule type="top10" dxfId="837" priority="1981" rank="1"/>
  </conditionalFormatting>
  <conditionalFormatting sqref="BJ7:BJ37">
    <cfRule type="top10" dxfId="836" priority="2128" rank="1"/>
  </conditionalFormatting>
  <conditionalFormatting sqref="BL10">
    <cfRule type="top10" dxfId="835" priority="1631" rank="1"/>
  </conditionalFormatting>
  <conditionalFormatting sqref="BL11:BL17">
    <cfRule type="top10" dxfId="834" priority="2091" rank="1"/>
  </conditionalFormatting>
  <conditionalFormatting sqref="BL12:BL17">
    <cfRule type="top10" dxfId="833" priority="2117" rank="1"/>
  </conditionalFormatting>
  <conditionalFormatting sqref="BL13:BL17">
    <cfRule type="top10" dxfId="832" priority="2086" rank="1"/>
  </conditionalFormatting>
  <conditionalFormatting sqref="BL14">
    <cfRule type="top10" dxfId="831" priority="2106" rank="1"/>
  </conditionalFormatting>
  <conditionalFormatting sqref="BL14:BL17">
    <cfRule type="top10" dxfId="830" priority="2097" rank="1"/>
  </conditionalFormatting>
  <conditionalFormatting sqref="BL16:BL26">
    <cfRule type="top10" dxfId="829" priority="2113" rank="1"/>
  </conditionalFormatting>
  <conditionalFormatting sqref="BL17">
    <cfRule type="top10" dxfId="828" priority="1630" rank="1"/>
  </conditionalFormatting>
  <conditionalFormatting sqref="BL17:BL26">
    <cfRule type="top10" dxfId="827" priority="2080" rank="1"/>
  </conditionalFormatting>
  <conditionalFormatting sqref="BL18">
    <cfRule type="top10" dxfId="826" priority="2006" rank="1"/>
    <cfRule type="top10" dxfId="825" priority="2005" rank="1"/>
  </conditionalFormatting>
  <conditionalFormatting sqref="BL18:BL19">
    <cfRule type="top10" dxfId="824" priority="1948" rank="1"/>
    <cfRule type="top10" dxfId="823" priority="1945" rank="1"/>
    <cfRule type="top10" dxfId="822" priority="1946" rank="1"/>
    <cfRule type="top10" dxfId="821" priority="1947" rank="1"/>
  </conditionalFormatting>
  <conditionalFormatting sqref="BL18:BL26">
    <cfRule type="top10" dxfId="820" priority="2090" rank="1"/>
  </conditionalFormatting>
  <conditionalFormatting sqref="BL19">
    <cfRule type="top10" dxfId="819" priority="1912" rank="1"/>
    <cfRule type="top10" dxfId="818" priority="1911" rank="1"/>
    <cfRule type="top10" dxfId="817" priority="1909" rank="1"/>
    <cfRule type="top10" dxfId="816" priority="1910" rank="1"/>
  </conditionalFormatting>
  <conditionalFormatting sqref="BL19:BL26">
    <cfRule type="top10" dxfId="815" priority="2116" rank="1"/>
  </conditionalFormatting>
  <conditionalFormatting sqref="BL20:BL23">
    <cfRule type="top10" dxfId="814" priority="2074" rank="1"/>
  </conditionalFormatting>
  <conditionalFormatting sqref="BL20:BL24">
    <cfRule type="top10" dxfId="813" priority="2070" rank="1"/>
  </conditionalFormatting>
  <conditionalFormatting sqref="BL20:BL26">
    <cfRule type="top10" dxfId="812" priority="2085" rank="1"/>
  </conditionalFormatting>
  <conditionalFormatting sqref="BL21:BL26">
    <cfRule type="top10" dxfId="811" priority="2096" rank="1"/>
  </conditionalFormatting>
  <conditionalFormatting sqref="BL22:BL24">
    <cfRule type="top10" dxfId="810" priority="2026" rank="1"/>
    <cfRule type="top10" dxfId="809" priority="2027" rank="1"/>
    <cfRule type="top10" dxfId="808" priority="2029" rank="1"/>
    <cfRule type="top10" dxfId="807" priority="2028" rank="1"/>
    <cfRule type="top10" dxfId="806" priority="2030" rank="1"/>
  </conditionalFormatting>
  <conditionalFormatting sqref="BL22:BL26">
    <cfRule type="top10" dxfId="805" priority="2089" rank="1"/>
  </conditionalFormatting>
  <conditionalFormatting sqref="BL23:BL31">
    <cfRule type="top10" dxfId="804" priority="2112" rank="1"/>
  </conditionalFormatting>
  <conditionalFormatting sqref="BL24">
    <cfRule type="top10" dxfId="803" priority="1629" rank="1"/>
  </conditionalFormatting>
  <conditionalFormatting sqref="BL24:BL33">
    <cfRule type="top10" dxfId="802" priority="2079" rank="1"/>
  </conditionalFormatting>
  <conditionalFormatting sqref="BL25">
    <cfRule type="top10" dxfId="801" priority="2004" rank="1"/>
    <cfRule type="top10" dxfId="800" priority="2003" rank="1"/>
  </conditionalFormatting>
  <conditionalFormatting sqref="BL25:BL31">
    <cfRule type="top10" dxfId="799" priority="2066" rank="1"/>
  </conditionalFormatting>
  <conditionalFormatting sqref="BL25:BL33">
    <cfRule type="top10" dxfId="798" priority="2088" rank="1"/>
  </conditionalFormatting>
  <conditionalFormatting sqref="BL26">
    <cfRule type="top10" dxfId="797" priority="2021" rank="1"/>
    <cfRule type="top10" dxfId="796" priority="2022" rank="1"/>
    <cfRule type="top10" dxfId="795" priority="2025" rank="1"/>
    <cfRule type="top10" dxfId="794" priority="2024" rank="1"/>
    <cfRule type="top10" dxfId="793" priority="2023" rank="1"/>
  </conditionalFormatting>
  <conditionalFormatting sqref="BL26:BL34">
    <cfRule type="top10" dxfId="792" priority="2115" rank="1"/>
  </conditionalFormatting>
  <conditionalFormatting sqref="BL27">
    <cfRule type="top10" dxfId="791" priority="1958" rank="1"/>
    <cfRule type="top10" dxfId="790" priority="1964" rank="1"/>
    <cfRule type="top10" dxfId="789" priority="1963" rank="1"/>
    <cfRule type="top10" dxfId="788" priority="1961" rank="1"/>
    <cfRule type="top10" dxfId="787" priority="1962" rank="1"/>
    <cfRule type="top10" dxfId="786" priority="1957" rank="1"/>
    <cfRule type="top10" dxfId="785" priority="1956" rank="1"/>
    <cfRule type="top10" dxfId="784" priority="1955" rank="1"/>
    <cfRule type="top10" dxfId="783" priority="1954" rank="1"/>
    <cfRule type="top10" dxfId="782" priority="1960" rank="1"/>
    <cfRule type="top10" dxfId="781" priority="1959" rank="1"/>
    <cfRule type="top10" dxfId="780" priority="1927" rank="1"/>
    <cfRule type="top10" dxfId="779" priority="1965" rank="1"/>
  </conditionalFormatting>
  <conditionalFormatting sqref="BL27:BL31">
    <cfRule type="top10" dxfId="778" priority="2069" rank="1"/>
  </conditionalFormatting>
  <conditionalFormatting sqref="BL27:BL34">
    <cfRule type="top10" dxfId="777" priority="2095" rank="1"/>
  </conditionalFormatting>
  <conditionalFormatting sqref="BL28:BL31">
    <cfRule type="top10" dxfId="776" priority="2104" rank="1"/>
  </conditionalFormatting>
  <conditionalFormatting sqref="BL29:BL33">
    <cfRule type="top10" dxfId="775" priority="2020" rank="1"/>
    <cfRule type="top10" dxfId="774" priority="2034" rank="1"/>
    <cfRule type="top10" dxfId="773" priority="2018" rank="1"/>
    <cfRule type="top10" dxfId="772" priority="2017" rank="1"/>
    <cfRule type="top10" dxfId="771" priority="2014" rank="1"/>
    <cfRule type="top10" dxfId="770" priority="2019" rank="1"/>
    <cfRule type="top10" dxfId="769" priority="2015" rank="1"/>
    <cfRule type="top10" dxfId="768" priority="2016" rank="1"/>
  </conditionalFormatting>
  <conditionalFormatting sqref="BL30:BL35">
    <cfRule type="top10" dxfId="767" priority="2111" rank="1"/>
  </conditionalFormatting>
  <conditionalFormatting sqref="BL31">
    <cfRule type="top10" dxfId="766" priority="1628" rank="1"/>
  </conditionalFormatting>
  <conditionalFormatting sqref="BL31:BL34">
    <cfRule type="top10" dxfId="765" priority="2078" rank="1"/>
  </conditionalFormatting>
  <conditionalFormatting sqref="BL31:BL35">
    <cfRule type="top10" dxfId="764" priority="2065" rank="1"/>
  </conditionalFormatting>
  <conditionalFormatting sqref="BL32">
    <cfRule type="top10" dxfId="763" priority="2002" rank="1"/>
    <cfRule type="top10" dxfId="762" priority="2001" rank="1"/>
  </conditionalFormatting>
  <conditionalFormatting sqref="BL32:BL37">
    <cfRule type="top10" dxfId="761" priority="2087" rank="1"/>
  </conditionalFormatting>
  <conditionalFormatting sqref="BL33:BL37">
    <cfRule type="top10" dxfId="760" priority="2114" rank="1"/>
  </conditionalFormatting>
  <conditionalFormatting sqref="BL34:BL37">
    <cfRule type="top10" dxfId="759" priority="2094" rank="1"/>
  </conditionalFormatting>
  <conditionalFormatting sqref="BL35">
    <cfRule type="top10" dxfId="758" priority="2102" rank="1"/>
  </conditionalFormatting>
  <conditionalFormatting sqref="BL36">
    <cfRule type="top10" dxfId="757" priority="2033" rank="1"/>
    <cfRule type="top10" dxfId="756" priority="2012" rank="1"/>
    <cfRule type="top10" dxfId="755" priority="2013" rank="1"/>
    <cfRule type="top10" dxfId="754" priority="2010" rank="1"/>
    <cfRule type="top10" dxfId="753" priority="2011" rank="1"/>
    <cfRule type="top10" dxfId="752" priority="2009" rank="1"/>
    <cfRule type="top10" dxfId="751" priority="2008" rank="1"/>
    <cfRule type="top10" dxfId="750" priority="2007" rank="1"/>
  </conditionalFormatting>
  <conditionalFormatting sqref="BL37">
    <cfRule type="top10" dxfId="749" priority="1937" rank="1"/>
    <cfRule type="top10" dxfId="748" priority="1936" rank="1"/>
    <cfRule type="top10" dxfId="747" priority="1935" rank="1"/>
    <cfRule type="top10" dxfId="746" priority="1930" rank="1"/>
    <cfRule type="top10" dxfId="745" priority="1931" rank="1"/>
    <cfRule type="top10" dxfId="744" priority="1932" rank="1"/>
    <cfRule type="top10" dxfId="743" priority="1933" rank="1"/>
    <cfRule type="top10" dxfId="742" priority="1934" rank="1"/>
  </conditionalFormatting>
  <conditionalFormatting sqref="BL33:BM37 BL7:BL32">
    <cfRule type="top10" dxfId="741" priority="2081" rank="1"/>
    <cfRule type="top10" dxfId="740" priority="2125" rank="1"/>
    <cfRule type="top10" dxfId="739" priority="2067" rank="1"/>
  </conditionalFormatting>
  <conditionalFormatting sqref="BM7:BM37">
    <cfRule type="top10" dxfId="738" priority="1980" rank="1"/>
  </conditionalFormatting>
  <conditionalFormatting sqref="BM8">
    <cfRule type="top10" dxfId="737" priority="1979" rank="1"/>
  </conditionalFormatting>
  <conditionalFormatting sqref="BP7:BP37">
    <cfRule type="top10" dxfId="736" priority="2035" rank="1"/>
    <cfRule type="top10" dxfId="735" priority="2123" rank="1"/>
    <cfRule type="top10" dxfId="734" priority="2124" rank="1"/>
    <cfRule type="top10" dxfId="733" priority="2045" rank="1"/>
    <cfRule type="top10" dxfId="732" priority="2048" rank="1"/>
    <cfRule type="top10" dxfId="731" priority="2060" rank="1"/>
    <cfRule type="top10" dxfId="730" priority="2110" rank="1"/>
    <cfRule type="top10" dxfId="729" priority="1014" rank="1"/>
    <cfRule type="top10" dxfId="728" priority="1015" rank="1"/>
    <cfRule type="top10" dxfId="727" priority="1632" rank="1"/>
    <cfRule type="top10" dxfId="726" priority="1633" rank="1"/>
    <cfRule type="top10" dxfId="725" priority="1634" rank="1"/>
    <cfRule type="top10" dxfId="724" priority="1013" rank="1"/>
  </conditionalFormatting>
  <conditionalFormatting sqref="BP10">
    <cfRule type="top10" dxfId="723" priority="1627" rank="1"/>
  </conditionalFormatting>
  <conditionalFormatting sqref="BP11:BP17">
    <cfRule type="top10" dxfId="722" priority="2055" rank="1"/>
  </conditionalFormatting>
  <conditionalFormatting sqref="BP12:BP17">
    <cfRule type="top10" dxfId="721" priority="2063" rank="1"/>
  </conditionalFormatting>
  <conditionalFormatting sqref="BP12:BP24">
    <cfRule type="top10" dxfId="720" priority="2121" rank="1"/>
  </conditionalFormatting>
  <conditionalFormatting sqref="BP13:BP14">
    <cfRule type="top10" dxfId="719" priority="2071" rank="1"/>
  </conditionalFormatting>
  <conditionalFormatting sqref="BP13:BP17">
    <cfRule type="top10" dxfId="718" priority="2050" rank="1"/>
  </conditionalFormatting>
  <conditionalFormatting sqref="BP13:BP24">
    <cfRule type="top10" dxfId="717" priority="2084" rank="1"/>
  </conditionalFormatting>
  <conditionalFormatting sqref="BP14">
    <cfRule type="top10" dxfId="716" priority="2105" rank="1"/>
  </conditionalFormatting>
  <conditionalFormatting sqref="BP14:BP17">
    <cfRule type="top10" dxfId="715" priority="2058" rank="1"/>
  </conditionalFormatting>
  <conditionalFormatting sqref="BP16:BP18 BP20:BP21">
    <cfRule type="top10" dxfId="714" priority="2109" rank="1"/>
  </conditionalFormatting>
  <conditionalFormatting sqref="BP16:BP21">
    <cfRule type="top10" dxfId="713" priority="2059" rank="1"/>
  </conditionalFormatting>
  <conditionalFormatting sqref="BP16:BP23">
    <cfRule type="top10" dxfId="712" priority="2041" rank="1"/>
  </conditionalFormatting>
  <conditionalFormatting sqref="BP17">
    <cfRule type="top10" dxfId="711" priority="1626" rank="1"/>
  </conditionalFormatting>
  <conditionalFormatting sqref="BP17:BP18 BP20:BP21">
    <cfRule type="top10" dxfId="710" priority="2077" rank="1"/>
  </conditionalFormatting>
  <conditionalFormatting sqref="BP17:BP20">
    <cfRule type="top10" dxfId="709" priority="2044" rank="1"/>
  </conditionalFormatting>
  <conditionalFormatting sqref="BP17:BP21">
    <cfRule type="top10" dxfId="708" priority="2047" rank="1"/>
  </conditionalFormatting>
  <conditionalFormatting sqref="BP17:BP23">
    <cfRule type="top10" dxfId="707" priority="2037" rank="1"/>
  </conditionalFormatting>
  <conditionalFormatting sqref="BP18">
    <cfRule type="top10" dxfId="706" priority="1998" rank="1"/>
    <cfRule type="top10" dxfId="705" priority="2000" rank="1"/>
    <cfRule type="top10" dxfId="704" priority="1997" rank="1"/>
    <cfRule type="top10" dxfId="703" priority="1999" rank="1"/>
  </conditionalFormatting>
  <conditionalFormatting sqref="BP18:BP19">
    <cfRule type="top10" dxfId="702" priority="1941" rank="1"/>
    <cfRule type="top10" dxfId="701" priority="1942" rank="1"/>
    <cfRule type="top10" dxfId="700" priority="1944" rank="1"/>
    <cfRule type="top10" dxfId="699" priority="1943" rank="1"/>
  </conditionalFormatting>
  <conditionalFormatting sqref="BP18:BP20">
    <cfRule type="top10" dxfId="698" priority="2054" rank="1"/>
  </conditionalFormatting>
  <conditionalFormatting sqref="BP18:BP23">
    <cfRule type="top10" dxfId="697" priority="2038" rank="1"/>
  </conditionalFormatting>
  <conditionalFormatting sqref="BP19">
    <cfRule type="top10" dxfId="696" priority="1908" rank="1"/>
    <cfRule type="top10" dxfId="695" priority="1907" rank="1"/>
    <cfRule type="top10" dxfId="694" priority="1902" rank="1"/>
    <cfRule type="top10" dxfId="693" priority="1903" rank="1"/>
    <cfRule type="top10" dxfId="692" priority="1904" rank="1"/>
    <cfRule type="top10" dxfId="691" priority="1906" rank="1"/>
    <cfRule type="top10" dxfId="690" priority="1905" rank="1"/>
  </conditionalFormatting>
  <conditionalFormatting sqref="BP19:BP23">
    <cfRule type="top10" dxfId="689" priority="2064" rank="1"/>
  </conditionalFormatting>
  <conditionalFormatting sqref="BP19:BP26">
    <cfRule type="top10" dxfId="688" priority="2062" rank="1"/>
  </conditionalFormatting>
  <conditionalFormatting sqref="BP20:BP21">
    <cfRule type="top10" dxfId="687" priority="2072" rank="1"/>
  </conditionalFormatting>
  <conditionalFormatting sqref="BP20:BP23">
    <cfRule type="top10" dxfId="686" priority="2036" rank="1"/>
  </conditionalFormatting>
  <conditionalFormatting sqref="BP20:BP24">
    <cfRule type="top10" dxfId="685" priority="2120" rank="1"/>
  </conditionalFormatting>
  <conditionalFormatting sqref="BP20:BP26">
    <cfRule type="top10" dxfId="684" priority="2049" rank="1"/>
  </conditionalFormatting>
  <conditionalFormatting sqref="BP21:BP26">
    <cfRule type="top10" dxfId="683" priority="2057" rank="1"/>
  </conditionalFormatting>
  <conditionalFormatting sqref="BP22:BP26">
    <cfRule type="top10" dxfId="682" priority="2053" rank="1"/>
  </conditionalFormatting>
  <conditionalFormatting sqref="BP23:BP28">
    <cfRule type="top10" dxfId="681" priority="2108" rank="1"/>
  </conditionalFormatting>
  <conditionalFormatting sqref="BP23:BP33">
    <cfRule type="top10" dxfId="680" priority="2040" rank="1"/>
  </conditionalFormatting>
  <conditionalFormatting sqref="BP24">
    <cfRule type="top10" dxfId="679" priority="1625" rank="1"/>
  </conditionalFormatting>
  <conditionalFormatting sqref="BP24:BP28">
    <cfRule type="top10" dxfId="678" priority="2076" rank="1"/>
  </conditionalFormatting>
  <conditionalFormatting sqref="BP24:BP33">
    <cfRule type="top10" dxfId="677" priority="2046" rank="1"/>
  </conditionalFormatting>
  <conditionalFormatting sqref="BP25">
    <cfRule type="top10" dxfId="676" priority="1996" rank="1"/>
    <cfRule type="top10" dxfId="675" priority="1995" rank="1"/>
    <cfRule type="top10" dxfId="674" priority="1994" rank="1"/>
    <cfRule type="top10" dxfId="673" priority="1993" rank="1"/>
  </conditionalFormatting>
  <conditionalFormatting sqref="BP25:BP28">
    <cfRule type="top10" dxfId="672" priority="2043" rank="1"/>
  </conditionalFormatting>
  <conditionalFormatting sqref="BP25:BP33">
    <cfRule type="top10" dxfId="671" priority="2052" rank="1"/>
  </conditionalFormatting>
  <conditionalFormatting sqref="BP26">
    <cfRule type="top10" dxfId="670" priority="2099" rank="1"/>
  </conditionalFormatting>
  <conditionalFormatting sqref="BP26:BP33">
    <cfRule type="top10" dxfId="669" priority="2119" rank="1"/>
  </conditionalFormatting>
  <conditionalFormatting sqref="BP26:BP34">
    <cfRule type="top10" dxfId="668" priority="2061" rank="1"/>
  </conditionalFormatting>
  <conditionalFormatting sqref="BP27">
    <cfRule type="top10" dxfId="667" priority="1926" rank="1"/>
    <cfRule type="top10" dxfId="666" priority="1925" rank="1"/>
    <cfRule type="top10" dxfId="665" priority="1949" rank="1"/>
    <cfRule type="top10" dxfId="664" priority="1950" rank="1"/>
    <cfRule type="top10" dxfId="663" priority="1952" rank="1"/>
    <cfRule type="top10" dxfId="662" priority="1953" rank="1"/>
    <cfRule type="top10" dxfId="661" priority="1951" rank="1"/>
  </conditionalFormatting>
  <conditionalFormatting sqref="BP27:BP28">
    <cfRule type="top10" dxfId="660" priority="2073" rank="1"/>
  </conditionalFormatting>
  <conditionalFormatting sqref="BP27:BP32">
    <cfRule type="top10" dxfId="659" priority="2068" rank="1"/>
  </conditionalFormatting>
  <conditionalFormatting sqref="BP27:BP33">
    <cfRule type="top10" dxfId="658" priority="2083" rank="1"/>
  </conditionalFormatting>
  <conditionalFormatting sqref="BP27:BP34">
    <cfRule type="top10" dxfId="657" priority="2056" rank="1"/>
  </conditionalFormatting>
  <conditionalFormatting sqref="BP28">
    <cfRule type="top10" dxfId="656" priority="2103" rank="1"/>
  </conditionalFormatting>
  <conditionalFormatting sqref="BP28:BP32">
    <cfRule type="top10" dxfId="655" priority="2039" rank="1"/>
  </conditionalFormatting>
  <conditionalFormatting sqref="BP29:BP33">
    <cfRule type="top10" dxfId="654" priority="2032" rank="1"/>
  </conditionalFormatting>
  <conditionalFormatting sqref="BP30:BP35">
    <cfRule type="top10" dxfId="653" priority="2107" rank="1"/>
  </conditionalFormatting>
  <conditionalFormatting sqref="BP31:BP32">
    <cfRule type="top10" dxfId="652" priority="1624" rank="1"/>
  </conditionalFormatting>
  <conditionalFormatting sqref="BP31:BP34">
    <cfRule type="top10" dxfId="651" priority="2075" rank="1"/>
  </conditionalFormatting>
  <conditionalFormatting sqref="BP31:BP35">
    <cfRule type="top10" dxfId="650" priority="2042" rank="1"/>
  </conditionalFormatting>
  <conditionalFormatting sqref="BP32">
    <cfRule type="top10" dxfId="649" priority="1990" rank="1"/>
    <cfRule type="top10" dxfId="648" priority="1991" rank="1"/>
    <cfRule type="top10" dxfId="647" priority="1989" rank="1"/>
    <cfRule type="top10" dxfId="646" priority="1992" rank="1"/>
  </conditionalFormatting>
  <conditionalFormatting sqref="BP32:BP37">
    <cfRule type="top10" dxfId="645" priority="2051" rank="1"/>
  </conditionalFormatting>
  <conditionalFormatting sqref="BP33">
    <cfRule type="top10" dxfId="644" priority="2098" rank="1"/>
  </conditionalFormatting>
  <conditionalFormatting sqref="BP33:BP37">
    <cfRule type="top10" dxfId="643" priority="2118" rank="1"/>
  </conditionalFormatting>
  <conditionalFormatting sqref="BP34:BP37">
    <cfRule type="top10" dxfId="642" priority="2082" rank="1"/>
  </conditionalFormatting>
  <conditionalFormatting sqref="BP35">
    <cfRule type="top10" dxfId="641" priority="2101" rank="1"/>
  </conditionalFormatting>
  <conditionalFormatting sqref="BP36">
    <cfRule type="top10" dxfId="640" priority="2031" rank="1"/>
  </conditionalFormatting>
  <conditionalFormatting sqref="BP37">
    <cfRule type="top10" dxfId="639" priority="2100" rank="1"/>
    <cfRule type="top10" dxfId="638" priority="1929" rank="1"/>
  </conditionalFormatting>
  <conditionalFormatting sqref="BQ7:BQ37">
    <cfRule type="top10" dxfId="637" priority="1978" rank="1"/>
  </conditionalFormatting>
  <conditionalFormatting sqref="BQ8">
    <cfRule type="top10" dxfId="636" priority="1977" rank="1"/>
  </conditionalFormatting>
  <conditionalFormatting sqref="BU7:BV37">
    <cfRule type="top10" dxfId="635" priority="2127" rank="1"/>
  </conditionalFormatting>
  <conditionalFormatting sqref="CB7:CB37">
    <cfRule type="top10" dxfId="634" priority="1976" rank="1"/>
  </conditionalFormatting>
  <conditionalFormatting sqref="CB8">
    <cfRule type="top10" dxfId="633" priority="1975" rank="1"/>
  </conditionalFormatting>
  <conditionalFormatting sqref="CC7:CC38">
    <cfRule type="top10" dxfId="632" priority="2122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Plan160">
    <tabColor rgb="FF92D050"/>
  </sheetPr>
  <dimension ref="A1:V34"/>
  <sheetViews>
    <sheetView zoomScale="80" zoomScaleNormal="80" workbookViewId="0">
      <selection activeCell="R19" sqref="R19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43132</v>
      </c>
      <c r="C5" s="24">
        <v>47555</v>
      </c>
      <c r="D5" s="85">
        <f>SUM(C5:C5)-(F5*1)</f>
        <v>1721.6666666666642</v>
      </c>
      <c r="E5" s="24">
        <f>C5/1</f>
        <v>47555</v>
      </c>
      <c r="F5" s="30">
        <f t="shared" ref="F5:F28" si="0">$F$29/$G$28</f>
        <v>45833.333333333336</v>
      </c>
      <c r="G5" s="20">
        <v>1</v>
      </c>
      <c r="H5" s="89">
        <v>43132</v>
      </c>
      <c r="I5" s="12">
        <v>33162</v>
      </c>
      <c r="J5" s="10">
        <f>SUM(I5:I5)-(L5*G5)</f>
        <v>8162</v>
      </c>
      <c r="K5" s="10">
        <f>I5/1</f>
        <v>33162</v>
      </c>
      <c r="L5" s="10">
        <f t="shared" ref="L5:L28" si="1">$L$29/$G$28</f>
        <v>25000</v>
      </c>
    </row>
    <row r="6" spans="2:22" ht="20.100000000000001" customHeight="1" x14ac:dyDescent="0.2">
      <c r="B6" s="89">
        <v>43133</v>
      </c>
      <c r="C6" s="26">
        <v>44650</v>
      </c>
      <c r="D6" s="85">
        <f>SUM(C$5:C6)-(F6*G6)</f>
        <v>538.33333333332848</v>
      </c>
      <c r="E6" s="24">
        <f>SUM(C$5:C6)/G6</f>
        <v>46102.5</v>
      </c>
      <c r="F6" s="30">
        <f t="shared" si="0"/>
        <v>45833.333333333336</v>
      </c>
      <c r="G6" s="20">
        <v>2</v>
      </c>
      <c r="H6" s="89">
        <v>43133</v>
      </c>
      <c r="I6" s="21">
        <v>30308</v>
      </c>
      <c r="J6" s="85">
        <f>SUM(I$5:I6)-(L6*G6)</f>
        <v>13470</v>
      </c>
      <c r="K6" s="10">
        <f>SUM(I$5:I6)/G6</f>
        <v>31735</v>
      </c>
      <c r="L6" s="10">
        <f t="shared" si="1"/>
        <v>25000</v>
      </c>
    </row>
    <row r="7" spans="2:22" ht="20.100000000000001" customHeight="1" x14ac:dyDescent="0.2">
      <c r="B7" s="89">
        <v>43134</v>
      </c>
      <c r="C7" s="24">
        <v>49863</v>
      </c>
      <c r="D7" s="85">
        <f>SUM(C$5:C7)-(F7*G7)</f>
        <v>4568</v>
      </c>
      <c r="E7" s="24">
        <f>SUM(C$5:C7)/G7</f>
        <v>47356</v>
      </c>
      <c r="F7" s="30">
        <f t="shared" si="0"/>
        <v>45833.333333333336</v>
      </c>
      <c r="G7" s="20">
        <v>3</v>
      </c>
      <c r="H7" s="89">
        <v>43134</v>
      </c>
      <c r="I7" s="21">
        <v>20018</v>
      </c>
      <c r="J7" s="85">
        <f>SUM(I$5:I7)-(L7*G7)</f>
        <v>8488</v>
      </c>
      <c r="K7" s="10">
        <f>SUM(I$5:I7)/G7</f>
        <v>27829.333333333332</v>
      </c>
      <c r="L7" s="10">
        <f t="shared" si="1"/>
        <v>25000</v>
      </c>
    </row>
    <row r="8" spans="2:22" ht="19.5" customHeight="1" x14ac:dyDescent="0.2">
      <c r="B8" s="89">
        <v>43136</v>
      </c>
      <c r="C8" s="24">
        <v>53493</v>
      </c>
      <c r="D8" s="85">
        <f>SUM(C$5:C8)-(F8*G8)</f>
        <v>12227.666666666657</v>
      </c>
      <c r="E8" s="24">
        <f>SUM(C$5:C8)/G8</f>
        <v>48890.25</v>
      </c>
      <c r="F8" s="30">
        <f t="shared" si="0"/>
        <v>45833.333333333336</v>
      </c>
      <c r="G8" s="20">
        <v>4</v>
      </c>
      <c r="H8" s="89">
        <v>43136</v>
      </c>
      <c r="I8" s="21">
        <v>7537</v>
      </c>
      <c r="J8" s="85">
        <f>SUM(I$5:I8)-(L8*G8)</f>
        <v>-8975</v>
      </c>
      <c r="K8" s="10">
        <f>SUM(I$5:I8)/G8</f>
        <v>22756.25</v>
      </c>
      <c r="L8" s="10">
        <f t="shared" si="1"/>
        <v>25000</v>
      </c>
    </row>
    <row r="9" spans="2:22" ht="20.100000000000001" customHeight="1" x14ac:dyDescent="0.2">
      <c r="B9" s="89">
        <v>43137</v>
      </c>
      <c r="C9" s="27">
        <v>45820</v>
      </c>
      <c r="D9" s="85">
        <f>SUM(C$5:C9)-(F9*G9)</f>
        <v>12214.333333333314</v>
      </c>
      <c r="E9" s="24">
        <f>SUM(C$5:C9)/G9</f>
        <v>48276.2</v>
      </c>
      <c r="F9" s="30">
        <f t="shared" si="0"/>
        <v>45833.333333333336</v>
      </c>
      <c r="G9" s="20">
        <v>5</v>
      </c>
      <c r="H9" s="89">
        <v>43137</v>
      </c>
      <c r="I9" s="22">
        <v>21644</v>
      </c>
      <c r="J9" s="85">
        <f>SUM(I$5:I9)-(L9*G9)</f>
        <v>-12331</v>
      </c>
      <c r="K9" s="10">
        <f>SUM(I$5:I9)/G9</f>
        <v>22533.8</v>
      </c>
      <c r="L9" s="10">
        <f t="shared" si="1"/>
        <v>25000</v>
      </c>
    </row>
    <row r="10" spans="2:22" ht="20.100000000000001" customHeight="1" x14ac:dyDescent="0.2">
      <c r="B10" s="89">
        <v>43138</v>
      </c>
      <c r="C10" s="27">
        <v>41428</v>
      </c>
      <c r="D10" s="85">
        <f>SUM(C$5:C10)-(F10*G10)</f>
        <v>7809</v>
      </c>
      <c r="E10" s="24">
        <f>SUM(C$5:C10)/G10</f>
        <v>47134.833333333336</v>
      </c>
      <c r="F10" s="30">
        <f t="shared" si="0"/>
        <v>45833.333333333336</v>
      </c>
      <c r="G10" s="20">
        <v>6</v>
      </c>
      <c r="H10" s="89">
        <v>43138</v>
      </c>
      <c r="I10" s="22">
        <v>37202</v>
      </c>
      <c r="J10" s="85">
        <f>SUM(I$5:I10)-(L10*G10)</f>
        <v>-129</v>
      </c>
      <c r="K10" s="10">
        <f>SUM(I$5:I10)/G10</f>
        <v>24978.5</v>
      </c>
      <c r="L10" s="10">
        <f t="shared" si="1"/>
        <v>25000</v>
      </c>
    </row>
    <row r="11" spans="2:22" ht="20.100000000000001" customHeight="1" x14ac:dyDescent="0.2">
      <c r="B11" s="89">
        <v>43139</v>
      </c>
      <c r="C11" s="24">
        <v>48365</v>
      </c>
      <c r="D11" s="85">
        <f>SUM(C$5:C11)-(F11*G11)</f>
        <v>10340.666666666628</v>
      </c>
      <c r="E11" s="24">
        <f>SUM(C$5:C11)/G11</f>
        <v>47310.571428571428</v>
      </c>
      <c r="F11" s="30">
        <f t="shared" si="0"/>
        <v>45833.333333333336</v>
      </c>
      <c r="G11" s="20">
        <v>7</v>
      </c>
      <c r="H11" s="89">
        <v>43139</v>
      </c>
      <c r="I11" s="21">
        <v>33194</v>
      </c>
      <c r="J11" s="85">
        <f>SUM(I$5:I11)-(L11*G11)</f>
        <v>8065</v>
      </c>
      <c r="K11" s="10">
        <f>SUM(I$5:I11)/G11</f>
        <v>26152.142857142859</v>
      </c>
      <c r="L11" s="10">
        <f t="shared" si="1"/>
        <v>25000</v>
      </c>
    </row>
    <row r="12" spans="2:22" ht="20.100000000000001" customHeight="1" x14ac:dyDescent="0.2">
      <c r="B12" s="89">
        <v>43140</v>
      </c>
      <c r="C12" s="24">
        <v>33703</v>
      </c>
      <c r="D12" s="85">
        <f>SUM(C$5:C12)-(F12*G12)</f>
        <v>-1789.6666666666861</v>
      </c>
      <c r="E12" s="24">
        <f>SUM(C$5:C12)/G12</f>
        <v>45609.625</v>
      </c>
      <c r="F12" s="30">
        <f t="shared" si="0"/>
        <v>45833.333333333336</v>
      </c>
      <c r="G12" s="20">
        <v>8</v>
      </c>
      <c r="H12" s="89">
        <v>43140</v>
      </c>
      <c r="I12" s="21">
        <v>24983</v>
      </c>
      <c r="J12" s="85">
        <f>SUM(I$5:I12)-(L12*G12)</f>
        <v>8048</v>
      </c>
      <c r="K12" s="10">
        <f>SUM(I$5:I12)/G12</f>
        <v>26006</v>
      </c>
      <c r="L12" s="10">
        <f t="shared" si="1"/>
        <v>25000</v>
      </c>
    </row>
    <row r="13" spans="2:22" ht="20.100000000000001" customHeight="1" x14ac:dyDescent="0.2">
      <c r="B13" s="89">
        <v>43141</v>
      </c>
      <c r="C13" s="29">
        <v>41145</v>
      </c>
      <c r="D13" s="85">
        <f>SUM(C$5:C13)-(F13*G13)</f>
        <v>-6478</v>
      </c>
      <c r="E13" s="24">
        <f>SUM(C$5:C13)/G13</f>
        <v>45113.555555555555</v>
      </c>
      <c r="F13" s="30">
        <f t="shared" si="0"/>
        <v>45833.333333333336</v>
      </c>
      <c r="G13" s="20">
        <v>9</v>
      </c>
      <c r="H13" s="89">
        <v>43141</v>
      </c>
      <c r="I13" s="13">
        <v>13078</v>
      </c>
      <c r="J13" s="85">
        <f>SUM(I$5:I13)-(L13*G13)</f>
        <v>-3874</v>
      </c>
      <c r="K13" s="10">
        <f>SUM(I$5:I13)/G13</f>
        <v>24569.555555555555</v>
      </c>
      <c r="L13" s="10">
        <f t="shared" si="1"/>
        <v>25000</v>
      </c>
    </row>
    <row r="14" spans="2:22" ht="20.100000000000001" customHeight="1" x14ac:dyDescent="0.2">
      <c r="B14" s="89">
        <v>43143</v>
      </c>
      <c r="C14" s="29">
        <v>39682</v>
      </c>
      <c r="D14" s="85">
        <f>SUM(C$5:C14)-(F14*G14)</f>
        <v>-12629.333333333372</v>
      </c>
      <c r="E14" s="24">
        <f>SUM(C$5:C14)/G14</f>
        <v>44570.400000000001</v>
      </c>
      <c r="F14" s="30">
        <f t="shared" si="0"/>
        <v>45833.333333333336</v>
      </c>
      <c r="G14" s="20">
        <v>10</v>
      </c>
      <c r="H14" s="89">
        <v>43143</v>
      </c>
      <c r="I14" s="13">
        <v>16272</v>
      </c>
      <c r="J14" s="85">
        <f>SUM(I$5:I14)-(L14*G14)</f>
        <v>-12602</v>
      </c>
      <c r="K14" s="10">
        <f>SUM(I$5:I14)/G14</f>
        <v>23739.8</v>
      </c>
      <c r="L14" s="10">
        <f t="shared" si="1"/>
        <v>25000</v>
      </c>
    </row>
    <row r="15" spans="2:22" ht="20.100000000000001" customHeight="1" x14ac:dyDescent="0.2">
      <c r="B15" s="89">
        <v>43144</v>
      </c>
      <c r="C15" s="29">
        <v>38903</v>
      </c>
      <c r="D15" s="85">
        <f>SUM(C$5:C15)-(F15*G15)</f>
        <v>-19559.666666666686</v>
      </c>
      <c r="E15" s="24">
        <f>SUM(C$5:C15)/G15</f>
        <v>44055.181818181816</v>
      </c>
      <c r="F15" s="30">
        <f t="shared" si="0"/>
        <v>45833.333333333336</v>
      </c>
      <c r="G15" s="20">
        <v>11</v>
      </c>
      <c r="H15" s="89">
        <v>43144</v>
      </c>
      <c r="I15" s="13">
        <v>13442</v>
      </c>
      <c r="J15" s="85">
        <f>SUM(I$5:I15)-(L15*G15)</f>
        <v>-24160</v>
      </c>
      <c r="K15" s="10">
        <f>SUM(I$5:I15)/G15</f>
        <v>22803.636363636364</v>
      </c>
      <c r="L15" s="10">
        <f t="shared" si="1"/>
        <v>25000</v>
      </c>
    </row>
    <row r="16" spans="2:22" ht="19.5" customHeight="1" x14ac:dyDescent="0.2">
      <c r="B16" s="89">
        <v>43145</v>
      </c>
      <c r="C16" s="29">
        <v>46541</v>
      </c>
      <c r="D16" s="85">
        <f>SUM(C$5:C16)-(F16*G16)</f>
        <v>-18852</v>
      </c>
      <c r="E16" s="24">
        <f>SUM(C$5:C16)/G16</f>
        <v>44262.333333333336</v>
      </c>
      <c r="F16" s="30">
        <f t="shared" si="0"/>
        <v>45833.333333333336</v>
      </c>
      <c r="G16" s="20">
        <v>12</v>
      </c>
      <c r="H16" s="89">
        <v>43145</v>
      </c>
      <c r="I16" s="13">
        <v>7648</v>
      </c>
      <c r="J16" s="85">
        <f>SUM(I$5:I16)-(L16*G16)</f>
        <v>-41512</v>
      </c>
      <c r="K16" s="10">
        <f>SUM(I$5:I16)/G16</f>
        <v>21540.666666666668</v>
      </c>
      <c r="L16" s="10">
        <f t="shared" si="1"/>
        <v>25000</v>
      </c>
    </row>
    <row r="17" spans="2:12" ht="20.100000000000001" customHeight="1" x14ac:dyDescent="0.2">
      <c r="B17" s="89">
        <v>43146</v>
      </c>
      <c r="C17" s="29">
        <v>47459</v>
      </c>
      <c r="D17" s="85">
        <f>SUM(C$5:C17)-(F17*G17)</f>
        <v>-17226.333333333372</v>
      </c>
      <c r="E17" s="24">
        <f>SUM(C$5:C17)/G17</f>
        <v>44508.230769230766</v>
      </c>
      <c r="F17" s="30">
        <f t="shared" si="0"/>
        <v>45833.333333333336</v>
      </c>
      <c r="G17" s="20">
        <v>13</v>
      </c>
      <c r="H17" s="89">
        <v>43146</v>
      </c>
      <c r="I17" s="13">
        <v>25078</v>
      </c>
      <c r="J17" s="85">
        <f>SUM(I$5:I17)-(L17*G17)</f>
        <v>-41434</v>
      </c>
      <c r="K17" s="10">
        <f>SUM(I$5:I17)/G17</f>
        <v>21812.76923076923</v>
      </c>
      <c r="L17" s="10">
        <f t="shared" si="1"/>
        <v>25000</v>
      </c>
    </row>
    <row r="18" spans="2:12" ht="20.100000000000001" customHeight="1" x14ac:dyDescent="0.2">
      <c r="B18" s="89">
        <v>43147</v>
      </c>
      <c r="C18" s="29">
        <v>51288</v>
      </c>
      <c r="D18" s="85">
        <f>SUM(C$5:C18)-(F18*G18)</f>
        <v>-11771.666666666744</v>
      </c>
      <c r="E18" s="24">
        <f>SUM(C$5:C18)/G18</f>
        <v>44992.5</v>
      </c>
      <c r="F18" s="30">
        <f t="shared" si="0"/>
        <v>45833.333333333336</v>
      </c>
      <c r="G18" s="20">
        <v>14</v>
      </c>
      <c r="H18" s="89">
        <v>43147</v>
      </c>
      <c r="I18" s="13">
        <v>22329</v>
      </c>
      <c r="J18" s="85">
        <f>SUM(I$5:I18)-(L18*G18)</f>
        <v>-44105</v>
      </c>
      <c r="K18" s="10">
        <f>SUM(I$5:I18)/G18</f>
        <v>21849.642857142859</v>
      </c>
      <c r="L18" s="10">
        <f t="shared" si="1"/>
        <v>25000</v>
      </c>
    </row>
    <row r="19" spans="2:12" ht="20.100000000000001" customHeight="1" x14ac:dyDescent="0.2">
      <c r="B19" s="89">
        <v>43148</v>
      </c>
      <c r="C19" s="24">
        <v>48294</v>
      </c>
      <c r="D19" s="85">
        <f>SUM(C$5:C19)-(F19*G19)</f>
        <v>-9311</v>
      </c>
      <c r="E19" s="24">
        <f>SUM(C$5:C19)/G19</f>
        <v>45212.6</v>
      </c>
      <c r="F19" s="30">
        <f t="shared" si="0"/>
        <v>45833.333333333336</v>
      </c>
      <c r="G19" s="20">
        <v>15</v>
      </c>
      <c r="H19" s="89">
        <v>43148</v>
      </c>
      <c r="I19" s="21">
        <v>30739</v>
      </c>
      <c r="J19" s="85">
        <f>SUM(I$5:I19)-(L19*G19)</f>
        <v>-38366</v>
      </c>
      <c r="K19" s="10">
        <f>SUM(I$5:I19)/G19</f>
        <v>22442.266666666666</v>
      </c>
      <c r="L19" s="10">
        <f t="shared" si="1"/>
        <v>25000</v>
      </c>
    </row>
    <row r="20" spans="2:12" ht="20.100000000000001" customHeight="1" x14ac:dyDescent="0.2">
      <c r="B20" s="89">
        <v>43150</v>
      </c>
      <c r="C20" s="29">
        <v>35236</v>
      </c>
      <c r="D20" s="85">
        <f>SUM(C$5:C20)-(F20*G20)</f>
        <v>-19908.333333333372</v>
      </c>
      <c r="E20" s="24">
        <f>SUM(C$5:C20)/G20</f>
        <v>44589.0625</v>
      </c>
      <c r="F20" s="30">
        <f t="shared" si="0"/>
        <v>45833.333333333336</v>
      </c>
      <c r="G20" s="20">
        <v>16</v>
      </c>
      <c r="H20" s="89">
        <v>43150</v>
      </c>
      <c r="I20" s="13">
        <v>20119</v>
      </c>
      <c r="J20" s="85">
        <f>SUM(I$5:I20)-(L20*G20)</f>
        <v>-43247</v>
      </c>
      <c r="K20" s="10">
        <f>SUM(I$5:I20)/G20</f>
        <v>22297.0625</v>
      </c>
      <c r="L20" s="10">
        <f t="shared" si="1"/>
        <v>25000</v>
      </c>
    </row>
    <row r="21" spans="2:12" ht="20.100000000000001" customHeight="1" x14ac:dyDescent="0.2">
      <c r="B21" s="89">
        <v>43151</v>
      </c>
      <c r="C21" s="29">
        <v>60828</v>
      </c>
      <c r="D21" s="85">
        <f>SUM(C$5:C21)-(F21*G21)</f>
        <v>-4913.6666666667443</v>
      </c>
      <c r="E21" s="24">
        <f>SUM(C$5:C21)/G21</f>
        <v>45544.294117647056</v>
      </c>
      <c r="F21" s="30">
        <f t="shared" si="0"/>
        <v>45833.333333333336</v>
      </c>
      <c r="G21" s="20">
        <v>17</v>
      </c>
      <c r="H21" s="89">
        <v>43151</v>
      </c>
      <c r="I21" s="12">
        <v>28785</v>
      </c>
      <c r="J21" s="85">
        <f>SUM(I$5:I21)-(L21*G21)</f>
        <v>-39462</v>
      </c>
      <c r="K21" s="10">
        <f>SUM(I$5:I21)/G21</f>
        <v>22678.705882352941</v>
      </c>
      <c r="L21" s="10">
        <f t="shared" si="1"/>
        <v>25000</v>
      </c>
    </row>
    <row r="22" spans="2:12" ht="20.100000000000001" customHeight="1" x14ac:dyDescent="0.2">
      <c r="B22" s="89">
        <v>43152</v>
      </c>
      <c r="C22" s="29">
        <v>31763</v>
      </c>
      <c r="D22" s="85">
        <f>SUM(C$5:C22)-(F22*G22)</f>
        <v>-18984</v>
      </c>
      <c r="E22" s="24">
        <f>SUM(C$5:C22)/G22</f>
        <v>44778.666666666664</v>
      </c>
      <c r="F22" s="30">
        <f t="shared" si="0"/>
        <v>45833.333333333336</v>
      </c>
      <c r="G22" s="20">
        <v>18</v>
      </c>
      <c r="H22" s="89">
        <v>43152</v>
      </c>
      <c r="I22" s="12">
        <v>13968</v>
      </c>
      <c r="J22" s="85">
        <f>SUM(I$5:I22)-(L22*G22)</f>
        <v>-50494</v>
      </c>
      <c r="K22" s="10">
        <f>SUM(I$5:I22)/G22</f>
        <v>22194.777777777777</v>
      </c>
      <c r="L22" s="10">
        <f t="shared" si="1"/>
        <v>25000</v>
      </c>
    </row>
    <row r="23" spans="2:12" ht="20.100000000000001" customHeight="1" x14ac:dyDescent="0.2">
      <c r="B23" s="89">
        <v>43153</v>
      </c>
      <c r="C23" s="29">
        <v>48940</v>
      </c>
      <c r="D23" s="85">
        <f>SUM(C$5:C23)-(F23*G23)</f>
        <v>-15877.333333333372</v>
      </c>
      <c r="E23" s="24">
        <f>SUM(C$5:C23)/G23</f>
        <v>44997.684210526313</v>
      </c>
      <c r="F23" s="30">
        <f t="shared" si="0"/>
        <v>45833.333333333336</v>
      </c>
      <c r="G23" s="20">
        <v>19</v>
      </c>
      <c r="H23" s="89">
        <v>43153</v>
      </c>
      <c r="I23" s="12">
        <v>21180</v>
      </c>
      <c r="J23" s="85">
        <f>SUM(I$5:I23)-(L23*G23)</f>
        <v>-54314</v>
      </c>
      <c r="K23" s="10">
        <f>SUM(I$5:I23)/G23</f>
        <v>22141.36842105263</v>
      </c>
      <c r="L23" s="10">
        <f t="shared" si="1"/>
        <v>25000</v>
      </c>
    </row>
    <row r="24" spans="2:12" ht="20.100000000000001" customHeight="1" x14ac:dyDescent="0.2">
      <c r="B24" s="89">
        <v>43154</v>
      </c>
      <c r="C24" s="29">
        <v>52528</v>
      </c>
      <c r="D24" s="85">
        <f>SUM(C$5:C24)-(F24*G24)</f>
        <v>-9182.6666666667443</v>
      </c>
      <c r="E24" s="24">
        <f>SUM(C$5:C24)/G24</f>
        <v>45374.2</v>
      </c>
      <c r="F24" s="30">
        <f t="shared" si="0"/>
        <v>45833.333333333336</v>
      </c>
      <c r="G24" s="20">
        <v>20</v>
      </c>
      <c r="H24" s="89">
        <v>43154</v>
      </c>
      <c r="I24" s="12">
        <v>32358</v>
      </c>
      <c r="J24" s="85">
        <f>SUM(I$5:I24)-(L24*G24)</f>
        <v>-46956</v>
      </c>
      <c r="K24" s="10">
        <f>SUM(I$5:I24)/G24</f>
        <v>22652.2</v>
      </c>
      <c r="L24" s="10">
        <f t="shared" si="1"/>
        <v>25000</v>
      </c>
    </row>
    <row r="25" spans="2:12" ht="20.100000000000001" customHeight="1" x14ac:dyDescent="0.2">
      <c r="B25" s="89">
        <v>43155</v>
      </c>
      <c r="C25" s="29">
        <v>38432</v>
      </c>
      <c r="D25" s="85">
        <f>SUM(C$5:C25)-(F25*G25)</f>
        <v>-16584</v>
      </c>
      <c r="E25" s="24">
        <f>SUM(C$5:C25)/G25</f>
        <v>45043.619047619046</v>
      </c>
      <c r="F25" s="30">
        <f t="shared" si="0"/>
        <v>45833.333333333336</v>
      </c>
      <c r="G25" s="20">
        <v>21</v>
      </c>
      <c r="H25" s="89">
        <v>43155</v>
      </c>
      <c r="I25" s="12">
        <v>39394</v>
      </c>
      <c r="J25" s="85">
        <f>SUM(I$5:I25)-(L25*G25)</f>
        <v>-32562</v>
      </c>
      <c r="K25" s="10">
        <f>SUM(I$5:I25)/G25</f>
        <v>23449.428571428572</v>
      </c>
      <c r="L25" s="10">
        <f t="shared" si="1"/>
        <v>25000</v>
      </c>
    </row>
    <row r="26" spans="2:12" ht="20.100000000000001" customHeight="1" x14ac:dyDescent="0.2">
      <c r="B26" s="89">
        <v>43157</v>
      </c>
      <c r="C26" s="29">
        <v>37713</v>
      </c>
      <c r="D26" s="85">
        <f>SUM(C$5:C26)-(F26*G26)</f>
        <v>-24704.333333333372</v>
      </c>
      <c r="E26" s="24">
        <f>SUM(C$5:C26)/G26</f>
        <v>44710.409090909088</v>
      </c>
      <c r="F26" s="30">
        <f t="shared" si="0"/>
        <v>45833.333333333336</v>
      </c>
      <c r="G26" s="20">
        <v>22</v>
      </c>
      <c r="H26" s="89">
        <v>43157</v>
      </c>
      <c r="I26" s="12">
        <v>26978</v>
      </c>
      <c r="J26" s="85">
        <f>SUM(I$5:I26)-(L26*G26)</f>
        <v>-30584</v>
      </c>
      <c r="K26" s="10">
        <f>SUM(I$5:I26)/G26</f>
        <v>23609.81818181818</v>
      </c>
      <c r="L26" s="10">
        <f t="shared" si="1"/>
        <v>25000</v>
      </c>
    </row>
    <row r="27" spans="2:12" ht="20.100000000000001" customHeight="1" x14ac:dyDescent="0.2">
      <c r="B27" s="89">
        <v>43158</v>
      </c>
      <c r="C27" s="29">
        <v>66882</v>
      </c>
      <c r="D27" s="85">
        <f>SUM(C$5:C27)-(F27*G27)</f>
        <v>-3655.6666666667443</v>
      </c>
      <c r="E27" s="24">
        <f>SUM(C$5:C27)/G27</f>
        <v>45674.391304347824</v>
      </c>
      <c r="F27" s="30">
        <f t="shared" si="0"/>
        <v>45833.333333333336</v>
      </c>
      <c r="G27" s="20">
        <v>23</v>
      </c>
      <c r="H27" s="89">
        <v>43158</v>
      </c>
      <c r="I27" s="12">
        <v>44698</v>
      </c>
      <c r="J27" s="85">
        <f>SUM(I$5:I27)-(L27*G27)</f>
        <v>-10886</v>
      </c>
      <c r="K27" s="10">
        <f>SUM(I$5:I27)/G27</f>
        <v>24526.695652173912</v>
      </c>
      <c r="L27" s="10">
        <f t="shared" si="1"/>
        <v>25000</v>
      </c>
    </row>
    <row r="28" spans="2:12" ht="20.100000000000001" customHeight="1" x14ac:dyDescent="0.2">
      <c r="B28" s="89">
        <v>43159</v>
      </c>
      <c r="C28" s="29">
        <v>19680</v>
      </c>
      <c r="D28" s="85">
        <f>SUM(C$5:C28)-(F28*G28)</f>
        <v>-29809</v>
      </c>
      <c r="E28" s="24">
        <f>SUM(C$5:C28)/G28</f>
        <v>44591.291666666664</v>
      </c>
      <c r="F28" s="30">
        <f t="shared" si="0"/>
        <v>45833.333333333336</v>
      </c>
      <c r="G28" s="20">
        <v>24</v>
      </c>
      <c r="H28" s="89">
        <v>43159</v>
      </c>
      <c r="I28" s="12">
        <v>17567</v>
      </c>
      <c r="J28" s="85">
        <f>SUM(I$5:I28)-(L28*G28)</f>
        <v>-18319</v>
      </c>
      <c r="K28" s="10">
        <f>SUM(I$5:I28)/G28</f>
        <v>24236.708333333332</v>
      </c>
      <c r="L28" s="10">
        <f t="shared" si="1"/>
        <v>25000</v>
      </c>
    </row>
    <row r="29" spans="2:12" ht="20.100000000000001" customHeight="1" x14ac:dyDescent="0.2">
      <c r="B29" s="19" t="s">
        <v>8</v>
      </c>
      <c r="C29" s="12">
        <f>SUM(C5:C28)</f>
        <v>1070191</v>
      </c>
      <c r="D29" s="86"/>
      <c r="E29" s="23"/>
      <c r="F29" s="30">
        <v>1100000</v>
      </c>
      <c r="G29" s="18"/>
      <c r="H29" s="11" t="s">
        <v>8</v>
      </c>
      <c r="I29" s="12">
        <f>SUM(I5:I28)</f>
        <v>581681</v>
      </c>
      <c r="J29" s="8"/>
      <c r="K29" s="8"/>
      <c r="L29" s="10">
        <v>600000</v>
      </c>
    </row>
    <row r="30" spans="2:12" ht="19.5" customHeight="1" x14ac:dyDescent="0.2"/>
    <row r="31" spans="2:12" ht="19.5" customHeight="1" x14ac:dyDescent="0.2"/>
    <row r="33" spans="1:12" x14ac:dyDescent="0.2">
      <c r="A33" s="156"/>
      <c r="B33" s="156"/>
      <c r="C33" s="156"/>
      <c r="D33" s="156"/>
      <c r="I33" s="34"/>
      <c r="J33" s="32"/>
    </row>
    <row r="34" spans="1:12" x14ac:dyDescent="0.2">
      <c r="L34" s="33"/>
    </row>
  </sheetData>
  <mergeCells count="5">
    <mergeCell ref="B1:F2"/>
    <mergeCell ref="H1:L2"/>
    <mergeCell ref="B3:F3"/>
    <mergeCell ref="H3:L3"/>
    <mergeCell ref="A33:D33"/>
  </mergeCells>
  <conditionalFormatting sqref="D5:D28 J5:J29">
    <cfRule type="cellIs" dxfId="63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Plan161">
    <tabColor rgb="FF92D050"/>
    <pageSetUpPr fitToPage="1"/>
  </sheetPr>
  <dimension ref="A1:CD55"/>
  <sheetViews>
    <sheetView topLeftCell="M13" zoomScale="80" zoomScaleNormal="80" workbookViewId="0">
      <selection activeCell="R19" sqref="R19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6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6.7109375" style="6" customWidth="1"/>
    <col min="11" max="12" width="9.7109375" style="6" customWidth="1"/>
    <col min="13" max="13" width="9.28515625" style="6" customWidth="1"/>
    <col min="14" max="14" width="6.28515625" style="6" customWidth="1"/>
    <col min="15" max="15" width="11.28515625" style="6" customWidth="1"/>
    <col min="16" max="16" width="11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.85546875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8554687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4" width="10.85546875" style="6" customWidth="1"/>
    <col min="35" max="35" width="11.7109375" style="6" customWidth="1"/>
    <col min="36" max="36" width="9.7109375" style="6" customWidth="1"/>
    <col min="37" max="37" width="8.855468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7.28515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6.28515625" style="6" customWidth="1"/>
    <col min="49" max="50" width="8.28515625" style="6" customWidth="1"/>
    <col min="51" max="51" width="9.85546875" style="6" bestFit="1" customWidth="1"/>
    <col min="52" max="52" width="6.85546875" style="6" customWidth="1"/>
    <col min="53" max="53" width="9.28515625" style="6" customWidth="1"/>
    <col min="54" max="54" width="9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0" width="9.140625" style="6"/>
    <col min="61" max="61" width="10.85546875" style="6" bestFit="1" customWidth="1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79" width="9.28515625" style="6" bestFit="1" customWidth="1"/>
    <col min="80" max="80" width="11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48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73" t="s">
        <v>36</v>
      </c>
      <c r="BZ1" s="174"/>
      <c r="CA1" s="174"/>
      <c r="CB1" s="174"/>
      <c r="CC1" s="174"/>
      <c r="CD1" s="175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76"/>
      <c r="BZ2" s="177"/>
      <c r="CA2" s="177"/>
      <c r="CB2" s="177"/>
      <c r="CC2" s="177"/>
      <c r="CD2" s="178"/>
    </row>
    <row r="3" spans="1:82" ht="15.75" customHeight="1" x14ac:dyDescent="0.25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79"/>
      <c r="BZ3" s="180"/>
      <c r="CA3" s="180"/>
      <c r="CB3" s="180"/>
      <c r="CC3" s="180"/>
      <c r="CD3" s="181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166"/>
      <c r="BZ4" s="167"/>
      <c r="CA4" s="165" t="s">
        <v>35</v>
      </c>
      <c r="CB4" s="163"/>
      <c r="CC4" s="163"/>
      <c r="CD4" s="164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162"/>
      <c r="BZ5" s="164"/>
      <c r="CA5" s="126" t="s">
        <v>18</v>
      </c>
      <c r="CB5" s="168"/>
      <c r="CC5" s="168"/>
      <c r="CD5" s="169"/>
    </row>
    <row r="6" spans="1:82" x14ac:dyDescent="0.25">
      <c r="A6" s="170" t="s">
        <v>45</v>
      </c>
      <c r="B6" s="171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70" t="str">
        <f>A6</f>
        <v>Fevereiro</v>
      </c>
      <c r="U6" s="171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70" t="str">
        <f>T6</f>
        <v>Fevereiro</v>
      </c>
      <c r="AN6" s="171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70" t="str">
        <f>AM6</f>
        <v>Fevereiro</v>
      </c>
      <c r="BG6" s="171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70" t="str">
        <f>BF6</f>
        <v>Fevereiro</v>
      </c>
      <c r="BZ6" s="171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23</v>
      </c>
      <c r="C7" s="75">
        <v>12900</v>
      </c>
      <c r="D7" s="75">
        <v>7414</v>
      </c>
      <c r="E7" s="90">
        <f>IF(D7&gt;0,SUM(D$7:D7)-SUM(C$7:C7),0)</f>
        <v>-5486</v>
      </c>
      <c r="F7" s="45">
        <f>IF(D7&gt;0,IF(C7&gt;0,D7/C7,0),0)</f>
        <v>0.57472868217054263</v>
      </c>
      <c r="G7" s="75">
        <v>12900</v>
      </c>
      <c r="H7" s="75">
        <v>6503</v>
      </c>
      <c r="I7" s="75">
        <f>IF(H7&gt;0,SUM(H$7:H7)-SUM(G$7:G7),0)</f>
        <v>-6397</v>
      </c>
      <c r="J7" s="45">
        <f t="shared" ref="J7:J14" si="0">IF(H7&gt;0,IF(G7&gt;0,H7/G7,0),0)</f>
        <v>0.50410852713178289</v>
      </c>
      <c r="K7" s="75">
        <v>12900</v>
      </c>
      <c r="L7" s="75">
        <v>11356</v>
      </c>
      <c r="M7" s="90">
        <f>IF(L7&gt;0,SUM(L$7:L7)-SUM(K$7:K7),0)</f>
        <v>-1544</v>
      </c>
      <c r="N7" s="45">
        <f t="shared" ref="N7:N17" si="1">IF(L7&gt;0,IF(K7&gt;0,L7/K7,0),0)</f>
        <v>0.88031007751937984</v>
      </c>
      <c r="O7" s="35">
        <f t="shared" ref="O7:O14" si="2">IF(SUM(C7,G7,K7)&gt;0,SUM(C7,G7,K7),0)</f>
        <v>38700</v>
      </c>
      <c r="P7" s="35">
        <f>IF(SUM(D7,H7,L7,)&gt;0,SUM(D7,H7,L7,),0)</f>
        <v>25273</v>
      </c>
      <c r="Q7" s="91">
        <f>IF(P7&gt;0,SUM(P$7:P7)-SUM(O$7:O7),0)</f>
        <v>-13427</v>
      </c>
      <c r="R7" s="45">
        <f>IF(P7&gt;0,IF(O7&gt;0,P7/O7,0),0)</f>
        <v>0.65304909560723512</v>
      </c>
      <c r="T7" s="47">
        <v>40817</v>
      </c>
      <c r="U7" s="54" t="str">
        <f>B7</f>
        <v>qui</v>
      </c>
      <c r="V7" s="75">
        <v>12340</v>
      </c>
      <c r="W7" s="75">
        <v>8385</v>
      </c>
      <c r="X7" s="92">
        <f>IF(W7&gt;0,SUM(W$7:W7)-SUM(V$7:V7),0)</f>
        <v>-3955</v>
      </c>
      <c r="Y7" s="60">
        <f>IF(W7&gt;0,IF(V7&gt;0,W7/V7,0),0)</f>
        <v>0.67949756888168555</v>
      </c>
      <c r="Z7" s="75">
        <v>12340</v>
      </c>
      <c r="AA7" s="75">
        <v>11550</v>
      </c>
      <c r="AB7" s="92">
        <f>IF(AA7&gt;0,SUM(AA$7:AA7)-SUM(Z$7:Z7),0)</f>
        <v>-790</v>
      </c>
      <c r="AC7" s="60">
        <f>IF(AA7&gt;0,IF(Z7&gt;0,AA7/Z7,0),0)</f>
        <v>0.93598055105348466</v>
      </c>
      <c r="AD7" s="75">
        <v>12340</v>
      </c>
      <c r="AE7" s="75">
        <v>9380</v>
      </c>
      <c r="AF7" s="92">
        <f>IF(AE7&gt;0,SUM(AE$7:AE7)-SUM(AD$7:AD7),0)</f>
        <v>-2960</v>
      </c>
      <c r="AG7" s="60">
        <f>IF(AE7&gt;0,IF(AD7&gt;0,AE7/AD7,0),0)</f>
        <v>0.76012965964343593</v>
      </c>
      <c r="AH7" s="41">
        <f t="shared" ref="AH7:AI38" si="3">IF(SUM(V7,Z7,AD7)&gt;0,SUM(V7,Z7,AD7),0)</f>
        <v>37020</v>
      </c>
      <c r="AI7" s="41">
        <f>IF(SUM(W7,AA7,AE7,)&gt;0,SUM(W7,AA7,AE7),0)</f>
        <v>29315</v>
      </c>
      <c r="AJ7" s="93">
        <f>IF(AI7&gt;0,SUM(AI$7:AI7)-SUM(AH$7:AH7),0)</f>
        <v>-7705</v>
      </c>
      <c r="AK7" s="60">
        <f>IF(AI7&gt;0,IF(AH7&gt;0,AI7/AH7,0),0)</f>
        <v>0.79186925985953538</v>
      </c>
      <c r="AM7" s="47">
        <v>40817</v>
      </c>
      <c r="AN7" s="54" t="str">
        <f>U7</f>
        <v>qui</v>
      </c>
      <c r="AO7" s="75">
        <v>7700</v>
      </c>
      <c r="AP7" s="75">
        <v>4822</v>
      </c>
      <c r="AQ7" s="75">
        <f>IF(AP7&gt;0,SUM(AP$7:AP7)-SUM(AO$7:AO7),0)</f>
        <v>-2878</v>
      </c>
      <c r="AR7" s="45">
        <f>IF(AP7&gt;0,IF(AO7&gt;0,AP7/AO7,0),0)</f>
        <v>0.62623376623376625</v>
      </c>
      <c r="AS7" s="75">
        <v>7700</v>
      </c>
      <c r="AT7" s="75">
        <v>7948</v>
      </c>
      <c r="AU7" s="90">
        <f>IF(AT7&gt;0,SUM(AT$7:AT7)-SUM(AS$7:AS7),0)</f>
        <v>248</v>
      </c>
      <c r="AV7" s="45">
        <f>IF(AT7&gt;0,IF(AS7&gt;0,AT7/AS7,0),0)</f>
        <v>1.0322077922077921</v>
      </c>
      <c r="AW7" s="75">
        <v>7700</v>
      </c>
      <c r="AX7" s="75">
        <v>7103</v>
      </c>
      <c r="AY7" s="90">
        <f>IF(AX7&gt;0,SUM(AX$7:AX7)-SUM(AW$7:AW7),0)</f>
        <v>-597</v>
      </c>
      <c r="AZ7" s="45">
        <f>IF(AX7&gt;0,IF(AW7&gt;0,AX7/AW7,0),0)</f>
        <v>0.92246753246753244</v>
      </c>
      <c r="BA7" s="35">
        <f t="shared" ref="BA7:BA38" si="4">IF(SUM(AO7,AS7,AW7)&gt;0,SUM(AO7,AS7,AW7),0)</f>
        <v>23100</v>
      </c>
      <c r="BB7" s="35">
        <f>IF(SUM(AP7,AT7,AX7,)&gt;0,SUM(AP7,AT7,AX7,),0)</f>
        <v>19873</v>
      </c>
      <c r="BC7" s="91">
        <f>IF(BB7&gt;0,SUM(BB$7:BB7)-SUM(BA$7:BA7),0)</f>
        <v>-3227</v>
      </c>
      <c r="BD7" s="45">
        <f>IF(BB7&gt;0,IF(BA7&gt;0,BB7/BA7,0),0)</f>
        <v>0.86030303030303035</v>
      </c>
      <c r="BF7" s="47">
        <v>40817</v>
      </c>
      <c r="BG7" s="54" t="str">
        <f>AN7</f>
        <v>qui</v>
      </c>
      <c r="BH7" s="75">
        <v>18200</v>
      </c>
      <c r="BI7" s="75">
        <v>11824</v>
      </c>
      <c r="BJ7" s="75">
        <f>IF(BI7&gt;0,SUM(BI$7:BI7)-SUM(BH$7:BH7),0)</f>
        <v>-6376</v>
      </c>
      <c r="BK7" s="45">
        <f>IF(BI7&gt;0,IF(BH7&gt;0,BI7/BH7,0),0)</f>
        <v>0.64967032967032967</v>
      </c>
      <c r="BL7" s="75">
        <v>8000</v>
      </c>
      <c r="BM7" s="75">
        <v>8051</v>
      </c>
      <c r="BN7" s="90">
        <f>IF(BM7&gt;0,SUM(BM$7:BM7)-SUM(BL$7:BL7),0)</f>
        <v>51</v>
      </c>
      <c r="BO7" s="45">
        <f>IF(BM7&gt;0,IF(BL7&gt;0,BM7/BL7,0),0)</f>
        <v>1.006375</v>
      </c>
      <c r="BP7" s="75">
        <v>11000</v>
      </c>
      <c r="BQ7" s="75">
        <v>5874</v>
      </c>
      <c r="BR7" s="90">
        <f>IF(BQ7&gt;0,SUM(BQ$7:BQ7)-SUM(BP$7:BP7),0)</f>
        <v>-5126</v>
      </c>
      <c r="BS7" s="45">
        <f>IF(BQ7&gt;0,IF(BP7&gt;0,BQ7/BP7,0),0)</f>
        <v>0.53400000000000003</v>
      </c>
      <c r="BT7" s="35">
        <f t="shared" ref="BT7:BU38" si="5">IF(SUM(BH7,BL7,BP7)&gt;0,SUM(BH7,BL7,BP7),0)</f>
        <v>37200</v>
      </c>
      <c r="BU7" s="35">
        <f t="shared" si="5"/>
        <v>25749</v>
      </c>
      <c r="BV7" s="91">
        <f>IF(BU7&gt;0,SUM(BU$7:BU7)-SUM(BT$7:BT7),0)</f>
        <v>-11451</v>
      </c>
      <c r="BW7" s="45">
        <f>IF(BU7&gt;0,IF(BT7&gt;0,BU7/BT7,0),0)</f>
        <v>0.69217741935483867</v>
      </c>
      <c r="BY7" s="47">
        <v>40817</v>
      </c>
      <c r="BZ7" s="54" t="str">
        <f>BG7</f>
        <v>qui</v>
      </c>
      <c r="CA7" s="75">
        <v>5000</v>
      </c>
      <c r="CB7" s="75">
        <v>4752</v>
      </c>
      <c r="CC7" s="90">
        <f>IF(CB7&gt;0,SUM(CB$7:CB7)-SUM(CA7:CA$7),0)</f>
        <v>-248</v>
      </c>
      <c r="CD7" s="45">
        <f>IF(CB7&gt;0,IF(CA7&gt;0,CB7/CA7,0),0)</f>
        <v>0.95040000000000002</v>
      </c>
    </row>
    <row r="8" spans="1:82" x14ac:dyDescent="0.25">
      <c r="A8" s="47">
        <f>A7+1</f>
        <v>40818</v>
      </c>
      <c r="B8" s="54" t="s">
        <v>24</v>
      </c>
      <c r="C8" s="75">
        <v>12900</v>
      </c>
      <c r="D8" s="75">
        <v>11770</v>
      </c>
      <c r="E8" s="90">
        <f>IF(D8&gt;0,SUM(D$7:D8)-SUM(C$7:C8),0)</f>
        <v>-6616</v>
      </c>
      <c r="F8" s="45">
        <f>IF(D8&gt;0,IF(C8&gt;0,D8/C8,0),0)</f>
        <v>0.91240310077519382</v>
      </c>
      <c r="G8" s="75">
        <v>12900</v>
      </c>
      <c r="H8" s="36">
        <v>10012</v>
      </c>
      <c r="I8" s="75">
        <f>IF(H8&gt;0,SUM(H$7:H8)-SUM(G$7:G8),0)</f>
        <v>-9285</v>
      </c>
      <c r="J8" s="45">
        <f t="shared" si="0"/>
        <v>0.77612403100775196</v>
      </c>
      <c r="K8" s="75">
        <v>12900</v>
      </c>
      <c r="L8" s="75">
        <v>14251</v>
      </c>
      <c r="M8" s="90">
        <f>IF(L8&gt;0,SUM(L$7:L8)-SUM(K$7:K8),0)</f>
        <v>-193</v>
      </c>
      <c r="N8" s="45">
        <f t="shared" si="1"/>
        <v>1.1047286821705427</v>
      </c>
      <c r="O8" s="35">
        <f t="shared" si="2"/>
        <v>38700</v>
      </c>
      <c r="P8" s="35">
        <f t="shared" ref="P8:P37" si="6">IF(SUM(D8,H8,L8,)&gt;0,SUM(D8,H8,L8,),0)</f>
        <v>36033</v>
      </c>
      <c r="Q8" s="91">
        <f>IF(P8&gt;0,SUM(P$7:P8)-SUM(O$7:O8),0)</f>
        <v>-16094</v>
      </c>
      <c r="R8" s="45">
        <f>IF(P8&gt;0,IF(O8&gt;0,P8/O8,0),0)</f>
        <v>0.93108527131782948</v>
      </c>
      <c r="T8" s="47">
        <f>T7+1</f>
        <v>40818</v>
      </c>
      <c r="U8" s="54" t="str">
        <f t="shared" ref="U8:U37" si="7">B8</f>
        <v>sex</v>
      </c>
      <c r="V8" s="75">
        <v>12340</v>
      </c>
      <c r="W8" s="75">
        <v>9970</v>
      </c>
      <c r="X8" s="92">
        <f>IF(W8&gt;0,SUM(W$7:W8)-SUM(V$7:V8),0)</f>
        <v>-6325</v>
      </c>
      <c r="Y8" s="60">
        <f>IF(W8&gt;0,IF(V8&gt;0,W8/V8,0),0)</f>
        <v>0.80794165316045385</v>
      </c>
      <c r="Z8" s="75">
        <v>12340</v>
      </c>
      <c r="AA8" s="75">
        <v>11625</v>
      </c>
      <c r="AB8" s="92">
        <f>IF(AA8&gt;0,SUM(AA$7:AA8)-SUM(Z$7:Z8),0)</f>
        <v>-1505</v>
      </c>
      <c r="AC8" s="60">
        <f>IF(AA8&gt;0,IF(Z8&gt;0,AA8/Z8,0),0)</f>
        <v>0.94205834683954615</v>
      </c>
      <c r="AD8" s="75">
        <v>12340</v>
      </c>
      <c r="AE8" s="75">
        <v>8629</v>
      </c>
      <c r="AF8" s="92">
        <f>IF(AE8&gt;0,SUM(AE$7:AE8)-SUM(AD$7:AD8),0)</f>
        <v>-6671</v>
      </c>
      <c r="AG8" s="60">
        <f>IF(AE8&gt;0,IF(AD8&gt;0,AE8/AD8,0),0)</f>
        <v>0.69927066450567266</v>
      </c>
      <c r="AH8" s="41">
        <f t="shared" si="3"/>
        <v>37020</v>
      </c>
      <c r="AI8" s="41">
        <f t="shared" ref="AI8:AI37" si="8">IF(SUM(W8,AA8,AE8,)&gt;0,SUM(W8,AA8,AE8),0)</f>
        <v>30224</v>
      </c>
      <c r="AJ8" s="93">
        <f>IF(AI8&gt;0,SUM(AI$7:AI8)-SUM(AH$7:AH8),0)</f>
        <v>-14501</v>
      </c>
      <c r="AK8" s="60">
        <f>IF(AI8&gt;0,IF(AH8&gt;0,AI8/AH8,0),0)</f>
        <v>0.81642355483522422</v>
      </c>
      <c r="AM8" s="47">
        <f>AM7+1</f>
        <v>40818</v>
      </c>
      <c r="AN8" s="54" t="str">
        <f t="shared" ref="AN8:AN37" si="9">U8</f>
        <v>sex</v>
      </c>
      <c r="AO8" s="75">
        <v>7700</v>
      </c>
      <c r="AP8" s="75">
        <v>5908</v>
      </c>
      <c r="AQ8" s="75">
        <f>IF(AP8&gt;0,SUM(AP$7:AP8)-SUM(AO$7:AO8),0)</f>
        <v>-4670</v>
      </c>
      <c r="AR8" s="45">
        <f>IF(AP8&gt;0,IF(AO8&gt;0,AP8/AO8,0),0)</f>
        <v>0.76727272727272722</v>
      </c>
      <c r="AS8" s="75">
        <v>7700</v>
      </c>
      <c r="AT8" s="75">
        <v>6826</v>
      </c>
      <c r="AU8" s="90">
        <f>IF(AT8&gt;0,SUM(AT$7:AT8)-SUM(AS$7:AS8),0)</f>
        <v>-626</v>
      </c>
      <c r="AV8" s="45">
        <f>IF(AT8&gt;0,IF(AS8&gt;0,AT8/AS8,0),0)</f>
        <v>0.88649350649350644</v>
      </c>
      <c r="AW8" s="75">
        <v>7700</v>
      </c>
      <c r="AX8" s="75">
        <v>4580</v>
      </c>
      <c r="AY8" s="90">
        <f>IF(AX8&gt;0,SUM(AX$7:AX8)-SUM(AW$7:AW8),0)</f>
        <v>-3717</v>
      </c>
      <c r="AZ8" s="45">
        <f>IF(AX8&gt;0,IF(AW8&gt;0,AX8/AW8,0),0)</f>
        <v>0.59480519480519478</v>
      </c>
      <c r="BA8" s="35">
        <f t="shared" si="4"/>
        <v>23100</v>
      </c>
      <c r="BB8" s="35">
        <f t="shared" ref="BB8:BB37" si="10">IF(SUM(AP8,AT8,AX8,)&gt;0,SUM(AP8,AT8,AX8,),0)</f>
        <v>17314</v>
      </c>
      <c r="BC8" s="91">
        <f>IF(BB8&gt;0,SUM(BB$7:BB8)-SUM(BA$7:BA8),0)</f>
        <v>-9013</v>
      </c>
      <c r="BD8" s="45">
        <f>IF(BB8&gt;0,IF(BA8&gt;0,BB8/BA8,0),0)</f>
        <v>0.74952380952380948</v>
      </c>
      <c r="BF8" s="47">
        <f>BF7+1</f>
        <v>40818</v>
      </c>
      <c r="BG8" s="54" t="str">
        <f t="shared" ref="BG8:BG37" si="11">AN8</f>
        <v>sex</v>
      </c>
      <c r="BH8" s="75">
        <v>18200</v>
      </c>
      <c r="BI8" s="75">
        <v>10873</v>
      </c>
      <c r="BJ8" s="75">
        <f>IF(BI8&gt;0,SUM(BI$7:BI8)-SUM(BH$7:BH8),0)</f>
        <v>-13703</v>
      </c>
      <c r="BK8" s="45">
        <f>IF(BI8&gt;0,IF(BH8&gt;0,BI8/BH8,0),0)</f>
        <v>0.59741758241758247</v>
      </c>
      <c r="BL8" s="75">
        <v>8000</v>
      </c>
      <c r="BM8" s="75">
        <v>6444</v>
      </c>
      <c r="BN8" s="90">
        <f>IF(BM8&gt;0,SUM(BM$7:BM8)-SUM(BL$7:BL8),0)</f>
        <v>-1505</v>
      </c>
      <c r="BO8" s="45">
        <f>IF(BM8&gt;0,IF(BL8&gt;0,BM8/BL8,0),0)</f>
        <v>0.80549999999999999</v>
      </c>
      <c r="BP8" s="75">
        <v>11000</v>
      </c>
      <c r="BQ8" s="75">
        <v>10132</v>
      </c>
      <c r="BR8" s="90">
        <f>IF(BQ8&gt;0,SUM(BQ$7:BQ8)-SUM(BP$7:BP8),0)</f>
        <v>-5994</v>
      </c>
      <c r="BS8" s="45">
        <f>IF(BQ8&gt;0,IF(BP8&gt;0,BQ8/BP8,0),0)</f>
        <v>0.92109090909090907</v>
      </c>
      <c r="BT8" s="35">
        <f t="shared" si="5"/>
        <v>37200</v>
      </c>
      <c r="BU8" s="35">
        <f t="shared" si="5"/>
        <v>27449</v>
      </c>
      <c r="BV8" s="91">
        <f>IF(BU8&gt;0,SUM(BU$7:BU8)-SUM(BT$7:BT8),0)</f>
        <v>-21202</v>
      </c>
      <c r="BW8" s="45">
        <f>IF(BU8&gt;0,IF(BT8&gt;0,BU8/BT8,0),0)</f>
        <v>0.73787634408602154</v>
      </c>
      <c r="BY8" s="47">
        <f>BY7+1</f>
        <v>40818</v>
      </c>
      <c r="BZ8" s="54" t="str">
        <f t="shared" ref="BZ8:BZ37" si="12">BG8</f>
        <v>sex</v>
      </c>
      <c r="CA8" s="75">
        <v>5000</v>
      </c>
      <c r="CB8" s="75">
        <v>5857</v>
      </c>
      <c r="CC8" s="90">
        <f>IF(CB8&gt;0,SUM(CB$7:CB8)-SUM(CA$7:CA8),0)</f>
        <v>609</v>
      </c>
      <c r="CD8" s="45">
        <f>IF(CB8&gt;0,IF(CA8&gt;0,CB8/CA8,0),0)</f>
        <v>1.1714</v>
      </c>
    </row>
    <row r="9" spans="1:82" x14ac:dyDescent="0.25">
      <c r="A9" s="47">
        <f t="shared" ref="A9:A36" si="13">A8+1</f>
        <v>40819</v>
      </c>
      <c r="B9" s="54" t="s">
        <v>25</v>
      </c>
      <c r="C9" s="75">
        <v>12900</v>
      </c>
      <c r="D9" s="75">
        <v>9998</v>
      </c>
      <c r="E9" s="90">
        <f>IF(D9&gt;0,SUM(D$7:D9)-SUM(C$7:C9),0)</f>
        <v>-9518</v>
      </c>
      <c r="F9" s="45">
        <f t="shared" ref="F9:F38" si="14">IF(D9&gt;0,IF(C9&gt;0,D9/C9,0),0)</f>
        <v>0.77503875968992253</v>
      </c>
      <c r="G9" s="75">
        <v>12900</v>
      </c>
      <c r="H9" s="75">
        <v>9014</v>
      </c>
      <c r="I9" s="75">
        <f>IF(H9&gt;0,SUM(H$7:H9)-SUM(G$7:G9),0)</f>
        <v>-13171</v>
      </c>
      <c r="J9" s="45">
        <f t="shared" si="0"/>
        <v>0.69875968992248061</v>
      </c>
      <c r="K9" s="75">
        <v>12900</v>
      </c>
      <c r="L9" s="75">
        <v>11583</v>
      </c>
      <c r="M9" s="90">
        <f>IF(L9&gt;0,SUM(L$7:L9)-SUM(K$7:K9),0)</f>
        <v>-1510</v>
      </c>
      <c r="N9" s="45">
        <f t="shared" si="1"/>
        <v>0.89790697674418607</v>
      </c>
      <c r="O9" s="35">
        <f t="shared" si="2"/>
        <v>38700</v>
      </c>
      <c r="P9" s="35">
        <f t="shared" si="6"/>
        <v>30595</v>
      </c>
      <c r="Q9" s="91">
        <f>IF(P9&gt;0,SUM(P$7:P9)-SUM(O$7:O9),0)</f>
        <v>-24199</v>
      </c>
      <c r="R9" s="45">
        <f t="shared" ref="R9:R38" si="15">IF(P9&gt;0,IF(O9&gt;0,P9/O9,0),0)</f>
        <v>0.79056847545219633</v>
      </c>
      <c r="T9" s="47">
        <f t="shared" ref="T9:T36" si="16">T8+1</f>
        <v>40819</v>
      </c>
      <c r="U9" s="54" t="str">
        <f t="shared" si="7"/>
        <v>sáb</v>
      </c>
      <c r="V9" s="75">
        <v>12340</v>
      </c>
      <c r="W9" s="75">
        <v>9688</v>
      </c>
      <c r="X9" s="92">
        <f>IF(W9&gt;0,SUM(W$7:W9)-SUM(V$7:V9),0)</f>
        <v>-8977</v>
      </c>
      <c r="Y9" s="60">
        <f t="shared" ref="Y9:Y38" si="17">IF(W9&gt;0,IF(V9&gt;0,W9/V9,0),0)</f>
        <v>0.78508914100486227</v>
      </c>
      <c r="Z9" s="75">
        <v>12340</v>
      </c>
      <c r="AA9" s="75">
        <v>7656</v>
      </c>
      <c r="AB9" s="92">
        <f>IF(AA9&gt;0,SUM(AA$7:AA9)-SUM(Z$7:Z9),0)</f>
        <v>-6189</v>
      </c>
      <c r="AC9" s="60">
        <f t="shared" ref="AC9:AC38" si="18">IF(AA9&gt;0,IF(Z9&gt;0,AA9/Z9,0),0)</f>
        <v>0.6204213938411669</v>
      </c>
      <c r="AD9" s="75">
        <v>12340</v>
      </c>
      <c r="AE9" s="75">
        <v>10391</v>
      </c>
      <c r="AF9" s="92">
        <f>IF(AE9&gt;0,SUM(AE$7:AE9)-SUM(AD$7:AD9),0)</f>
        <v>-8620</v>
      </c>
      <c r="AG9" s="60">
        <f t="shared" ref="AG9:AG38" si="19">IF(AE9&gt;0,IF(AD9&gt;0,AE9/AD9,0),0)</f>
        <v>0.84205834683954617</v>
      </c>
      <c r="AH9" s="41">
        <f t="shared" si="3"/>
        <v>37020</v>
      </c>
      <c r="AI9" s="41">
        <f t="shared" si="8"/>
        <v>27735</v>
      </c>
      <c r="AJ9" s="93">
        <f>IF(AI9&gt;0,SUM(AI$7:AI9)-SUM(AH$7:AH9),0)</f>
        <v>-23786</v>
      </c>
      <c r="AK9" s="60">
        <f t="shared" ref="AK9:AK37" si="20">IF(AI9&gt;0,IF(AH9&gt;0,AI9/AH9,0),0)</f>
        <v>0.74918962722852511</v>
      </c>
      <c r="AM9" s="47">
        <f t="shared" ref="AM9:AM36" si="21">AM8+1</f>
        <v>40819</v>
      </c>
      <c r="AN9" s="54" t="str">
        <f t="shared" si="9"/>
        <v>sáb</v>
      </c>
      <c r="AO9" s="75">
        <v>7700</v>
      </c>
      <c r="AP9" s="75">
        <v>6630</v>
      </c>
      <c r="AQ9" s="75">
        <f>IF(AP9&gt;0,SUM(AP$7:AP9)-SUM(AO$7:AO9),0)</f>
        <v>-5740</v>
      </c>
      <c r="AR9" s="45">
        <f t="shared" ref="AR9:AR38" si="22">IF(AP9&gt;0,IF(AO9&gt;0,AP9/AO9,0),0)</f>
        <v>0.86103896103896105</v>
      </c>
      <c r="AS9" s="75">
        <v>7700</v>
      </c>
      <c r="AT9" s="75">
        <v>5181</v>
      </c>
      <c r="AU9" s="90">
        <f>IF(AT9&gt;0,SUM(AT$7:AT9)-SUM(AS$7:AS9),0)</f>
        <v>-3145</v>
      </c>
      <c r="AV9" s="45">
        <f t="shared" ref="AV9:AV38" si="23">IF(AT9&gt;0,IF(AS9&gt;0,AT9/AS9,0),0)</f>
        <v>0.67285714285714282</v>
      </c>
      <c r="AW9" s="75">
        <v>7700</v>
      </c>
      <c r="AX9" s="75">
        <v>6015</v>
      </c>
      <c r="AY9" s="90">
        <f>IF(AX9&gt;0,SUM(AX$7:AX9)-SUM(AW$7:AW9),0)</f>
        <v>-5402</v>
      </c>
      <c r="AZ9" s="45">
        <f>IF(AX9&gt;0,IF(AW9&gt;0,AX9/AW9,0),0)</f>
        <v>0.78116883116883118</v>
      </c>
      <c r="BA9" s="35">
        <f t="shared" si="4"/>
        <v>23100</v>
      </c>
      <c r="BB9" s="35">
        <f t="shared" si="10"/>
        <v>17826</v>
      </c>
      <c r="BC9" s="91">
        <f>IF(BB9&gt;0,SUM(BB$7:BB9)-SUM(BA$7:BA9),0)</f>
        <v>-14287</v>
      </c>
      <c r="BD9" s="45">
        <f t="shared" ref="BD9:BD38" si="24">IF(BB9&gt;0,IF(BA9&gt;0,BB9/BA9,0),0)</f>
        <v>0.77168831168831165</v>
      </c>
      <c r="BF9" s="47">
        <f t="shared" ref="BF9:BF36" si="25">BF8+1</f>
        <v>40819</v>
      </c>
      <c r="BG9" s="54" t="str">
        <f t="shared" si="11"/>
        <v>sáb</v>
      </c>
      <c r="BH9" s="75">
        <v>18200</v>
      </c>
      <c r="BI9" s="75">
        <v>13165</v>
      </c>
      <c r="BJ9" s="75">
        <f>IF(BI9&gt;0,SUM(BI$7:BI9)-SUM(BH$7:BH9),0)</f>
        <v>-18738</v>
      </c>
      <c r="BK9" s="45">
        <f t="shared" ref="BK9:BK38" si="26">IF(BI9&gt;0,IF(BH9&gt;0,BI9/BH9,0),0)</f>
        <v>0.72335164835164834</v>
      </c>
      <c r="BL9" s="75">
        <v>8000</v>
      </c>
      <c r="BM9" s="75">
        <v>4663</v>
      </c>
      <c r="BN9" s="90">
        <f>IF(BM9&gt;0,SUM(BM$7:BM9)-SUM(BL$7:BL9),0)</f>
        <v>-4842</v>
      </c>
      <c r="BO9" s="45">
        <f t="shared" ref="BO9:BO38" si="27">IF(BM9&gt;0,IF(BL9&gt;0,BM9/BL9,0),0)</f>
        <v>0.58287500000000003</v>
      </c>
      <c r="BP9" s="75">
        <v>11000</v>
      </c>
      <c r="BQ9" s="75">
        <v>14925</v>
      </c>
      <c r="BR9" s="90">
        <f>IF(BQ9&gt;0,SUM(BQ$7:BQ9)-SUM(BP$7:BP9),0)</f>
        <v>-2069</v>
      </c>
      <c r="BS9" s="45">
        <f>IF(BQ9&gt;0,IF(BP9&gt;0,BQ9/BP9,0),0)</f>
        <v>1.3568181818181819</v>
      </c>
      <c r="BT9" s="35">
        <f>IF(SUM(BH9,BL9,BP9)&gt;0,SUM(BH9,BL9,BP9),0)</f>
        <v>37200</v>
      </c>
      <c r="BU9" s="35">
        <f t="shared" si="5"/>
        <v>32753</v>
      </c>
      <c r="BV9" s="91">
        <f>IF(BU9&gt;0,SUM(BU$7:BU9)-SUM(BT$7:BT9),0)</f>
        <v>-25649</v>
      </c>
      <c r="BW9" s="45">
        <f t="shared" ref="BW9:BW38" si="28">IF(BU9&gt;0,IF(BT9&gt;0,BU9/BT9,0),0)</f>
        <v>0.88045698924731186</v>
      </c>
      <c r="BY9" s="47">
        <f t="shared" ref="BY9:BY36" si="29">BY8+1</f>
        <v>40819</v>
      </c>
      <c r="BZ9" s="54" t="str">
        <f t="shared" si="12"/>
        <v>sáb</v>
      </c>
      <c r="CA9" s="75">
        <v>5000</v>
      </c>
      <c r="CB9" s="75">
        <v>8439</v>
      </c>
      <c r="CC9" s="90">
        <f>IF(CB9&gt;0,SUM(CB$7:CB9)-SUM(CA$7:CA9),0)</f>
        <v>4048</v>
      </c>
      <c r="CD9" s="45">
        <f t="shared" ref="CD9:CD38" si="30">IF(CB9&gt;0,IF(CA9&gt;0,CB9/CA9,0),0)</f>
        <v>1.6878</v>
      </c>
    </row>
    <row r="10" spans="1:82" x14ac:dyDescent="0.25">
      <c r="A10" s="47">
        <f t="shared" si="13"/>
        <v>40820</v>
      </c>
      <c r="B10" s="54" t="s">
        <v>26</v>
      </c>
      <c r="C10" s="75"/>
      <c r="D10" s="75">
        <v>13425</v>
      </c>
      <c r="E10" s="90">
        <f>IF(D10&gt;0,SUM(D$7:D10)-SUM(C$7:C10),0)</f>
        <v>3907</v>
      </c>
      <c r="F10" s="45">
        <f t="shared" si="14"/>
        <v>0</v>
      </c>
      <c r="G10" s="75"/>
      <c r="H10" s="75"/>
      <c r="I10" s="75">
        <f>IF(H10&gt;0,SUM(H$7:H10)-SUM(G$7:G10),0)</f>
        <v>0</v>
      </c>
      <c r="J10" s="45">
        <f t="shared" si="0"/>
        <v>0</v>
      </c>
      <c r="K10" s="75"/>
      <c r="L10" s="75"/>
      <c r="M10" s="90">
        <f>IF(L10&gt;0,SUM(L$7:L10)-SUM(K$7:K10),0)</f>
        <v>0</v>
      </c>
      <c r="N10" s="45">
        <f t="shared" si="1"/>
        <v>0</v>
      </c>
      <c r="O10" s="35">
        <f t="shared" si="2"/>
        <v>0</v>
      </c>
      <c r="P10" s="35">
        <f t="shared" si="6"/>
        <v>13425</v>
      </c>
      <c r="Q10" s="91">
        <f>IF(P10&gt;0,SUM(P$7:P10)-SUM(O$7:O10),0)</f>
        <v>-10774</v>
      </c>
      <c r="R10" s="45">
        <f t="shared" si="15"/>
        <v>0</v>
      </c>
      <c r="T10" s="47">
        <f t="shared" si="16"/>
        <v>40820</v>
      </c>
      <c r="U10" s="54" t="str">
        <f t="shared" si="7"/>
        <v>dom</v>
      </c>
      <c r="V10" s="75"/>
      <c r="W10" s="75">
        <v>21264</v>
      </c>
      <c r="X10" s="92">
        <f>IF(W10&gt;0,SUM(W$7:W10)-SUM(V$7:V10),0)</f>
        <v>12287</v>
      </c>
      <c r="Y10" s="60">
        <f t="shared" si="17"/>
        <v>0</v>
      </c>
      <c r="Z10" s="75"/>
      <c r="AA10" s="75"/>
      <c r="AB10" s="92">
        <f>IF(AA10&gt;0,SUM(AA$7:AA10)-SUM(Z$7:Z10),0)</f>
        <v>0</v>
      </c>
      <c r="AC10" s="60">
        <f t="shared" si="18"/>
        <v>0</v>
      </c>
      <c r="AD10" s="75"/>
      <c r="AE10" s="75"/>
      <c r="AF10" s="92">
        <f>IF(AE10&gt;0,SUM(AE$7:AE10)-SUM(AD$7:AD10),0)</f>
        <v>0</v>
      </c>
      <c r="AG10" s="60">
        <f t="shared" si="19"/>
        <v>0</v>
      </c>
      <c r="AH10" s="41">
        <f t="shared" si="3"/>
        <v>0</v>
      </c>
      <c r="AI10" s="93">
        <f t="shared" si="8"/>
        <v>21264</v>
      </c>
      <c r="AJ10" s="93">
        <f>IF(AI10&gt;0,SUM(AI$7:AI10)-SUM(AH$7:AH10),0)</f>
        <v>-2522</v>
      </c>
      <c r="AK10" s="60">
        <f t="shared" si="20"/>
        <v>0</v>
      </c>
      <c r="AM10" s="47">
        <f t="shared" si="21"/>
        <v>40820</v>
      </c>
      <c r="AN10" s="54" t="str">
        <f t="shared" si="9"/>
        <v>dom</v>
      </c>
      <c r="AO10" s="75"/>
      <c r="AP10" s="75"/>
      <c r="AQ10" s="75">
        <f>IF(AP10&gt;0,SUM(AP$7:AP10)-SUM(AO$7:AO10),0)</f>
        <v>0</v>
      </c>
      <c r="AR10" s="45">
        <f t="shared" si="22"/>
        <v>0</v>
      </c>
      <c r="AS10" s="75"/>
      <c r="AT10" s="75"/>
      <c r="AU10" s="90">
        <f>IF(AT10&gt;0,SUM(AT$7:AT10)-SUM(AS$7:AS10),0)</f>
        <v>0</v>
      </c>
      <c r="AV10" s="45">
        <f t="shared" si="23"/>
        <v>0</v>
      </c>
      <c r="AW10" s="75"/>
      <c r="AX10" s="75"/>
      <c r="AY10" s="90">
        <f>IF(AX10&gt;0,SUM(AX$7:AX10)-SUM(AW$7:AW10),0)</f>
        <v>0</v>
      </c>
      <c r="AZ10" s="45">
        <f>IF(AX10&gt;0,IF(AW10&gt;0,AX10/AW10,0),0)</f>
        <v>0</v>
      </c>
      <c r="BA10" s="35">
        <f t="shared" si="4"/>
        <v>0</v>
      </c>
      <c r="BB10" s="35">
        <f t="shared" si="10"/>
        <v>0</v>
      </c>
      <c r="BC10" s="91">
        <f>IF(BB10&gt;0,SUM(BB$7:BB10)-SUM(BA$7:BA10),0)</f>
        <v>0</v>
      </c>
      <c r="BD10" s="45">
        <f t="shared" si="24"/>
        <v>0</v>
      </c>
      <c r="BF10" s="47">
        <f t="shared" si="25"/>
        <v>40820</v>
      </c>
      <c r="BG10" s="54" t="str">
        <f t="shared" si="11"/>
        <v>dom</v>
      </c>
      <c r="BH10" s="75"/>
      <c r="BI10" s="75"/>
      <c r="BJ10" s="75">
        <f>IF(BI10&gt;0,SUM(BI$7:BI10)-SUM(BH$7:BH10),0)</f>
        <v>0</v>
      </c>
      <c r="BK10" s="45">
        <f t="shared" si="26"/>
        <v>0</v>
      </c>
      <c r="BL10" s="75"/>
      <c r="BM10" s="75"/>
      <c r="BN10" s="90">
        <f>IF(BM10&gt;0,SUM(BM$7:BM10)-SUM(BL$7:BL10),0)</f>
        <v>0</v>
      </c>
      <c r="BO10" s="45">
        <f t="shared" si="27"/>
        <v>0</v>
      </c>
      <c r="BP10" s="75"/>
      <c r="BQ10" s="75"/>
      <c r="BR10" s="90">
        <f>IF(BQ10&gt;0,SUM(BQ$7:BQ10)-SUM(BP$7:BP10),0)</f>
        <v>0</v>
      </c>
      <c r="BS10" s="45">
        <f>IF(BQ10&gt;0,IF(BP10&gt;0,BQ10/BP10,0),0)</f>
        <v>0</v>
      </c>
      <c r="BT10" s="35">
        <f>IF(SUM(BH10,BL10,BP10)&gt;0,SUM(BH10,BL10,BP10),0)</f>
        <v>0</v>
      </c>
      <c r="BU10" s="35">
        <f t="shared" si="5"/>
        <v>0</v>
      </c>
      <c r="BV10" s="91">
        <f>IF(BU10&gt;0,SUM(BU$7:BU10)-SUM(BT$7:BT10),0)</f>
        <v>0</v>
      </c>
      <c r="BW10" s="45">
        <f t="shared" si="28"/>
        <v>0</v>
      </c>
      <c r="BY10" s="47">
        <f t="shared" si="29"/>
        <v>40820</v>
      </c>
      <c r="BZ10" s="54" t="str">
        <f t="shared" si="12"/>
        <v>dom</v>
      </c>
      <c r="CA10" s="75"/>
      <c r="CB10" s="75"/>
      <c r="CC10" s="90">
        <f>IF(CB10&gt;0,SUM(CB$7:CB10)-SUM(CA$7:CA10),0)</f>
        <v>0</v>
      </c>
      <c r="CD10" s="45">
        <f t="shared" si="30"/>
        <v>0</v>
      </c>
    </row>
    <row r="11" spans="1:82" x14ac:dyDescent="0.25">
      <c r="A11" s="47">
        <f t="shared" si="13"/>
        <v>40821</v>
      </c>
      <c r="B11" s="54" t="s">
        <v>27</v>
      </c>
      <c r="C11" s="75">
        <v>12900</v>
      </c>
      <c r="D11" s="75">
        <v>2392</v>
      </c>
      <c r="E11" s="90">
        <f>IF(D11&gt;0,SUM(D$7:D11)-SUM(C$7:C11),0)</f>
        <v>-6601</v>
      </c>
      <c r="F11" s="45">
        <f t="shared" si="14"/>
        <v>0.18542635658914727</v>
      </c>
      <c r="G11" s="75">
        <v>12900</v>
      </c>
      <c r="H11" s="75">
        <v>1128</v>
      </c>
      <c r="I11" s="75">
        <f>IF(H11&gt;0,SUM(H$7:H11)-SUM(G$7:G11),0)</f>
        <v>-24943</v>
      </c>
      <c r="J11" s="45">
        <f t="shared" si="0"/>
        <v>8.7441860465116275E-2</v>
      </c>
      <c r="K11" s="75">
        <v>12900</v>
      </c>
      <c r="L11" s="75">
        <v>2260</v>
      </c>
      <c r="M11" s="90">
        <f>IF(L11&gt;0,SUM(L$7:L11)-SUM(K$7:K11),0)</f>
        <v>-12150</v>
      </c>
      <c r="N11" s="45">
        <f t="shared" si="1"/>
        <v>0.17519379844961241</v>
      </c>
      <c r="O11" s="35">
        <f t="shared" si="2"/>
        <v>38700</v>
      </c>
      <c r="P11" s="35">
        <f t="shared" si="6"/>
        <v>5780</v>
      </c>
      <c r="Q11" s="91">
        <f>IF(P11&gt;0,SUM(P$7:P11)-SUM(O$7:O11),0)</f>
        <v>-43694</v>
      </c>
      <c r="R11" s="45">
        <f t="shared" si="15"/>
        <v>0.14935400516795866</v>
      </c>
      <c r="T11" s="47">
        <f t="shared" si="16"/>
        <v>40821</v>
      </c>
      <c r="U11" s="54" t="str">
        <f t="shared" si="7"/>
        <v>seg</v>
      </c>
      <c r="V11" s="75">
        <v>12340</v>
      </c>
      <c r="W11" s="75">
        <v>12016</v>
      </c>
      <c r="X11" s="92">
        <f>IF(W11&gt;0,SUM(W$7:W11)-SUM(V$7:V11),0)</f>
        <v>11963</v>
      </c>
      <c r="Y11" s="60">
        <f t="shared" si="17"/>
        <v>0.97374392220421391</v>
      </c>
      <c r="Z11" s="75">
        <v>12340</v>
      </c>
      <c r="AA11" s="75">
        <v>10246</v>
      </c>
      <c r="AB11" s="92">
        <f>IF(AA11&gt;0,SUM(AA$7:AA11)-SUM(Z$7:Z11),0)</f>
        <v>-8283</v>
      </c>
      <c r="AC11" s="60">
        <f t="shared" si="18"/>
        <v>0.83030794165316046</v>
      </c>
      <c r="AD11" s="75">
        <v>12340</v>
      </c>
      <c r="AE11" s="75">
        <v>11583</v>
      </c>
      <c r="AF11" s="92">
        <f>IF(AE11&gt;0,SUM(AE$7:AE11)-SUM(AD$7:AD11),0)</f>
        <v>-9377</v>
      </c>
      <c r="AG11" s="60">
        <f t="shared" si="19"/>
        <v>0.93865478119935175</v>
      </c>
      <c r="AH11" s="41">
        <f t="shared" si="3"/>
        <v>37020</v>
      </c>
      <c r="AI11" s="41">
        <f t="shared" si="8"/>
        <v>33845</v>
      </c>
      <c r="AJ11" s="93">
        <f>IF(AI11&gt;0,SUM(AI$7:AI11)-SUM(AH$7:AH11),0)</f>
        <v>-5697</v>
      </c>
      <c r="AK11" s="60">
        <f t="shared" si="20"/>
        <v>0.91423554835224208</v>
      </c>
      <c r="AM11" s="47">
        <f t="shared" si="21"/>
        <v>40821</v>
      </c>
      <c r="AN11" s="54" t="str">
        <f t="shared" si="9"/>
        <v>seg</v>
      </c>
      <c r="AO11" s="75">
        <v>7700</v>
      </c>
      <c r="AP11" s="75">
        <v>9110</v>
      </c>
      <c r="AQ11" s="75">
        <f>IF(AP11&gt;0,SUM(AP$7:AP11)-SUM(AO$7:AO11),0)</f>
        <v>-4330</v>
      </c>
      <c r="AR11" s="45">
        <f t="shared" si="22"/>
        <v>1.183116883116883</v>
      </c>
      <c r="AS11" s="75">
        <v>7700</v>
      </c>
      <c r="AT11" s="75">
        <v>6833</v>
      </c>
      <c r="AU11" s="90">
        <f>IF(AT11&gt;0,SUM(AT$7:AT11)-SUM(AS$7:AS11),0)</f>
        <v>-4012</v>
      </c>
      <c r="AV11" s="45">
        <f t="shared" si="23"/>
        <v>0.88740259740259742</v>
      </c>
      <c r="AW11" s="75">
        <v>7700</v>
      </c>
      <c r="AX11" s="75">
        <v>8617</v>
      </c>
      <c r="AY11" s="90">
        <f>IF(AX11&gt;0,SUM(AX$7:AX11)-SUM(AW$7:AW11),0)</f>
        <v>-4485</v>
      </c>
      <c r="AZ11" s="45">
        <f t="shared" ref="AZ11:AZ38" si="31">IF(AX11&gt;0,IF(AW11&gt;0,AX11/AW11,0),0)</f>
        <v>1.1190909090909091</v>
      </c>
      <c r="BA11" s="35">
        <f t="shared" si="4"/>
        <v>23100</v>
      </c>
      <c r="BB11" s="35">
        <f t="shared" si="10"/>
        <v>24560</v>
      </c>
      <c r="BC11" s="91">
        <f>IF(BB11&gt;0,SUM(BB$7:BB11)-SUM(BA$7:BA11),0)</f>
        <v>-12827</v>
      </c>
      <c r="BD11" s="45">
        <f t="shared" si="24"/>
        <v>1.0632034632034633</v>
      </c>
      <c r="BF11" s="47">
        <f t="shared" si="25"/>
        <v>40821</v>
      </c>
      <c r="BG11" s="54" t="str">
        <f t="shared" si="11"/>
        <v>seg</v>
      </c>
      <c r="BH11" s="75">
        <v>18200</v>
      </c>
      <c r="BI11" s="75">
        <v>15070</v>
      </c>
      <c r="BJ11" s="75">
        <f>IF(BI11&gt;0,SUM(BI$7:BI11)-SUM(BH$7:BH11),0)</f>
        <v>-21868</v>
      </c>
      <c r="BK11" s="45">
        <f t="shared" si="26"/>
        <v>0.82802197802197797</v>
      </c>
      <c r="BL11" s="75">
        <v>8000</v>
      </c>
      <c r="BM11" s="75">
        <v>7776</v>
      </c>
      <c r="BN11" s="90">
        <f>IF(BM11&gt;0,SUM(BM$7:BM11)-SUM(BL$7:BL11),0)</f>
        <v>-5066</v>
      </c>
      <c r="BO11" s="45">
        <f t="shared" si="27"/>
        <v>0.97199999999999998</v>
      </c>
      <c r="BP11" s="75">
        <v>11000</v>
      </c>
      <c r="BQ11" s="75">
        <v>12672</v>
      </c>
      <c r="BR11" s="90">
        <f>IF(BQ11&gt;0,SUM(BQ$7:BQ11)-SUM(BP$7:BP11),0)</f>
        <v>-397</v>
      </c>
      <c r="BS11" s="45">
        <f t="shared" ref="BS11:BS38" si="32">IF(BQ11&gt;0,IF(BP11&gt;0,BQ11/BP11,0),0)</f>
        <v>1.1519999999999999</v>
      </c>
      <c r="BT11" s="35">
        <f t="shared" si="5"/>
        <v>37200</v>
      </c>
      <c r="BU11" s="35">
        <f t="shared" si="5"/>
        <v>35518</v>
      </c>
      <c r="BV11" s="91">
        <f>IF(BU11&gt;0,SUM(BU$7:BU11)-SUM(BT$7:BT11),0)</f>
        <v>-27331</v>
      </c>
      <c r="BW11" s="45">
        <f t="shared" si="28"/>
        <v>0.95478494623655918</v>
      </c>
      <c r="BY11" s="47">
        <f t="shared" si="29"/>
        <v>40821</v>
      </c>
      <c r="BZ11" s="54" t="str">
        <f t="shared" si="12"/>
        <v>seg</v>
      </c>
      <c r="CA11" s="75">
        <v>5000</v>
      </c>
      <c r="CB11" s="75">
        <v>5779</v>
      </c>
      <c r="CC11" s="90">
        <f>IF(CB11&gt;0,SUM(CB$7:CB11)-SUM(CA$7:CA11),0)</f>
        <v>4827</v>
      </c>
      <c r="CD11" s="45">
        <f t="shared" si="30"/>
        <v>1.1557999999999999</v>
      </c>
    </row>
    <row r="12" spans="1:82" x14ac:dyDescent="0.25">
      <c r="A12" s="47">
        <f t="shared" si="13"/>
        <v>40822</v>
      </c>
      <c r="B12" s="54" t="s">
        <v>28</v>
      </c>
      <c r="C12" s="75">
        <v>12900</v>
      </c>
      <c r="D12" s="75">
        <v>3851</v>
      </c>
      <c r="E12" s="90">
        <f>IF(D12&gt;0,SUM(D$7:D12)-SUM(C$7:C12),0)</f>
        <v>-15650</v>
      </c>
      <c r="F12" s="45">
        <f t="shared" si="14"/>
        <v>0.29852713178294571</v>
      </c>
      <c r="G12" s="75">
        <v>12900</v>
      </c>
      <c r="H12" s="75">
        <v>14443</v>
      </c>
      <c r="I12" s="75">
        <f>IF(H12&gt;0,SUM(H$7:H12)-SUM(G$7:G12),0)</f>
        <v>-23400</v>
      </c>
      <c r="J12" s="45">
        <f t="shared" si="0"/>
        <v>1.1196124031007753</v>
      </c>
      <c r="K12" s="75">
        <v>12900</v>
      </c>
      <c r="L12" s="75">
        <v>12888</v>
      </c>
      <c r="M12" s="90">
        <f>IF(L12&gt;0,SUM(L$7:L12)-SUM(K$7:K12),0)</f>
        <v>-12162</v>
      </c>
      <c r="N12" s="45">
        <f t="shared" si="1"/>
        <v>0.99906976744186049</v>
      </c>
      <c r="O12" s="35">
        <f t="shared" si="2"/>
        <v>38700</v>
      </c>
      <c r="P12" s="35">
        <f t="shared" si="6"/>
        <v>31182</v>
      </c>
      <c r="Q12" s="91">
        <f>IF(P12&gt;0,SUM(P$7:P12)-SUM(O$7:O12),0)</f>
        <v>-51212</v>
      </c>
      <c r="R12" s="45">
        <f t="shared" si="15"/>
        <v>0.80573643410852713</v>
      </c>
      <c r="T12" s="47">
        <f t="shared" si="16"/>
        <v>40822</v>
      </c>
      <c r="U12" s="54" t="str">
        <f t="shared" si="7"/>
        <v>ter</v>
      </c>
      <c r="V12" s="75">
        <v>12340</v>
      </c>
      <c r="W12" s="75">
        <v>11945</v>
      </c>
      <c r="X12" s="92">
        <f>IF(W12&gt;0,SUM(W$7:W12)-SUM(V$7:V12),0)</f>
        <v>11568</v>
      </c>
      <c r="Y12" s="60">
        <f t="shared" si="17"/>
        <v>0.96799027552674233</v>
      </c>
      <c r="Z12" s="75">
        <v>12340</v>
      </c>
      <c r="AA12" s="75">
        <v>11322</v>
      </c>
      <c r="AB12" s="92">
        <f>IF(AA12&gt;0,SUM(AA$7:AA12)-SUM(Z$7:Z12),0)</f>
        <v>-9301</v>
      </c>
      <c r="AC12" s="60">
        <f t="shared" si="18"/>
        <v>0.91750405186385742</v>
      </c>
      <c r="AD12" s="75">
        <v>12340</v>
      </c>
      <c r="AE12" s="75">
        <v>10783</v>
      </c>
      <c r="AF12" s="92">
        <f>IF(AE12&gt;0,SUM(AE$7:AE12)-SUM(AD$7:AD12),0)</f>
        <v>-10934</v>
      </c>
      <c r="AG12" s="60">
        <f t="shared" si="19"/>
        <v>0.87382495948136141</v>
      </c>
      <c r="AH12" s="41">
        <f t="shared" si="3"/>
        <v>37020</v>
      </c>
      <c r="AI12" s="41">
        <f t="shared" si="8"/>
        <v>34050</v>
      </c>
      <c r="AJ12" s="93">
        <f>IF(AI12&gt;0,SUM(AI$7:AI12)-SUM(AH$7:AH12),0)</f>
        <v>-8667</v>
      </c>
      <c r="AK12" s="60">
        <f t="shared" si="20"/>
        <v>0.91977309562398701</v>
      </c>
      <c r="AM12" s="47">
        <f t="shared" si="21"/>
        <v>40822</v>
      </c>
      <c r="AN12" s="54" t="str">
        <f t="shared" si="9"/>
        <v>ter</v>
      </c>
      <c r="AO12" s="75">
        <v>7700</v>
      </c>
      <c r="AP12" s="75">
        <v>9575</v>
      </c>
      <c r="AQ12" s="75">
        <f>IF(AP12&gt;0,SUM(AP$7:AP12)-SUM(AO$7:AO12),0)</f>
        <v>-2455</v>
      </c>
      <c r="AR12" s="45">
        <f t="shared" si="22"/>
        <v>1.2435064935064934</v>
      </c>
      <c r="AS12" s="75">
        <v>7700</v>
      </c>
      <c r="AT12" s="75">
        <v>6603</v>
      </c>
      <c r="AU12" s="90">
        <f>IF(AT12&gt;0,SUM(AT$7:AT12)-SUM(AS$7:AS12),0)</f>
        <v>-5109</v>
      </c>
      <c r="AV12" s="45">
        <f t="shared" si="23"/>
        <v>0.85753246753246748</v>
      </c>
      <c r="AW12" s="75">
        <v>7700</v>
      </c>
      <c r="AX12" s="75">
        <v>6302</v>
      </c>
      <c r="AY12" s="90">
        <f>IF(AX12&gt;0,SUM(AX$7:AX12)-SUM(AW$7:AW12),0)</f>
        <v>-5883</v>
      </c>
      <c r="AZ12" s="45">
        <f t="shared" si="31"/>
        <v>0.81844155844155841</v>
      </c>
      <c r="BA12" s="35">
        <f t="shared" si="4"/>
        <v>23100</v>
      </c>
      <c r="BB12" s="35">
        <f t="shared" si="10"/>
        <v>22480</v>
      </c>
      <c r="BC12" s="91">
        <f>IF(BB12&gt;0,SUM(BB$7:BB12)-SUM(BA$7:BA12),0)</f>
        <v>-13447</v>
      </c>
      <c r="BD12" s="45">
        <f t="shared" si="24"/>
        <v>0.97316017316017311</v>
      </c>
      <c r="BF12" s="47">
        <f t="shared" si="25"/>
        <v>40822</v>
      </c>
      <c r="BG12" s="54" t="str">
        <f t="shared" si="11"/>
        <v>ter</v>
      </c>
      <c r="BH12" s="75">
        <v>18200</v>
      </c>
      <c r="BI12" s="75">
        <v>13505</v>
      </c>
      <c r="BJ12" s="75">
        <f>IF(BI12&gt;0,SUM(BI$7:BI12)-SUM(BH$7:BH12),0)</f>
        <v>-26563</v>
      </c>
      <c r="BK12" s="45">
        <f t="shared" si="26"/>
        <v>0.74203296703296706</v>
      </c>
      <c r="BL12" s="75">
        <v>8000</v>
      </c>
      <c r="BM12" s="75">
        <v>8977</v>
      </c>
      <c r="BN12" s="90">
        <f>IF(BM12&gt;0,SUM(BM$7:BM12)-SUM(BL$7:BL12),0)</f>
        <v>-4089</v>
      </c>
      <c r="BO12" s="45">
        <f t="shared" si="27"/>
        <v>1.122125</v>
      </c>
      <c r="BP12" s="75">
        <v>11000</v>
      </c>
      <c r="BQ12" s="75">
        <v>7361</v>
      </c>
      <c r="BR12" s="90">
        <f>IF(BQ12&gt;0,SUM(BQ$7:BQ12)-SUM(BP$7:BP12),0)</f>
        <v>-4036</v>
      </c>
      <c r="BS12" s="45">
        <f t="shared" si="32"/>
        <v>0.66918181818181821</v>
      </c>
      <c r="BT12" s="35">
        <f t="shared" si="5"/>
        <v>37200</v>
      </c>
      <c r="BU12" s="35">
        <f t="shared" si="5"/>
        <v>29843</v>
      </c>
      <c r="BV12" s="91">
        <f>IF(BU12&gt;0,SUM(BU$7:BU12)-SUM(BT$7:BT12),0)</f>
        <v>-34688</v>
      </c>
      <c r="BW12" s="45">
        <f t="shared" si="28"/>
        <v>0.80223118279569894</v>
      </c>
      <c r="BY12" s="47">
        <f t="shared" si="29"/>
        <v>40822</v>
      </c>
      <c r="BZ12" s="54" t="str">
        <f t="shared" si="12"/>
        <v>ter</v>
      </c>
      <c r="CA12" s="75">
        <v>5000</v>
      </c>
      <c r="CB12" s="75">
        <v>5288</v>
      </c>
      <c r="CC12" s="90">
        <f>IF(CB12&gt;0,SUM(CB$7:CB12)-SUM(CA$7:CA12),0)</f>
        <v>5115</v>
      </c>
      <c r="CD12" s="45">
        <f t="shared" si="30"/>
        <v>1.0576000000000001</v>
      </c>
    </row>
    <row r="13" spans="1:82" x14ac:dyDescent="0.25">
      <c r="A13" s="47">
        <f t="shared" si="13"/>
        <v>40823</v>
      </c>
      <c r="B13" s="54" t="s">
        <v>22</v>
      </c>
      <c r="C13" s="75">
        <v>12900</v>
      </c>
      <c r="D13" s="75">
        <v>9242</v>
      </c>
      <c r="E13" s="90">
        <f>IF(D13&gt;0,SUM(D$7:D13)-SUM(C$7:C13),0)</f>
        <v>-19308</v>
      </c>
      <c r="F13" s="45">
        <f t="shared" si="14"/>
        <v>0.71643410852713174</v>
      </c>
      <c r="G13" s="75">
        <v>12900</v>
      </c>
      <c r="H13" s="75">
        <v>8151</v>
      </c>
      <c r="I13" s="75">
        <f>IF(H13&gt;0,SUM(H$7:H13)-SUM(G$7:G13),0)</f>
        <v>-28149</v>
      </c>
      <c r="J13" s="45">
        <f t="shared" si="0"/>
        <v>0.63186046511627902</v>
      </c>
      <c r="K13" s="75">
        <v>12900</v>
      </c>
      <c r="L13" s="75">
        <v>10993</v>
      </c>
      <c r="M13" s="90">
        <f>IF(L13&gt;0,SUM(L$7:L13)-SUM(K$7:K13),0)</f>
        <v>-14069</v>
      </c>
      <c r="N13" s="45">
        <f t="shared" si="1"/>
        <v>0.85217054263565895</v>
      </c>
      <c r="O13" s="35">
        <f t="shared" si="2"/>
        <v>38700</v>
      </c>
      <c r="P13" s="35">
        <f t="shared" si="6"/>
        <v>28386</v>
      </c>
      <c r="Q13" s="91">
        <f>IF(P13&gt;0,SUM(P$7:P13)-SUM(O$7:O13),0)</f>
        <v>-61526</v>
      </c>
      <c r="R13" s="45">
        <f t="shared" si="15"/>
        <v>0.73348837209302331</v>
      </c>
      <c r="T13" s="47">
        <f t="shared" si="16"/>
        <v>40823</v>
      </c>
      <c r="U13" s="54" t="str">
        <f t="shared" si="7"/>
        <v>qua</v>
      </c>
      <c r="V13" s="75">
        <v>12340</v>
      </c>
      <c r="W13" s="75">
        <v>12398</v>
      </c>
      <c r="X13" s="92">
        <f>IF(W13&gt;0,SUM(W$7:W13)-SUM(V$7:V13),0)</f>
        <v>11626</v>
      </c>
      <c r="Y13" s="60">
        <f t="shared" si="17"/>
        <v>1.0047001620745544</v>
      </c>
      <c r="Z13" s="75">
        <v>12340</v>
      </c>
      <c r="AA13" s="75">
        <v>11245</v>
      </c>
      <c r="AB13" s="92">
        <f>IF(AA13&gt;0,SUM(AA$7:AA13)-SUM(Z$7:Z13),0)</f>
        <v>-10396</v>
      </c>
      <c r="AC13" s="60">
        <f t="shared" si="18"/>
        <v>0.91126418152350086</v>
      </c>
      <c r="AD13" s="75">
        <v>12340</v>
      </c>
      <c r="AE13" s="75">
        <v>12020</v>
      </c>
      <c r="AF13" s="92">
        <f>IF(AE13&gt;0,SUM(AE$7:AE13)-SUM(AD$7:AD13),0)</f>
        <v>-11254</v>
      </c>
      <c r="AG13" s="60">
        <f t="shared" si="19"/>
        <v>0.97406807131280393</v>
      </c>
      <c r="AH13" s="41">
        <f t="shared" si="3"/>
        <v>37020</v>
      </c>
      <c r="AI13" s="41">
        <f t="shared" si="8"/>
        <v>35663</v>
      </c>
      <c r="AJ13" s="93">
        <f>IF(AI13&gt;0,SUM(AI$7:AI13)-SUM(AH$7:AH13),0)</f>
        <v>-10024</v>
      </c>
      <c r="AK13" s="60">
        <f t="shared" si="20"/>
        <v>0.96334413830361965</v>
      </c>
      <c r="AM13" s="47">
        <f t="shared" si="21"/>
        <v>40823</v>
      </c>
      <c r="AN13" s="54" t="str">
        <f t="shared" si="9"/>
        <v>qua</v>
      </c>
      <c r="AO13" s="75">
        <v>7700</v>
      </c>
      <c r="AP13" s="75">
        <v>6918</v>
      </c>
      <c r="AQ13" s="75">
        <f>IF(AP13&gt;0,SUM(AP$7:AP13)-SUM(AO$7:AO13),0)</f>
        <v>-3237</v>
      </c>
      <c r="AR13" s="45">
        <f t="shared" si="22"/>
        <v>0.89844155844155849</v>
      </c>
      <c r="AS13" s="75">
        <v>7700</v>
      </c>
      <c r="AT13" s="75">
        <v>5807</v>
      </c>
      <c r="AU13" s="90">
        <f>IF(AT13&gt;0,SUM(AT$7:AT13)-SUM(AS$7:AS13),0)</f>
        <v>-7002</v>
      </c>
      <c r="AV13" s="45">
        <f t="shared" si="23"/>
        <v>0.75415584415584414</v>
      </c>
      <c r="AW13" s="75">
        <v>7700</v>
      </c>
      <c r="AX13" s="75">
        <v>6714</v>
      </c>
      <c r="AY13" s="90">
        <f>IF(AX13&gt;0,SUM(AX$7:AX13)-SUM(AW$7:AW13),0)</f>
        <v>-6869</v>
      </c>
      <c r="AZ13" s="45">
        <f t="shared" si="31"/>
        <v>0.87194805194805192</v>
      </c>
      <c r="BA13" s="35">
        <f t="shared" si="4"/>
        <v>23100</v>
      </c>
      <c r="BB13" s="35">
        <f t="shared" si="10"/>
        <v>19439</v>
      </c>
      <c r="BC13" s="91">
        <f>IF(BB13&gt;0,SUM(BB$7:BB13)-SUM(BA$7:BA13),0)</f>
        <v>-17108</v>
      </c>
      <c r="BD13" s="45">
        <f t="shared" si="24"/>
        <v>0.84151515151515155</v>
      </c>
      <c r="BF13" s="47">
        <f t="shared" si="25"/>
        <v>40823</v>
      </c>
      <c r="BG13" s="54" t="str">
        <f t="shared" si="11"/>
        <v>qua</v>
      </c>
      <c r="BH13" s="75">
        <v>18200</v>
      </c>
      <c r="BI13" s="75">
        <v>11065</v>
      </c>
      <c r="BJ13" s="75">
        <f>IF(BI13&gt;0,SUM(BI$7:BI13)-SUM(BH$7:BH13),0)</f>
        <v>-33698</v>
      </c>
      <c r="BK13" s="45">
        <f t="shared" si="26"/>
        <v>0.60796703296703292</v>
      </c>
      <c r="BL13" s="75">
        <v>8000</v>
      </c>
      <c r="BM13" s="75">
        <v>8376</v>
      </c>
      <c r="BN13" s="90">
        <f>IF(BM13&gt;0,SUM(BM$7:BM13)-SUM(BL$7:BL13),0)</f>
        <v>-3713</v>
      </c>
      <c r="BO13" s="45">
        <f t="shared" si="27"/>
        <v>1.0469999999999999</v>
      </c>
      <c r="BP13" s="75">
        <v>11000</v>
      </c>
      <c r="BQ13" s="75">
        <v>7296</v>
      </c>
      <c r="BR13" s="90">
        <f>IF(BQ13&gt;0,SUM(BQ$7:BQ13)-SUM(BP$7:BP13),0)</f>
        <v>-7740</v>
      </c>
      <c r="BS13" s="45">
        <f t="shared" si="32"/>
        <v>0.66327272727272724</v>
      </c>
      <c r="BT13" s="35">
        <f t="shared" si="5"/>
        <v>37200</v>
      </c>
      <c r="BU13" s="35">
        <f t="shared" si="5"/>
        <v>26737</v>
      </c>
      <c r="BV13" s="91">
        <f>IF(BU13&gt;0,SUM(BU$7:BU13)-SUM(BT$7:BT13),0)</f>
        <v>-45151</v>
      </c>
      <c r="BW13" s="45">
        <f t="shared" si="28"/>
        <v>0.71873655913978496</v>
      </c>
      <c r="BY13" s="47">
        <f t="shared" si="29"/>
        <v>40823</v>
      </c>
      <c r="BZ13" s="54" t="str">
        <f t="shared" si="12"/>
        <v>qua</v>
      </c>
      <c r="CA13" s="75">
        <v>5000</v>
      </c>
      <c r="CB13" s="75">
        <v>6362</v>
      </c>
      <c r="CC13" s="90">
        <f>IF(CB13&gt;0,SUM(CB$7:CB13)-SUM(CA$7:CA13),0)</f>
        <v>6477</v>
      </c>
      <c r="CD13" s="45">
        <f t="shared" si="30"/>
        <v>1.2724</v>
      </c>
    </row>
    <row r="14" spans="1:82" x14ac:dyDescent="0.25">
      <c r="A14" s="47">
        <f t="shared" si="13"/>
        <v>40824</v>
      </c>
      <c r="B14" s="54" t="s">
        <v>23</v>
      </c>
      <c r="C14" s="75">
        <v>12900</v>
      </c>
      <c r="D14" s="75">
        <v>8520</v>
      </c>
      <c r="E14" s="90">
        <f>IF(D14&gt;0,SUM(D$7:D14)-SUM(C$7:C14),0)</f>
        <v>-23688</v>
      </c>
      <c r="F14" s="45">
        <f>IF(D14&gt;0,IF(C14&gt;0,D14/C14,0),0)</f>
        <v>0.66046511627906979</v>
      </c>
      <c r="G14" s="75">
        <v>12900</v>
      </c>
      <c r="H14" s="75">
        <v>13722</v>
      </c>
      <c r="I14" s="75">
        <f>IF(H14&gt;0,SUM(H$7:H14)-SUM(G$7:G14),0)</f>
        <v>-27327</v>
      </c>
      <c r="J14" s="45">
        <f t="shared" si="0"/>
        <v>1.0637209302325581</v>
      </c>
      <c r="K14" s="75">
        <v>12900</v>
      </c>
      <c r="L14" s="75">
        <v>13022</v>
      </c>
      <c r="M14" s="90">
        <f>IF(L14&gt;0,SUM(L$7:L14)-SUM(K$7:K14),0)</f>
        <v>-13947</v>
      </c>
      <c r="N14" s="45">
        <f t="shared" si="1"/>
        <v>1.0094573643410854</v>
      </c>
      <c r="O14" s="35">
        <f t="shared" si="2"/>
        <v>38700</v>
      </c>
      <c r="P14" s="35">
        <f t="shared" si="6"/>
        <v>35264</v>
      </c>
      <c r="Q14" s="91">
        <f>IF(P14&gt;0,SUM(P$7:P14)-SUM(O$7:O14),0)</f>
        <v>-64962</v>
      </c>
      <c r="R14" s="45">
        <f t="shared" si="15"/>
        <v>0.91121447028423774</v>
      </c>
      <c r="T14" s="47">
        <f t="shared" si="16"/>
        <v>40824</v>
      </c>
      <c r="U14" s="54" t="str">
        <f t="shared" si="7"/>
        <v>qui</v>
      </c>
      <c r="V14" s="75">
        <v>12340</v>
      </c>
      <c r="W14" s="75">
        <v>12405</v>
      </c>
      <c r="X14" s="92">
        <f>IF(W14&gt;0,SUM(W$7:W14)-SUM(V$7:V14),0)</f>
        <v>11691</v>
      </c>
      <c r="Y14" s="60">
        <f t="shared" si="17"/>
        <v>1.0052674230145866</v>
      </c>
      <c r="Z14" s="75">
        <v>12340</v>
      </c>
      <c r="AA14" s="75">
        <v>10851</v>
      </c>
      <c r="AB14" s="92">
        <f>IF(AA14&gt;0,SUM(AA$7:AA14)-SUM(Z$7:Z14),0)</f>
        <v>-11885</v>
      </c>
      <c r="AC14" s="60">
        <f t="shared" si="18"/>
        <v>0.87933549432739055</v>
      </c>
      <c r="AD14" s="75">
        <v>12340</v>
      </c>
      <c r="AE14" s="75">
        <v>12768</v>
      </c>
      <c r="AF14" s="92">
        <f>IF(AE14&gt;0,SUM(AE$7:AE14)-SUM(AD$7:AD14),0)</f>
        <v>-10826</v>
      </c>
      <c r="AG14" s="60">
        <f t="shared" si="19"/>
        <v>1.0346839546191249</v>
      </c>
      <c r="AH14" s="41">
        <f t="shared" si="3"/>
        <v>37020</v>
      </c>
      <c r="AI14" s="41">
        <f t="shared" si="8"/>
        <v>36024</v>
      </c>
      <c r="AJ14" s="93">
        <f>IF(AI14&gt;0,SUM(AI$7:AI14)-SUM(AH$7:AH14),0)</f>
        <v>-11020</v>
      </c>
      <c r="AK14" s="60">
        <f t="shared" si="20"/>
        <v>0.97309562398703409</v>
      </c>
      <c r="AM14" s="47">
        <f t="shared" si="21"/>
        <v>40824</v>
      </c>
      <c r="AN14" s="54" t="str">
        <f t="shared" si="9"/>
        <v>qui</v>
      </c>
      <c r="AO14" s="75">
        <v>7700</v>
      </c>
      <c r="AP14" s="75">
        <v>7066</v>
      </c>
      <c r="AQ14" s="75">
        <f>IF(AP14&gt;0,SUM(AP$7:AP15)-SUM(AO$7:AO14),0)</f>
        <v>-725</v>
      </c>
      <c r="AR14" s="45">
        <f t="shared" si="22"/>
        <v>0.91766233766233762</v>
      </c>
      <c r="AS14" s="75">
        <v>7700</v>
      </c>
      <c r="AT14" s="75">
        <v>7988</v>
      </c>
      <c r="AU14" s="90">
        <f>IF(AT14&gt;0,SUM(AT$7:AT14)-SUM(AS$7:AS14),0)</f>
        <v>-6714</v>
      </c>
      <c r="AV14" s="45">
        <f t="shared" si="23"/>
        <v>1.0374025974025973</v>
      </c>
      <c r="AW14" s="75">
        <v>7700</v>
      </c>
      <c r="AX14" s="75">
        <v>9200</v>
      </c>
      <c r="AY14" s="90">
        <f>IF(AX14&gt;0,SUM(AX$7:AX14)-SUM(AW$7:AW14),0)</f>
        <v>-5369</v>
      </c>
      <c r="AZ14" s="45">
        <f t="shared" si="31"/>
        <v>1.1948051948051948</v>
      </c>
      <c r="BA14" s="35">
        <f t="shared" si="4"/>
        <v>23100</v>
      </c>
      <c r="BB14" s="35">
        <f t="shared" si="10"/>
        <v>24254</v>
      </c>
      <c r="BC14" s="91">
        <f>IF(BB14&gt;0,SUM(BB$7:BB14)-SUM(BA$7:BA14),0)</f>
        <v>-15954</v>
      </c>
      <c r="BD14" s="45">
        <f t="shared" si="24"/>
        <v>1.04995670995671</v>
      </c>
      <c r="BF14" s="47">
        <f t="shared" si="25"/>
        <v>40824</v>
      </c>
      <c r="BG14" s="54" t="str">
        <f t="shared" si="11"/>
        <v>qui</v>
      </c>
      <c r="BH14" s="75">
        <v>18200</v>
      </c>
      <c r="BI14" s="75">
        <v>15642</v>
      </c>
      <c r="BJ14" s="75">
        <f>IF(BI14&gt;0,SUM(BI$7:BI14)-SUM(BH$7:BH14),0)</f>
        <v>-36256</v>
      </c>
      <c r="BK14" s="45">
        <f t="shared" si="26"/>
        <v>0.85945054945054944</v>
      </c>
      <c r="BL14" s="75">
        <v>8000</v>
      </c>
      <c r="BM14" s="75">
        <v>8614</v>
      </c>
      <c r="BN14" s="90">
        <f>IF(BM14&gt;0,SUM(BM$7:BM14)-SUM(BL$7:BL14),0)</f>
        <v>-3099</v>
      </c>
      <c r="BO14" s="45">
        <f t="shared" si="27"/>
        <v>1.0767500000000001</v>
      </c>
      <c r="BP14" s="75">
        <v>11000</v>
      </c>
      <c r="BQ14" s="75">
        <v>12428</v>
      </c>
      <c r="BR14" s="90">
        <f>IF(BQ14&gt;0,SUM(BQ$7:BQ14)-SUM(BP$7:BP14),0)</f>
        <v>-6312</v>
      </c>
      <c r="BS14" s="45">
        <f t="shared" si="32"/>
        <v>1.1298181818181818</v>
      </c>
      <c r="BT14" s="35">
        <f t="shared" si="5"/>
        <v>37200</v>
      </c>
      <c r="BU14" s="35">
        <f t="shared" si="5"/>
        <v>36684</v>
      </c>
      <c r="BV14" s="91">
        <f>IF(BU14&gt;0,SUM(BU$7:BU14)-SUM(BT$7:BT14),0)</f>
        <v>-45667</v>
      </c>
      <c r="BW14" s="45">
        <f t="shared" si="28"/>
        <v>0.98612903225806448</v>
      </c>
      <c r="BY14" s="47">
        <f t="shared" si="29"/>
        <v>40824</v>
      </c>
      <c r="BZ14" s="54" t="str">
        <f t="shared" si="12"/>
        <v>qui</v>
      </c>
      <c r="CA14" s="75">
        <v>5000</v>
      </c>
      <c r="CB14" s="75">
        <v>5288</v>
      </c>
      <c r="CC14" s="90">
        <f>IF(CB14&gt;0,SUM(CB$7:CB14)-SUM(CA$7:CA14),0)</f>
        <v>6765</v>
      </c>
      <c r="CD14" s="45">
        <f t="shared" si="30"/>
        <v>1.0576000000000001</v>
      </c>
    </row>
    <row r="15" spans="1:82" x14ac:dyDescent="0.25">
      <c r="A15" s="47">
        <f t="shared" si="13"/>
        <v>40825</v>
      </c>
      <c r="B15" s="54" t="s">
        <v>24</v>
      </c>
      <c r="C15" s="75">
        <v>12900</v>
      </c>
      <c r="D15" s="75">
        <v>6914</v>
      </c>
      <c r="E15" s="90">
        <f>IF(D15&gt;0,SUM(D$7:D15)-SUM(C$7:C15),0)</f>
        <v>-29674</v>
      </c>
      <c r="F15" s="45">
        <f t="shared" si="14"/>
        <v>0.53596899224806205</v>
      </c>
      <c r="G15" s="75">
        <v>12900</v>
      </c>
      <c r="H15" s="75">
        <v>6536</v>
      </c>
      <c r="I15" s="75">
        <f>IF(H15&gt;0,SUM(H$7:H15)-SUM(G$7:G15),0)</f>
        <v>-33691</v>
      </c>
      <c r="J15" s="45">
        <f t="shared" ref="J15:J36" si="33">IF(H15&gt;0,IF(K15&gt;0,H15/K15,0),0)</f>
        <v>0.50666666666666671</v>
      </c>
      <c r="K15" s="75">
        <v>12900</v>
      </c>
      <c r="L15" s="75">
        <v>13874</v>
      </c>
      <c r="M15" s="90">
        <f>IF(L15&gt;0,SUM(L$7:L15)-SUM(K$7:K15),0)</f>
        <v>-12973</v>
      </c>
      <c r="N15" s="45">
        <f t="shared" si="1"/>
        <v>1.0755038759689923</v>
      </c>
      <c r="O15" s="35">
        <f t="shared" ref="O15:O36" si="34">IF(SUM(C15,G15,K15)&gt;0,SUM(C15,G15,K15),0)</f>
        <v>38700</v>
      </c>
      <c r="P15" s="35">
        <f t="shared" si="6"/>
        <v>27324</v>
      </c>
      <c r="Q15" s="91">
        <f>IF(P15&gt;0,SUM(P$7:P15)-SUM(O$7:O15),0)</f>
        <v>-76338</v>
      </c>
      <c r="R15" s="45">
        <f t="shared" si="15"/>
        <v>0.70604651162790699</v>
      </c>
      <c r="T15" s="47">
        <f t="shared" si="16"/>
        <v>40825</v>
      </c>
      <c r="U15" s="54" t="str">
        <f t="shared" si="7"/>
        <v>sex</v>
      </c>
      <c r="V15" s="75">
        <v>12340</v>
      </c>
      <c r="W15" s="75">
        <v>5375</v>
      </c>
      <c r="X15" s="92">
        <f>IF(W15&gt;0,SUM(W$7:W15)-SUM(V$7:V15),0)</f>
        <v>4726</v>
      </c>
      <c r="Y15" s="60">
        <f t="shared" si="17"/>
        <v>0.43557536466774716</v>
      </c>
      <c r="Z15" s="75">
        <v>12340</v>
      </c>
      <c r="AA15" s="75">
        <v>4552</v>
      </c>
      <c r="AB15" s="92">
        <f>IF(AA15&gt;0,SUM(AA$7:AA15)-SUM(Z$7:Z15),0)</f>
        <v>-19673</v>
      </c>
      <c r="AC15" s="60">
        <f t="shared" si="18"/>
        <v>0.36888168557536466</v>
      </c>
      <c r="AD15" s="75">
        <v>12340</v>
      </c>
      <c r="AE15" s="75">
        <v>13993</v>
      </c>
      <c r="AF15" s="92">
        <f>IF(AE15&gt;0,SUM(AE$7:AE15)-SUM(AD$7:AD15),0)</f>
        <v>-9173</v>
      </c>
      <c r="AG15" s="60">
        <f t="shared" si="19"/>
        <v>1.1339546191247973</v>
      </c>
      <c r="AH15" s="41">
        <f t="shared" si="3"/>
        <v>37020</v>
      </c>
      <c r="AI15" s="41">
        <f t="shared" si="8"/>
        <v>23920</v>
      </c>
      <c r="AJ15" s="93">
        <f>IF(AI15&gt;0,SUM(AI$7:AI15)-SUM(AH$7:AH15),0)</f>
        <v>-24120</v>
      </c>
      <c r="AK15" s="60">
        <f t="shared" si="20"/>
        <v>0.64613722312263644</v>
      </c>
      <c r="AM15" s="47">
        <f t="shared" si="21"/>
        <v>40825</v>
      </c>
      <c r="AN15" s="54" t="str">
        <f t="shared" si="9"/>
        <v>sex</v>
      </c>
      <c r="AO15" s="75">
        <v>7700</v>
      </c>
      <c r="AP15" s="75">
        <v>3146</v>
      </c>
      <c r="AQ15" s="75">
        <f>IF(AP15&gt;0,SUM(AP$7:AP15)-SUM(AO$7:AO15),0)</f>
        <v>-8425</v>
      </c>
      <c r="AR15" s="45">
        <f t="shared" si="22"/>
        <v>0.40857142857142859</v>
      </c>
      <c r="AS15" s="75">
        <v>7700</v>
      </c>
      <c r="AT15" s="75">
        <v>4723</v>
      </c>
      <c r="AU15" s="90">
        <f>IF(AT15&gt;0,SUM(AT$7:AT15)-SUM(AS$7:AS15),0)</f>
        <v>-9691</v>
      </c>
      <c r="AV15" s="45">
        <f t="shared" si="23"/>
        <v>0.61337662337662335</v>
      </c>
      <c r="AW15" s="75">
        <v>7700</v>
      </c>
      <c r="AX15" s="75">
        <v>8647</v>
      </c>
      <c r="AY15" s="90">
        <f>IF(AX15&gt;0,SUM(AX$7:AX15)-SUM(AW$7:AW15),0)</f>
        <v>-4422</v>
      </c>
      <c r="AZ15" s="45">
        <f t="shared" si="31"/>
        <v>1.122987012987013</v>
      </c>
      <c r="BA15" s="35">
        <f t="shared" si="4"/>
        <v>23100</v>
      </c>
      <c r="BB15" s="35">
        <f t="shared" si="10"/>
        <v>16516</v>
      </c>
      <c r="BC15" s="91">
        <f>IF(BB15&gt;0,SUM(BB$7:BB15)-SUM(BA$7:BA15),0)</f>
        <v>-22538</v>
      </c>
      <c r="BD15" s="45">
        <f t="shared" si="24"/>
        <v>0.71497835497835494</v>
      </c>
      <c r="BF15" s="47">
        <f t="shared" si="25"/>
        <v>40825</v>
      </c>
      <c r="BG15" s="54" t="str">
        <f t="shared" si="11"/>
        <v>sex</v>
      </c>
      <c r="BH15" s="75">
        <v>18200</v>
      </c>
      <c r="BI15" s="75">
        <v>9698</v>
      </c>
      <c r="BJ15" s="75">
        <f>IF(BI15&gt;0,SUM(BI$7:BI15)-SUM(BH$7:BH15),0)</f>
        <v>-44758</v>
      </c>
      <c r="BK15" s="45">
        <f t="shared" si="26"/>
        <v>0.53285714285714281</v>
      </c>
      <c r="BL15" s="75">
        <v>8000</v>
      </c>
      <c r="BM15" s="75">
        <v>6821</v>
      </c>
      <c r="BN15" s="90">
        <f>IF(BM15&gt;0,SUM(BM$7:BM15)-SUM(BL$7:BL15),0)</f>
        <v>-4278</v>
      </c>
      <c r="BO15" s="45">
        <f t="shared" si="27"/>
        <v>0.85262499999999997</v>
      </c>
      <c r="BP15" s="75">
        <v>11000</v>
      </c>
      <c r="BQ15" s="75">
        <v>12228</v>
      </c>
      <c r="BR15" s="90">
        <f>IF(BQ15&gt;0,SUM(BQ$7:BQ15)-SUM(BP$7:BP15),0)</f>
        <v>-5084</v>
      </c>
      <c r="BS15" s="45">
        <f t="shared" si="32"/>
        <v>1.1116363636363635</v>
      </c>
      <c r="BT15" s="35">
        <f t="shared" si="5"/>
        <v>37200</v>
      </c>
      <c r="BU15" s="35">
        <f t="shared" si="5"/>
        <v>28747</v>
      </c>
      <c r="BV15" s="91">
        <f>IF(BU15&gt;0,SUM(BU$7:BU15)-SUM(BT$7:BT15),0)</f>
        <v>-54120</v>
      </c>
      <c r="BW15" s="45">
        <f t="shared" si="28"/>
        <v>0.77276881720430113</v>
      </c>
      <c r="BY15" s="47">
        <f t="shared" si="29"/>
        <v>40825</v>
      </c>
      <c r="BZ15" s="54" t="str">
        <f t="shared" si="12"/>
        <v>sex</v>
      </c>
      <c r="CA15" s="75">
        <v>5000</v>
      </c>
      <c r="CB15" s="75">
        <v>5540</v>
      </c>
      <c r="CC15" s="90">
        <f>IF(CB15&gt;0,SUM(CB$7:CB15)-SUM(CA$7:CA15),0)</f>
        <v>7305</v>
      </c>
      <c r="CD15" s="45">
        <f t="shared" si="30"/>
        <v>1.1080000000000001</v>
      </c>
    </row>
    <row r="16" spans="1:82" x14ac:dyDescent="0.25">
      <c r="A16" s="47">
        <f t="shared" si="13"/>
        <v>40826</v>
      </c>
      <c r="B16" s="54" t="s">
        <v>25</v>
      </c>
      <c r="C16" s="75">
        <v>12900</v>
      </c>
      <c r="D16" s="75">
        <v>16075</v>
      </c>
      <c r="E16" s="90">
        <f>IF(D16&gt;0,SUM(D$7:D16)-SUM(C$7:C16),0)</f>
        <v>-26499</v>
      </c>
      <c r="F16" s="45">
        <f>IF(D16&gt;0,IF(C16&gt;0,D16/C16,0),0)</f>
        <v>1.2461240310077519</v>
      </c>
      <c r="G16" s="75">
        <v>12900</v>
      </c>
      <c r="H16" s="75">
        <v>4827</v>
      </c>
      <c r="I16" s="75">
        <f>IF(H16&gt;0,SUM(H$7:H16)-SUM(G$7:G16),0)</f>
        <v>-41764</v>
      </c>
      <c r="J16" s="45">
        <f t="shared" si="33"/>
        <v>0.3741860465116279</v>
      </c>
      <c r="K16" s="75">
        <v>12900</v>
      </c>
      <c r="L16" s="75">
        <v>6680</v>
      </c>
      <c r="M16" s="90">
        <f>IF(L16&gt;0,SUM(L$7:L16)-SUM(K$7:K16),0)</f>
        <v>-19193</v>
      </c>
      <c r="N16" s="45">
        <f t="shared" si="1"/>
        <v>0.51782945736434105</v>
      </c>
      <c r="O16" s="35">
        <f t="shared" si="34"/>
        <v>38700</v>
      </c>
      <c r="P16" s="35">
        <f t="shared" si="6"/>
        <v>27582</v>
      </c>
      <c r="Q16" s="91">
        <f>IF(P16&gt;0,SUM(P$7:P16)-SUM(O$7:O16),0)</f>
        <v>-87456</v>
      </c>
      <c r="R16" s="45">
        <f t="shared" si="15"/>
        <v>0.71271317829457359</v>
      </c>
      <c r="T16" s="47">
        <f t="shared" si="16"/>
        <v>40826</v>
      </c>
      <c r="U16" s="54" t="str">
        <f t="shared" si="7"/>
        <v>sáb</v>
      </c>
      <c r="V16" s="75">
        <v>12340</v>
      </c>
      <c r="W16" s="75">
        <v>12563</v>
      </c>
      <c r="X16" s="92">
        <f>IF(W16&gt;0,SUM(W$7:W16)-SUM(V$7:V16),0)</f>
        <v>4949</v>
      </c>
      <c r="Y16" s="60">
        <f>IF(W16&gt;0,IF(V16&gt;0,W16/V16,0),0)</f>
        <v>1.0180713128038898</v>
      </c>
      <c r="Z16" s="75">
        <v>12340</v>
      </c>
      <c r="AA16" s="75">
        <v>4294</v>
      </c>
      <c r="AB16" s="92">
        <f>IF(AA16&gt;0,SUM(AA$7:AA16)-SUM(Z$7:Z16),0)</f>
        <v>-27719</v>
      </c>
      <c r="AC16" s="60">
        <f>IF(AA16&gt;0,IF(Z16&gt;0,AA16/Z16,0),0)</f>
        <v>0.34797406807131281</v>
      </c>
      <c r="AD16" s="75">
        <v>12340</v>
      </c>
      <c r="AE16" s="75">
        <v>8675</v>
      </c>
      <c r="AF16" s="92">
        <f>IF(AE16&gt;0,SUM(AE$7:AE16)-SUM(AD$7:AD16),0)</f>
        <v>-12838</v>
      </c>
      <c r="AG16" s="60">
        <f>IF(AE16&gt;0,IF(AD16&gt;0,AE16/AD16,0),0)</f>
        <v>0.70299837925445707</v>
      </c>
      <c r="AH16" s="41">
        <f t="shared" si="3"/>
        <v>37020</v>
      </c>
      <c r="AI16" s="41">
        <f t="shared" si="8"/>
        <v>25532</v>
      </c>
      <c r="AJ16" s="93">
        <f>IF(AI16&gt;0,SUM(AI$7:AI16)-SUM(AH$7:AH16),0)</f>
        <v>-35608</v>
      </c>
      <c r="AK16" s="60">
        <f t="shared" si="20"/>
        <v>0.68968125337655317</v>
      </c>
      <c r="AM16" s="47">
        <f t="shared" si="21"/>
        <v>40826</v>
      </c>
      <c r="AN16" s="54" t="str">
        <f t="shared" si="9"/>
        <v>sáb</v>
      </c>
      <c r="AO16" s="75">
        <v>7700</v>
      </c>
      <c r="AP16" s="75">
        <v>11508</v>
      </c>
      <c r="AQ16" s="75">
        <f>IF(AP16&gt;0,SUM(AP$7:AP16)-SUM(AO$7:AO16),0)</f>
        <v>-4617</v>
      </c>
      <c r="AR16" s="45">
        <f t="shared" si="22"/>
        <v>1.4945454545454546</v>
      </c>
      <c r="AS16" s="75">
        <v>7700</v>
      </c>
      <c r="AT16" s="75">
        <v>2831</v>
      </c>
      <c r="AU16" s="90">
        <f>IF(AT16&gt;0,SUM(AT$7:AT16)-SUM(AS$7:AS16),0)</f>
        <v>-14560</v>
      </c>
      <c r="AV16" s="45">
        <f t="shared" si="23"/>
        <v>0.36766233766233763</v>
      </c>
      <c r="AW16" s="75">
        <v>7700</v>
      </c>
      <c r="AX16" s="75">
        <v>4361</v>
      </c>
      <c r="AY16" s="90">
        <f>IF(AX16&gt;0,SUM(AX$7:AX16)-SUM(AW$7:AW16),0)</f>
        <v>-7761</v>
      </c>
      <c r="AZ16" s="45">
        <f t="shared" si="31"/>
        <v>0.5663636363636364</v>
      </c>
      <c r="BA16" s="35">
        <f t="shared" si="4"/>
        <v>23100</v>
      </c>
      <c r="BB16" s="35">
        <f t="shared" si="10"/>
        <v>18700</v>
      </c>
      <c r="BC16" s="91">
        <f>IF(BB16&gt;0,SUM(BB$7:BB16)-SUM(BA$7:BA16),0)</f>
        <v>-26938</v>
      </c>
      <c r="BD16" s="45">
        <f t="shared" si="24"/>
        <v>0.80952380952380953</v>
      </c>
      <c r="BF16" s="47">
        <f t="shared" si="25"/>
        <v>40826</v>
      </c>
      <c r="BG16" s="54" t="str">
        <f t="shared" si="11"/>
        <v>sáb</v>
      </c>
      <c r="BH16" s="75">
        <v>18200</v>
      </c>
      <c r="BI16" s="75">
        <v>11256</v>
      </c>
      <c r="BJ16" s="75">
        <f>IF(BI16&gt;0,SUM(BI$7:BI16)-SUM(BH$7:BH16),0)</f>
        <v>-51702</v>
      </c>
      <c r="BK16" s="45">
        <f t="shared" si="26"/>
        <v>0.61846153846153851</v>
      </c>
      <c r="BL16" s="75">
        <v>8000</v>
      </c>
      <c r="BM16" s="75">
        <v>7457</v>
      </c>
      <c r="BN16" s="90">
        <f>IF(BM16&gt;0,SUM(BM$7:BM16)-SUM(BL$7:BL16),0)</f>
        <v>-4821</v>
      </c>
      <c r="BO16" s="45">
        <f t="shared" si="27"/>
        <v>0.93212499999999998</v>
      </c>
      <c r="BP16" s="75">
        <v>11000</v>
      </c>
      <c r="BQ16" s="75">
        <v>17158</v>
      </c>
      <c r="BR16" s="90">
        <f>IF(BQ16&gt;0,SUM(BQ$7:BQ16)-SUM(BP$7:BP16),0)</f>
        <v>1074</v>
      </c>
      <c r="BS16" s="45">
        <f t="shared" si="32"/>
        <v>1.5598181818181818</v>
      </c>
      <c r="BT16" s="35">
        <f t="shared" si="5"/>
        <v>37200</v>
      </c>
      <c r="BU16" s="35">
        <f t="shared" si="5"/>
        <v>35871</v>
      </c>
      <c r="BV16" s="91">
        <f>IF(BU16&gt;0,SUM(BU$7:BU16)-SUM(BT$7:BT16),0)</f>
        <v>-55449</v>
      </c>
      <c r="BW16" s="45">
        <f t="shared" si="28"/>
        <v>0.96427419354838706</v>
      </c>
      <c r="BY16" s="47">
        <f t="shared" si="29"/>
        <v>40826</v>
      </c>
      <c r="BZ16" s="54" t="str">
        <f t="shared" si="12"/>
        <v>sáb</v>
      </c>
      <c r="CA16" s="75">
        <v>5000</v>
      </c>
      <c r="CB16" s="75">
        <v>6795</v>
      </c>
      <c r="CC16" s="90">
        <f>IF(CB16&gt;0,SUM(CB$7:CB16)-SUM(CA$7:CA16),0)</f>
        <v>9100</v>
      </c>
      <c r="CD16" s="45">
        <f t="shared" si="30"/>
        <v>1.359</v>
      </c>
    </row>
    <row r="17" spans="1:82" x14ac:dyDescent="0.25">
      <c r="A17" s="47">
        <f t="shared" si="13"/>
        <v>40827</v>
      </c>
      <c r="B17" s="54" t="s">
        <v>26</v>
      </c>
      <c r="C17" s="75"/>
      <c r="D17" s="75"/>
      <c r="E17" s="90">
        <f>IF(D17&gt;0,SUM(D$7:D17)-SUM(C$7:C17),0)</f>
        <v>0</v>
      </c>
      <c r="F17" s="45">
        <f>IF(D17&gt;0,IF(C17&gt;0,D17/C17,0),0)</f>
        <v>0</v>
      </c>
      <c r="G17" s="75"/>
      <c r="H17" s="75"/>
      <c r="I17" s="75">
        <f>IF(H17&gt;0,SUM(H$7:H17)-SUM(G$7:G17),0)</f>
        <v>0</v>
      </c>
      <c r="J17" s="45">
        <f t="shared" si="33"/>
        <v>0</v>
      </c>
      <c r="K17" s="75"/>
      <c r="L17" s="75"/>
      <c r="M17" s="90">
        <f>IF(L17&gt;0,SUM(L$7:L17)-SUM(K$7:K17),0)</f>
        <v>0</v>
      </c>
      <c r="N17" s="45">
        <f t="shared" si="1"/>
        <v>0</v>
      </c>
      <c r="O17" s="35">
        <f t="shared" si="34"/>
        <v>0</v>
      </c>
      <c r="P17" s="35">
        <f t="shared" si="6"/>
        <v>0</v>
      </c>
      <c r="Q17" s="91">
        <f>IF(P17&gt;0,SUM(P$7:P17)-SUM(O$7:O17),0)</f>
        <v>0</v>
      </c>
      <c r="R17" s="45">
        <f t="shared" si="15"/>
        <v>0</v>
      </c>
      <c r="T17" s="47">
        <f t="shared" si="16"/>
        <v>40827</v>
      </c>
      <c r="U17" s="54" t="str">
        <f t="shared" si="7"/>
        <v>dom</v>
      </c>
      <c r="V17" s="75"/>
      <c r="W17" s="75">
        <v>15817</v>
      </c>
      <c r="X17" s="92">
        <f>IF(W17&gt;0,SUM(W$7:W17)-SUM(V$7:V17),0)</f>
        <v>20766</v>
      </c>
      <c r="Y17" s="60">
        <f>IF(W17&gt;0,IF(V17&gt;0,W17/V17,0),0)</f>
        <v>0</v>
      </c>
      <c r="Z17" s="75"/>
      <c r="AA17" s="75"/>
      <c r="AB17" s="92">
        <f>IF(AA17&gt;0,SUM(AA$7:AA17)-SUM(Z$7:Z17),0)</f>
        <v>0</v>
      </c>
      <c r="AC17" s="60">
        <f>IF(AA17&gt;0,IF(Z17&gt;0,AA17/Z17,0),0)</f>
        <v>0</v>
      </c>
      <c r="AD17" s="75"/>
      <c r="AE17" s="75"/>
      <c r="AF17" s="92">
        <f>IF(AE17&gt;0,SUM(AE$7:AE17)-SUM(AD$7:AD17),0)</f>
        <v>0</v>
      </c>
      <c r="AG17" s="60">
        <f>IF(AE17&gt;0,IF(AD17&gt;0,AE17/AD17,0),0)</f>
        <v>0</v>
      </c>
      <c r="AH17" s="41">
        <f t="shared" si="3"/>
        <v>0</v>
      </c>
      <c r="AI17" s="93">
        <f t="shared" si="8"/>
        <v>15817</v>
      </c>
      <c r="AJ17" s="93">
        <f>IF(AI17&gt;0,SUM(AI$7:AI17)-SUM(AH$7:AH17),0)</f>
        <v>-19791</v>
      </c>
      <c r="AK17" s="60">
        <f t="shared" si="20"/>
        <v>0</v>
      </c>
      <c r="AM17" s="47">
        <f t="shared" si="21"/>
        <v>40827</v>
      </c>
      <c r="AN17" s="54" t="str">
        <f t="shared" si="9"/>
        <v>dom</v>
      </c>
      <c r="AO17" s="75"/>
      <c r="AP17" s="75"/>
      <c r="AQ17" s="75">
        <f>IF(AP17&gt;0,SUM(AP$7:AP17)-SUM(AO$7:AO17),0)</f>
        <v>0</v>
      </c>
      <c r="AR17" s="45">
        <f t="shared" si="22"/>
        <v>0</v>
      </c>
      <c r="AS17" s="75"/>
      <c r="AT17" s="75"/>
      <c r="AU17" s="90">
        <f>IF(AT17&gt;0,SUM(AT$7:AT17)-SUM(AS$7:AS17),0)</f>
        <v>0</v>
      </c>
      <c r="AV17" s="45">
        <f t="shared" si="23"/>
        <v>0</v>
      </c>
      <c r="AW17" s="75"/>
      <c r="AX17" s="75"/>
      <c r="AY17" s="90">
        <f>IF(AX17&gt;0,SUM(AX$7:AX17)-SUM(AW$7:AW17),0)</f>
        <v>0</v>
      </c>
      <c r="AZ17" s="45">
        <f t="shared" si="31"/>
        <v>0</v>
      </c>
      <c r="BA17" s="35">
        <f t="shared" si="4"/>
        <v>0</v>
      </c>
      <c r="BB17" s="35">
        <f t="shared" si="10"/>
        <v>0</v>
      </c>
      <c r="BC17" s="91">
        <f>IF(BB17&gt;0,SUM(BB$7:BB17)-SUM(BA$7:BA17),0)</f>
        <v>0</v>
      </c>
      <c r="BD17" s="45">
        <f t="shared" si="24"/>
        <v>0</v>
      </c>
      <c r="BF17" s="47">
        <f t="shared" si="25"/>
        <v>40827</v>
      </c>
      <c r="BG17" s="54" t="str">
        <f t="shared" si="11"/>
        <v>dom</v>
      </c>
      <c r="BH17" s="75"/>
      <c r="BI17" s="75"/>
      <c r="BJ17" s="75">
        <f>IF(BI17&gt;0,SUM(BI$7:BI17)-SUM(BH$7:BH17),0)</f>
        <v>0</v>
      </c>
      <c r="BK17" s="45">
        <f t="shared" si="26"/>
        <v>0</v>
      </c>
      <c r="BL17" s="75"/>
      <c r="BM17" s="75"/>
      <c r="BN17" s="90">
        <f>IF(BM17&gt;0,SUM(BM$7:BM17)-SUM(BL$7:BL17),0)</f>
        <v>0</v>
      </c>
      <c r="BO17" s="45">
        <f t="shared" si="27"/>
        <v>0</v>
      </c>
      <c r="BP17" s="75"/>
      <c r="BQ17" s="75"/>
      <c r="BR17" s="90">
        <f>IF(BQ17&gt;0,SUM(BQ$7:BQ17)-SUM(BP$7:BP17),0)</f>
        <v>0</v>
      </c>
      <c r="BS17" s="45">
        <f t="shared" si="32"/>
        <v>0</v>
      </c>
      <c r="BT17" s="35">
        <f t="shared" si="5"/>
        <v>0</v>
      </c>
      <c r="BU17" s="35">
        <f t="shared" si="5"/>
        <v>0</v>
      </c>
      <c r="BV17" s="91">
        <f>IF(BU17&gt;0,SUM(BU$7:BU17)-SUM(BT$7:BT17),0)</f>
        <v>0</v>
      </c>
      <c r="BW17" s="45">
        <f t="shared" si="28"/>
        <v>0</v>
      </c>
      <c r="BY17" s="47">
        <f t="shared" si="29"/>
        <v>40827</v>
      </c>
      <c r="BZ17" s="54" t="str">
        <f t="shared" si="12"/>
        <v>dom</v>
      </c>
      <c r="CA17" s="75"/>
      <c r="CB17" s="75"/>
      <c r="CC17" s="90">
        <f>IF(CB17&gt;0,SUM(CB$7:CB17)-SUM(CA$7:CA17),0)</f>
        <v>0</v>
      </c>
      <c r="CD17" s="45">
        <f t="shared" si="30"/>
        <v>0</v>
      </c>
    </row>
    <row r="18" spans="1:82" x14ac:dyDescent="0.25">
      <c r="A18" s="47">
        <f t="shared" si="13"/>
        <v>40828</v>
      </c>
      <c r="B18" s="54" t="s">
        <v>27</v>
      </c>
      <c r="C18" s="75">
        <v>12900</v>
      </c>
      <c r="D18" s="75">
        <v>3880</v>
      </c>
      <c r="E18" s="90">
        <f>IF(D18&gt;0,SUM(D$7:D18)-SUM(C$7:C18),0)</f>
        <v>-35519</v>
      </c>
      <c r="F18" s="45">
        <f t="shared" si="14"/>
        <v>0.30077519379844964</v>
      </c>
      <c r="G18" s="75">
        <v>12900</v>
      </c>
      <c r="H18" s="75">
        <v>10390</v>
      </c>
      <c r="I18" s="75">
        <f>IF(H18&gt;0,SUM(H$7:H18)-SUM(G$7:G18),0)</f>
        <v>-44274</v>
      </c>
      <c r="J18" s="45">
        <f t="shared" si="33"/>
        <v>0.8054263565891473</v>
      </c>
      <c r="K18" s="75">
        <v>12900</v>
      </c>
      <c r="L18" s="75">
        <v>11988</v>
      </c>
      <c r="M18" s="90">
        <f>IF(L18&gt;0,SUM(L$7:L18)-SUM(K$7:K18),0)</f>
        <v>-20105</v>
      </c>
      <c r="N18" s="45">
        <f t="shared" ref="N18:N38" si="35">IF(L18&gt;0,IF(K18&gt;0,L18/K18,0),0)</f>
        <v>0.92930232558139536</v>
      </c>
      <c r="O18" s="35">
        <f t="shared" si="34"/>
        <v>38700</v>
      </c>
      <c r="P18" s="35">
        <f t="shared" si="6"/>
        <v>26258</v>
      </c>
      <c r="Q18" s="91">
        <f>IF(P18&gt;0,SUM(P$7:P18)-SUM(O$7:O18),0)</f>
        <v>-99898</v>
      </c>
      <c r="R18" s="45">
        <f t="shared" si="15"/>
        <v>0.67850129198966413</v>
      </c>
      <c r="T18" s="47">
        <f t="shared" si="16"/>
        <v>40828</v>
      </c>
      <c r="U18" s="54" t="str">
        <f t="shared" si="7"/>
        <v>seg</v>
      </c>
      <c r="V18" s="75">
        <v>12340</v>
      </c>
      <c r="W18" s="75">
        <v>7221</v>
      </c>
      <c r="X18" s="92">
        <f>IF(W18&gt;0,SUM(W$7:W18)-SUM(V$7:V18),0)</f>
        <v>15647</v>
      </c>
      <c r="Y18" s="60">
        <f t="shared" si="17"/>
        <v>0.58517017828200968</v>
      </c>
      <c r="Z18" s="75">
        <v>12340</v>
      </c>
      <c r="AA18" s="75">
        <v>8482</v>
      </c>
      <c r="AB18" s="92">
        <f>IF(AA18&gt;0,SUM(AA$7:AA18)-SUM(Z$7:Z18),0)</f>
        <v>-31577</v>
      </c>
      <c r="AC18" s="60">
        <f t="shared" si="18"/>
        <v>0.68735818476499189</v>
      </c>
      <c r="AD18" s="75">
        <v>12340</v>
      </c>
      <c r="AE18" s="75">
        <v>11681</v>
      </c>
      <c r="AF18" s="92">
        <f>IF(AE18&gt;0,SUM(AE$7:AE18)-SUM(AD$7:AD18),0)</f>
        <v>-13497</v>
      </c>
      <c r="AG18" s="60">
        <f t="shared" si="19"/>
        <v>0.94659643435980556</v>
      </c>
      <c r="AH18" s="41">
        <f t="shared" si="3"/>
        <v>37020</v>
      </c>
      <c r="AI18" s="41">
        <f t="shared" si="8"/>
        <v>27384</v>
      </c>
      <c r="AJ18" s="93">
        <f>IF(AI18&gt;0,SUM(AI$7:AI18)-SUM(AH$7:AH18),0)</f>
        <v>-29427</v>
      </c>
      <c r="AK18" s="60">
        <f t="shared" si="20"/>
        <v>0.739708265802269</v>
      </c>
      <c r="AM18" s="47">
        <f t="shared" si="21"/>
        <v>40828</v>
      </c>
      <c r="AN18" s="54" t="str">
        <f t="shared" si="9"/>
        <v>seg</v>
      </c>
      <c r="AO18" s="75">
        <v>7700</v>
      </c>
      <c r="AP18" s="75">
        <v>5637</v>
      </c>
      <c r="AQ18" s="75">
        <f>IF(AP18&gt;0,SUM(AP$7:AP18)-SUM(AO$7:AO18),0)</f>
        <v>-6680</v>
      </c>
      <c r="AR18" s="45">
        <f t="shared" si="22"/>
        <v>0.73207792207792211</v>
      </c>
      <c r="AS18" s="75">
        <v>7700</v>
      </c>
      <c r="AT18" s="75">
        <v>6320</v>
      </c>
      <c r="AU18" s="90">
        <f>IF(AT18&gt;0,SUM(AT$7:AT18)-SUM(AS$7:AS18),0)</f>
        <v>-15940</v>
      </c>
      <c r="AV18" s="45">
        <f t="shared" si="23"/>
        <v>0.82077922077922083</v>
      </c>
      <c r="AW18" s="75">
        <v>7700</v>
      </c>
      <c r="AX18" s="75">
        <v>5547</v>
      </c>
      <c r="AY18" s="90">
        <f>IF(AX18&gt;0,SUM(AX$7:AX18)-SUM(AW$7:AW18),0)</f>
        <v>-9914</v>
      </c>
      <c r="AZ18" s="45">
        <f t="shared" si="31"/>
        <v>0.72038961038961036</v>
      </c>
      <c r="BA18" s="35">
        <f t="shared" si="4"/>
        <v>23100</v>
      </c>
      <c r="BB18" s="35">
        <f t="shared" si="10"/>
        <v>17504</v>
      </c>
      <c r="BC18" s="91">
        <f>IF(BB18&gt;0,SUM(BB$7:BB18)-SUM(BA$7:BA18),0)</f>
        <v>-32534</v>
      </c>
      <c r="BD18" s="45">
        <f t="shared" si="24"/>
        <v>0.75774891774891773</v>
      </c>
      <c r="BF18" s="47">
        <f t="shared" si="25"/>
        <v>40828</v>
      </c>
      <c r="BG18" s="54" t="str">
        <f t="shared" si="11"/>
        <v>seg</v>
      </c>
      <c r="BH18" s="75">
        <v>18200</v>
      </c>
      <c r="BI18" s="75">
        <v>10493</v>
      </c>
      <c r="BJ18" s="75">
        <f>IF(BI18&gt;0,SUM(BI$7:BI18)-SUM(BH$7:BH18),0)</f>
        <v>-59409</v>
      </c>
      <c r="BK18" s="45">
        <f t="shared" si="26"/>
        <v>0.57653846153846156</v>
      </c>
      <c r="BL18" s="75">
        <v>8000</v>
      </c>
      <c r="BM18" s="75">
        <v>7011</v>
      </c>
      <c r="BN18" s="90">
        <f>IF(BM18&gt;0,SUM(BM$7:BM18)-SUM(BL$7:BL18),0)</f>
        <v>-5810</v>
      </c>
      <c r="BO18" s="45">
        <f t="shared" si="27"/>
        <v>0.87637500000000002</v>
      </c>
      <c r="BP18" s="75">
        <v>11000</v>
      </c>
      <c r="BQ18" s="75">
        <v>11072</v>
      </c>
      <c r="BR18" s="90">
        <f>IF(BQ18&gt;0,SUM(BQ$7:BQ18)-SUM(BP$7:BP18),0)</f>
        <v>1146</v>
      </c>
      <c r="BS18" s="45">
        <f t="shared" si="32"/>
        <v>1.0065454545454546</v>
      </c>
      <c r="BT18" s="35">
        <f t="shared" si="5"/>
        <v>37200</v>
      </c>
      <c r="BU18" s="35">
        <f t="shared" si="5"/>
        <v>28576</v>
      </c>
      <c r="BV18" s="91">
        <f>IF(BU18&gt;0,SUM(BU$7:BU18)-SUM(BT$7:BT18),0)</f>
        <v>-64073</v>
      </c>
      <c r="BW18" s="45">
        <f t="shared" si="28"/>
        <v>0.7681720430107527</v>
      </c>
      <c r="BY18" s="47">
        <f t="shared" si="29"/>
        <v>40828</v>
      </c>
      <c r="BZ18" s="54" t="str">
        <f t="shared" si="12"/>
        <v>seg</v>
      </c>
      <c r="CA18" s="75">
        <v>5000</v>
      </c>
      <c r="CB18" s="75">
        <v>2514</v>
      </c>
      <c r="CC18" s="90">
        <f>IF(CB18&gt;0,SUM(CB$7:CB18)-SUM(CA$7:CA18),0)</f>
        <v>6614</v>
      </c>
      <c r="CD18" s="45">
        <f t="shared" si="30"/>
        <v>0.50280000000000002</v>
      </c>
    </row>
    <row r="19" spans="1:82" x14ac:dyDescent="0.25">
      <c r="A19" s="47">
        <f t="shared" si="13"/>
        <v>40829</v>
      </c>
      <c r="B19" s="54" t="s">
        <v>28</v>
      </c>
      <c r="C19" s="75">
        <v>12900</v>
      </c>
      <c r="D19" s="75">
        <v>6536</v>
      </c>
      <c r="E19" s="90">
        <f>IF(D19&gt;0,SUM(D$7:D19)-SUM(C$7:C19),0)</f>
        <v>-41883</v>
      </c>
      <c r="F19" s="45">
        <f t="shared" si="14"/>
        <v>0.50666666666666671</v>
      </c>
      <c r="G19" s="75">
        <v>12900</v>
      </c>
      <c r="H19" s="75">
        <v>8059</v>
      </c>
      <c r="I19" s="75">
        <f>IF(H19&gt;0,SUM(H$7:H19)-SUM(G$7:G19),0)</f>
        <v>-49115</v>
      </c>
      <c r="J19" s="45">
        <f t="shared" si="33"/>
        <v>0.62472868217054267</v>
      </c>
      <c r="K19" s="75">
        <v>12900</v>
      </c>
      <c r="L19" s="75">
        <v>2899</v>
      </c>
      <c r="M19" s="90">
        <f>IF(L19&gt;0,SUM(L$7:L19)-SUM(K$7:K19),0)</f>
        <v>-30106</v>
      </c>
      <c r="N19" s="45">
        <f t="shared" si="35"/>
        <v>0.22472868217054265</v>
      </c>
      <c r="O19" s="35">
        <f t="shared" si="34"/>
        <v>38700</v>
      </c>
      <c r="P19" s="35">
        <f t="shared" si="6"/>
        <v>17494</v>
      </c>
      <c r="Q19" s="91">
        <f>IF(P19&gt;0,SUM(P$7:P19)-SUM(O$7:O19),0)</f>
        <v>-121104</v>
      </c>
      <c r="R19" s="45">
        <f t="shared" si="15"/>
        <v>0.45204134366925064</v>
      </c>
      <c r="T19" s="47">
        <f t="shared" si="16"/>
        <v>40829</v>
      </c>
      <c r="U19" s="54" t="str">
        <f t="shared" si="7"/>
        <v>ter</v>
      </c>
      <c r="V19" s="75">
        <v>12340</v>
      </c>
      <c r="W19" s="75">
        <v>10128</v>
      </c>
      <c r="X19" s="92">
        <f>IF(W19&gt;0,SUM(W$7:W19)-SUM(V$7:V19),0)</f>
        <v>13435</v>
      </c>
      <c r="Y19" s="60">
        <f t="shared" si="17"/>
        <v>0.82074554294975688</v>
      </c>
      <c r="Z19" s="75">
        <v>12340</v>
      </c>
      <c r="AA19" s="75">
        <v>9040</v>
      </c>
      <c r="AB19" s="92">
        <f>IF(AA19&gt;0,SUM(AA$7:AA19)-SUM(Z$7:Z19),0)</f>
        <v>-34877</v>
      </c>
      <c r="AC19" s="60">
        <f t="shared" si="18"/>
        <v>0.73257698541329008</v>
      </c>
      <c r="AD19" s="75">
        <v>12340</v>
      </c>
      <c r="AE19" s="75">
        <v>11064</v>
      </c>
      <c r="AF19" s="92">
        <f>IF(AE19&gt;0,SUM(AE$7:AE19)-SUM(AD$7:AD19),0)</f>
        <v>-14773</v>
      </c>
      <c r="AG19" s="60">
        <f t="shared" si="19"/>
        <v>0.89659643435980552</v>
      </c>
      <c r="AH19" s="41">
        <f t="shared" si="3"/>
        <v>37020</v>
      </c>
      <c r="AI19" s="41">
        <f t="shared" si="8"/>
        <v>30232</v>
      </c>
      <c r="AJ19" s="93">
        <f>IF(AI19&gt;0,SUM(AI$7:AI19)-SUM(AH$7:AH19),0)</f>
        <v>-36215</v>
      </c>
      <c r="AK19" s="60">
        <f t="shared" si="20"/>
        <v>0.81663965424095086</v>
      </c>
      <c r="AM19" s="47">
        <f t="shared" si="21"/>
        <v>40829</v>
      </c>
      <c r="AN19" s="54" t="str">
        <f t="shared" si="9"/>
        <v>ter</v>
      </c>
      <c r="AO19" s="75">
        <v>7700</v>
      </c>
      <c r="AP19" s="75">
        <v>7262</v>
      </c>
      <c r="AQ19" s="75">
        <f>IF(AP19&gt;0,SUM(AP$7:AP19)-SUM(AO$7:AO19),0)</f>
        <v>-7118</v>
      </c>
      <c r="AR19" s="45">
        <f t="shared" si="22"/>
        <v>0.94311688311688313</v>
      </c>
      <c r="AS19" s="75">
        <v>7700</v>
      </c>
      <c r="AT19" s="75">
        <v>7925</v>
      </c>
      <c r="AU19" s="90">
        <f>IF(AT19&gt;0,SUM(AT$7:AT19)-SUM(AS$7:AS19),0)</f>
        <v>-15715</v>
      </c>
      <c r="AV19" s="45">
        <f t="shared" si="23"/>
        <v>1.0292207792207793</v>
      </c>
      <c r="AW19" s="75">
        <v>7700</v>
      </c>
      <c r="AX19" s="75">
        <v>7672</v>
      </c>
      <c r="AY19" s="90">
        <f>IF(AX19&gt;0,SUM(AX$7:AX19)-SUM(AW$7:AW19),0)</f>
        <v>-9942</v>
      </c>
      <c r="AZ19" s="45">
        <f t="shared" si="31"/>
        <v>0.99636363636363634</v>
      </c>
      <c r="BA19" s="35">
        <f t="shared" si="4"/>
        <v>23100</v>
      </c>
      <c r="BB19" s="35">
        <f t="shared" si="10"/>
        <v>22859</v>
      </c>
      <c r="BC19" s="91">
        <f>IF(BB19&gt;0,SUM(BB$7:BB19)-SUM(BA$7:BA19),0)</f>
        <v>-32775</v>
      </c>
      <c r="BD19" s="45">
        <f t="shared" si="24"/>
        <v>0.98956709956709954</v>
      </c>
      <c r="BF19" s="47">
        <f t="shared" si="25"/>
        <v>40829</v>
      </c>
      <c r="BG19" s="54" t="str">
        <f t="shared" si="11"/>
        <v>ter</v>
      </c>
      <c r="BH19" s="75">
        <v>18200</v>
      </c>
      <c r="BI19" s="75">
        <v>15455</v>
      </c>
      <c r="BJ19" s="75">
        <f>IF(BI19&gt;0,SUM(BI$7:BI19)-SUM(BH$7:BH19),0)</f>
        <v>-62154</v>
      </c>
      <c r="BK19" s="45">
        <f t="shared" si="26"/>
        <v>0.84917582417582416</v>
      </c>
      <c r="BL19" s="75">
        <v>8000</v>
      </c>
      <c r="BM19" s="75">
        <v>7406</v>
      </c>
      <c r="BN19" s="90">
        <f>IF(BM19&gt;0,SUM(BM$7:BM19)-SUM(BL$7:BL19),0)</f>
        <v>-6404</v>
      </c>
      <c r="BO19" s="45">
        <f t="shared" si="27"/>
        <v>0.92574999999999996</v>
      </c>
      <c r="BP19" s="75">
        <v>11000</v>
      </c>
      <c r="BQ19" s="75">
        <v>11708</v>
      </c>
      <c r="BR19" s="90">
        <f>IF(BQ19&gt;0,SUM(BQ$7:BQ19)-SUM(BP$7:BP19),0)</f>
        <v>1854</v>
      </c>
      <c r="BS19" s="45">
        <f t="shared" si="32"/>
        <v>1.0643636363636364</v>
      </c>
      <c r="BT19" s="35">
        <f t="shared" si="5"/>
        <v>37200</v>
      </c>
      <c r="BU19" s="35">
        <f t="shared" si="5"/>
        <v>34569</v>
      </c>
      <c r="BV19" s="91">
        <f>IF(BU19&gt;0,SUM(BU$7:BU19)-SUM(BT$7:BT19),0)</f>
        <v>-66704</v>
      </c>
      <c r="BW19" s="45">
        <f t="shared" si="28"/>
        <v>0.92927419354838714</v>
      </c>
      <c r="BY19" s="47">
        <f t="shared" si="29"/>
        <v>40829</v>
      </c>
      <c r="BZ19" s="54" t="str">
        <f t="shared" si="12"/>
        <v>ter</v>
      </c>
      <c r="CA19" s="75">
        <v>5000</v>
      </c>
      <c r="CB19" s="75">
        <v>4050</v>
      </c>
      <c r="CC19" s="90">
        <f>IF(CB19&gt;0,SUM(CB$7:CB19)-SUM(CA$7:CA19),0)</f>
        <v>5664</v>
      </c>
      <c r="CD19" s="45">
        <f t="shared" si="30"/>
        <v>0.81</v>
      </c>
    </row>
    <row r="20" spans="1:82" x14ac:dyDescent="0.25">
      <c r="A20" s="47">
        <f t="shared" si="13"/>
        <v>40830</v>
      </c>
      <c r="B20" s="54" t="s">
        <v>22</v>
      </c>
      <c r="C20" s="75">
        <v>12900</v>
      </c>
      <c r="D20" s="75">
        <v>1</v>
      </c>
      <c r="E20" s="90">
        <f>IF(D20&gt;0,SUM(D$7:D20)-SUM(C$7:C20),0)</f>
        <v>-54782</v>
      </c>
      <c r="F20" s="45">
        <f t="shared" si="14"/>
        <v>7.7519379844961245E-5</v>
      </c>
      <c r="G20" s="75">
        <v>12900</v>
      </c>
      <c r="H20" s="75">
        <v>1</v>
      </c>
      <c r="I20" s="75">
        <f>IF(H20&gt;0,SUM(H$7:H20)-SUM(G$7:G20),0)</f>
        <v>-62014</v>
      </c>
      <c r="J20" s="45">
        <f t="shared" si="33"/>
        <v>7.7519379844961245E-5</v>
      </c>
      <c r="K20" s="75">
        <v>12900</v>
      </c>
      <c r="L20" s="75">
        <v>1</v>
      </c>
      <c r="M20" s="90">
        <f>IF(L20&gt;0,SUM(L$7:L20)-SUM(K$7:K20),0)</f>
        <v>-43005</v>
      </c>
      <c r="N20" s="45">
        <f t="shared" si="35"/>
        <v>7.7519379844961245E-5</v>
      </c>
      <c r="O20" s="35">
        <f t="shared" si="34"/>
        <v>38700</v>
      </c>
      <c r="P20" s="35">
        <f t="shared" si="6"/>
        <v>3</v>
      </c>
      <c r="Q20" s="91">
        <f>IF(P20&gt;0,SUM(P$7:P20)-SUM(O$7:O20),0)</f>
        <v>-159801</v>
      </c>
      <c r="R20" s="45">
        <f t="shared" si="15"/>
        <v>7.7519379844961245E-5</v>
      </c>
      <c r="T20" s="47">
        <f t="shared" si="16"/>
        <v>40830</v>
      </c>
      <c r="U20" s="54" t="str">
        <f t="shared" si="7"/>
        <v>qua</v>
      </c>
      <c r="V20" s="75">
        <v>12340</v>
      </c>
      <c r="W20" s="75">
        <v>10311</v>
      </c>
      <c r="X20" s="92">
        <f>IF(W20&gt;0,SUM(W$7:W20)-SUM(V$7:V20),0)</f>
        <v>11406</v>
      </c>
      <c r="Y20" s="60">
        <f t="shared" si="17"/>
        <v>0.83557536466774718</v>
      </c>
      <c r="Z20" s="75">
        <v>12340</v>
      </c>
      <c r="AA20" s="75">
        <v>6864</v>
      </c>
      <c r="AB20" s="92">
        <f>IF(AA20&gt;0,SUM(AA$7:AA20)-SUM(Z$7:Z20),0)</f>
        <v>-40353</v>
      </c>
      <c r="AC20" s="60">
        <f t="shared" si="18"/>
        <v>0.5562398703403566</v>
      </c>
      <c r="AD20" s="75">
        <v>12340</v>
      </c>
      <c r="AE20" s="75">
        <v>7264</v>
      </c>
      <c r="AF20" s="92">
        <f>IF(AE20&gt;0,SUM(AE$7:AE20)-SUM(AD$7:AD20),0)</f>
        <v>-19849</v>
      </c>
      <c r="AG20" s="60">
        <f t="shared" si="19"/>
        <v>0.58865478119935166</v>
      </c>
      <c r="AH20" s="41">
        <f t="shared" si="3"/>
        <v>37020</v>
      </c>
      <c r="AI20" s="41">
        <f t="shared" si="8"/>
        <v>24439</v>
      </c>
      <c r="AJ20" s="93">
        <f>IF(AI20&gt;0,SUM(AI$7:AI20)-SUM(AH$7:AH20),0)</f>
        <v>-48796</v>
      </c>
      <c r="AK20" s="60">
        <f t="shared" si="20"/>
        <v>0.66015667206915185</v>
      </c>
      <c r="AM20" s="47">
        <f t="shared" si="21"/>
        <v>40830</v>
      </c>
      <c r="AN20" s="54" t="str">
        <f t="shared" si="9"/>
        <v>qua</v>
      </c>
      <c r="AO20" s="75">
        <v>7700</v>
      </c>
      <c r="AP20" s="75">
        <v>9065</v>
      </c>
      <c r="AQ20" s="75">
        <f>IF(AP20&gt;0,SUM(AP$7:AP20)-SUM(AO$7:AO20),0)</f>
        <v>-5753</v>
      </c>
      <c r="AR20" s="45">
        <f t="shared" si="22"/>
        <v>1.1772727272727272</v>
      </c>
      <c r="AS20" s="75">
        <v>7700</v>
      </c>
      <c r="AT20" s="75">
        <v>7908</v>
      </c>
      <c r="AU20" s="90">
        <f>IF(AT20&gt;0,SUM(AT$7:AT20)-SUM(AS$7:AS20),0)</f>
        <v>-15507</v>
      </c>
      <c r="AV20" s="45">
        <f t="shared" si="23"/>
        <v>1.0270129870129869</v>
      </c>
      <c r="AW20" s="75">
        <v>7700</v>
      </c>
      <c r="AX20" s="75">
        <v>7358</v>
      </c>
      <c r="AY20" s="90">
        <f>IF(AX20&gt;0,SUM(AX$7:AX20)-SUM(AW$7:AW20),0)</f>
        <v>-10284</v>
      </c>
      <c r="AZ20" s="45">
        <f t="shared" si="31"/>
        <v>0.95558441558441554</v>
      </c>
      <c r="BA20" s="35">
        <f t="shared" si="4"/>
        <v>23100</v>
      </c>
      <c r="BB20" s="35">
        <f t="shared" si="10"/>
        <v>24331</v>
      </c>
      <c r="BC20" s="91">
        <f>IF(BB20&gt;0,SUM(BB$7:BB20)-SUM(BA$7:BA20),0)</f>
        <v>-31544</v>
      </c>
      <c r="BD20" s="45">
        <f t="shared" si="24"/>
        <v>1.0532900432900434</v>
      </c>
      <c r="BF20" s="47">
        <f t="shared" si="25"/>
        <v>40830</v>
      </c>
      <c r="BG20" s="54" t="str">
        <f t="shared" si="11"/>
        <v>qua</v>
      </c>
      <c r="BH20" s="75">
        <v>18200</v>
      </c>
      <c r="BI20" s="75">
        <v>14118</v>
      </c>
      <c r="BJ20" s="75">
        <f>IF(BI20&gt;0,SUM(BI$7:BI20)-SUM(BH$7:BH20),0)</f>
        <v>-66236</v>
      </c>
      <c r="BK20" s="45">
        <f t="shared" si="26"/>
        <v>0.77571428571428569</v>
      </c>
      <c r="BL20" s="75">
        <v>8000</v>
      </c>
      <c r="BM20" s="75">
        <v>10217</v>
      </c>
      <c r="BN20" s="90">
        <f>IF(BM20&gt;0,SUM(BM$7:BM20)-SUM(BL$7:BL20),0)</f>
        <v>-4187</v>
      </c>
      <c r="BO20" s="45">
        <f t="shared" si="27"/>
        <v>1.2771250000000001</v>
      </c>
      <c r="BP20" s="75">
        <v>11000</v>
      </c>
      <c r="BQ20" s="75">
        <v>8124</v>
      </c>
      <c r="BR20" s="90">
        <f>IF(BQ20&gt;0,SUM(BQ$7:BQ20)-SUM(BP$7:BP20),0)</f>
        <v>-1022</v>
      </c>
      <c r="BS20" s="45">
        <f t="shared" si="32"/>
        <v>0.73854545454545451</v>
      </c>
      <c r="BT20" s="35">
        <f t="shared" si="5"/>
        <v>37200</v>
      </c>
      <c r="BU20" s="35">
        <f t="shared" si="5"/>
        <v>32459</v>
      </c>
      <c r="BV20" s="91">
        <f>IF(BU20&gt;0,SUM(BU$7:BU20)-SUM(BT$7:BT20),0)</f>
        <v>-71445</v>
      </c>
      <c r="BW20" s="45">
        <f t="shared" si="28"/>
        <v>0.87255376344086022</v>
      </c>
      <c r="BY20" s="47">
        <f t="shared" si="29"/>
        <v>40830</v>
      </c>
      <c r="BZ20" s="54" t="str">
        <f t="shared" si="12"/>
        <v>qua</v>
      </c>
      <c r="CA20" s="75">
        <v>5000</v>
      </c>
      <c r="CB20" s="75">
        <v>1</v>
      </c>
      <c r="CC20" s="90">
        <f>IF(CB20&gt;0,SUM(CB$7:CB20)-SUM(CA$7:CA20),0)</f>
        <v>665</v>
      </c>
      <c r="CD20" s="45">
        <f t="shared" si="30"/>
        <v>2.0000000000000001E-4</v>
      </c>
    </row>
    <row r="21" spans="1:82" x14ac:dyDescent="0.25">
      <c r="A21" s="47">
        <f t="shared" si="13"/>
        <v>40831</v>
      </c>
      <c r="B21" s="54" t="s">
        <v>23</v>
      </c>
      <c r="C21" s="75">
        <v>12900</v>
      </c>
      <c r="D21" s="75">
        <v>1</v>
      </c>
      <c r="E21" s="90">
        <f>IF(D21&gt;0,SUM(D$7:D21)-SUM(C$7:C21),0)</f>
        <v>-67681</v>
      </c>
      <c r="F21" s="45">
        <f t="shared" si="14"/>
        <v>7.7519379844961245E-5</v>
      </c>
      <c r="G21" s="75">
        <v>12900</v>
      </c>
      <c r="H21" s="75">
        <v>1</v>
      </c>
      <c r="I21" s="75">
        <f>IF(H21&gt;0,SUM(H$7:H21)-SUM(G$7:G21),0)</f>
        <v>-74913</v>
      </c>
      <c r="J21" s="45">
        <f t="shared" si="33"/>
        <v>7.7519379844961245E-5</v>
      </c>
      <c r="K21" s="75">
        <v>12900</v>
      </c>
      <c r="L21" s="75">
        <v>1</v>
      </c>
      <c r="M21" s="90">
        <f>IF(L21&gt;0,SUM(L$7:L21)-SUM(K$7:K21),0)</f>
        <v>-55904</v>
      </c>
      <c r="N21" s="45">
        <f t="shared" si="35"/>
        <v>7.7519379844961245E-5</v>
      </c>
      <c r="O21" s="35">
        <f t="shared" si="34"/>
        <v>38700</v>
      </c>
      <c r="P21" s="35">
        <f t="shared" si="6"/>
        <v>3</v>
      </c>
      <c r="Q21" s="91">
        <f>IF(P21&gt;0,SUM(P$7:P21)-SUM(O$7:O21),0)</f>
        <v>-198498</v>
      </c>
      <c r="R21" s="45">
        <f t="shared" si="15"/>
        <v>7.7519379844961245E-5</v>
      </c>
      <c r="T21" s="47">
        <f t="shared" si="16"/>
        <v>40831</v>
      </c>
      <c r="U21" s="54" t="str">
        <f t="shared" si="7"/>
        <v>qui</v>
      </c>
      <c r="V21" s="75">
        <v>12340</v>
      </c>
      <c r="W21" s="75">
        <v>2029</v>
      </c>
      <c r="X21" s="92">
        <f>IF(W21&gt;0,SUM(W$7:W21)-SUM(V$7:V21),0)</f>
        <v>1095</v>
      </c>
      <c r="Y21" s="60">
        <f t="shared" si="17"/>
        <v>0.16442463533225285</v>
      </c>
      <c r="Z21" s="75">
        <v>12340</v>
      </c>
      <c r="AA21" s="75">
        <v>2710</v>
      </c>
      <c r="AB21" s="92">
        <f>IF(AA21&gt;0,SUM(AA$7:AA21)-SUM(Z$7:Z21),0)</f>
        <v>-49983</v>
      </c>
      <c r="AC21" s="60">
        <f t="shared" si="18"/>
        <v>0.21961102106969205</v>
      </c>
      <c r="AD21" s="75">
        <v>12340</v>
      </c>
      <c r="AE21" s="75">
        <v>1586</v>
      </c>
      <c r="AF21" s="92">
        <f>IF(AE21&gt;0,SUM(AE$7:AE21)-SUM(AD$7:AD21),0)</f>
        <v>-30603</v>
      </c>
      <c r="AG21" s="60">
        <f t="shared" si="19"/>
        <v>0.12852512155591572</v>
      </c>
      <c r="AH21" s="41">
        <f t="shared" si="3"/>
        <v>37020</v>
      </c>
      <c r="AI21" s="41">
        <f t="shared" si="8"/>
        <v>6325</v>
      </c>
      <c r="AJ21" s="93">
        <f>IF(AI21&gt;0,SUM(AI$7:AI21)-SUM(AH$7:AH21),0)</f>
        <v>-79491</v>
      </c>
      <c r="AK21" s="60">
        <f t="shared" si="20"/>
        <v>0.17085359265262021</v>
      </c>
      <c r="AM21" s="47">
        <f t="shared" si="21"/>
        <v>40831</v>
      </c>
      <c r="AN21" s="54" t="str">
        <f t="shared" si="9"/>
        <v>qui</v>
      </c>
      <c r="AO21" s="75">
        <v>7700</v>
      </c>
      <c r="AP21" s="75">
        <v>6667</v>
      </c>
      <c r="AQ21" s="75">
        <f>IF(AP21&gt;0,SUM(AP$7:AP21)-SUM(AO$7:AO21),0)</f>
        <v>-6786</v>
      </c>
      <c r="AR21" s="45">
        <f t="shared" si="22"/>
        <v>0.86584415584415586</v>
      </c>
      <c r="AS21" s="75">
        <v>7700</v>
      </c>
      <c r="AT21" s="75">
        <v>6535</v>
      </c>
      <c r="AU21" s="90">
        <f>IF(AT21&gt;0,SUM(AT$7:AT21)-SUM(AS$7:AS21),0)</f>
        <v>-16672</v>
      </c>
      <c r="AV21" s="45">
        <f t="shared" si="23"/>
        <v>0.84870129870129873</v>
      </c>
      <c r="AW21" s="75">
        <v>7700</v>
      </c>
      <c r="AX21" s="75">
        <v>1604</v>
      </c>
      <c r="AY21" s="90">
        <f>IF(AX21&gt;0,SUM(AX$7:AX21)-SUM(AW$7:AW21),0)</f>
        <v>-16380</v>
      </c>
      <c r="AZ21" s="45">
        <f t="shared" si="31"/>
        <v>0.20831168831168831</v>
      </c>
      <c r="BA21" s="35">
        <f t="shared" si="4"/>
        <v>23100</v>
      </c>
      <c r="BB21" s="35">
        <f t="shared" si="10"/>
        <v>14806</v>
      </c>
      <c r="BC21" s="91">
        <f>IF(BB21&gt;0,SUM(BB$7:BB21)-SUM(BA$7:BA21),0)</f>
        <v>-39838</v>
      </c>
      <c r="BD21" s="45">
        <f t="shared" si="24"/>
        <v>0.64095238095238094</v>
      </c>
      <c r="BF21" s="47">
        <f t="shared" si="25"/>
        <v>40831</v>
      </c>
      <c r="BG21" s="54" t="str">
        <f t="shared" si="11"/>
        <v>qui</v>
      </c>
      <c r="BH21" s="75">
        <v>18200</v>
      </c>
      <c r="BI21" s="75">
        <v>8013</v>
      </c>
      <c r="BJ21" s="75">
        <f>IF(BI21&gt;0,SUM(BI$7:BI21)-SUM(BH$7:BH21),0)</f>
        <v>-76423</v>
      </c>
      <c r="BK21" s="45">
        <f t="shared" si="26"/>
        <v>0.44027472527472528</v>
      </c>
      <c r="BL21" s="75">
        <v>8000</v>
      </c>
      <c r="BM21" s="75">
        <v>6795</v>
      </c>
      <c r="BN21" s="90">
        <f>IF(BM21&gt;0,SUM(BM$7:BM21)-SUM(BL$7:BL21),0)</f>
        <v>-5392</v>
      </c>
      <c r="BO21" s="45">
        <f t="shared" si="27"/>
        <v>0.84937499999999999</v>
      </c>
      <c r="BP21" s="75">
        <v>11000</v>
      </c>
      <c r="BQ21" s="75">
        <v>8577</v>
      </c>
      <c r="BR21" s="90">
        <f>IF(BQ21&gt;0,SUM(BQ$7:BQ21)-SUM(BP$7:BP21),0)</f>
        <v>-3445</v>
      </c>
      <c r="BS21" s="45">
        <f t="shared" si="32"/>
        <v>0.77972727272727271</v>
      </c>
      <c r="BT21" s="35">
        <f t="shared" si="5"/>
        <v>37200</v>
      </c>
      <c r="BU21" s="35">
        <f t="shared" si="5"/>
        <v>23385</v>
      </c>
      <c r="BV21" s="91">
        <f>IF(BU21&gt;0,SUM(BU$7:BU21)-SUM(BT$7:BT21),0)</f>
        <v>-85260</v>
      </c>
      <c r="BW21" s="45">
        <f t="shared" si="28"/>
        <v>0.62862903225806455</v>
      </c>
      <c r="BY21" s="47">
        <f t="shared" si="29"/>
        <v>40831</v>
      </c>
      <c r="BZ21" s="54" t="str">
        <f t="shared" si="12"/>
        <v>qui</v>
      </c>
      <c r="CA21" s="75">
        <v>5000</v>
      </c>
      <c r="CB21" s="75">
        <v>1</v>
      </c>
      <c r="CC21" s="90">
        <f>IF(CB21&gt;0,SUM(CB$7:CB21)-SUM(CA$7:CA21),0)</f>
        <v>-4334</v>
      </c>
      <c r="CD21" s="45">
        <f t="shared" si="30"/>
        <v>2.0000000000000001E-4</v>
      </c>
    </row>
    <row r="22" spans="1:82" x14ac:dyDescent="0.25">
      <c r="A22" s="47">
        <f t="shared" si="13"/>
        <v>40832</v>
      </c>
      <c r="B22" s="54" t="s">
        <v>24</v>
      </c>
      <c r="C22" s="75">
        <v>12900</v>
      </c>
      <c r="D22" s="75">
        <v>1</v>
      </c>
      <c r="E22" s="90">
        <f>IF(D22&gt;0,SUM(D$7:D22)-SUM(C$7:C22),0)</f>
        <v>-80580</v>
      </c>
      <c r="F22" s="45">
        <f t="shared" si="14"/>
        <v>7.7519379844961245E-5</v>
      </c>
      <c r="G22" s="75">
        <v>12900</v>
      </c>
      <c r="H22" s="75">
        <v>7420</v>
      </c>
      <c r="I22" s="75">
        <f>IF(H22&gt;0,SUM(H$7:H22)-SUM(G$7:G22),0)</f>
        <v>-80393</v>
      </c>
      <c r="J22" s="45">
        <f t="shared" si="33"/>
        <v>0.57519379844961238</v>
      </c>
      <c r="K22" s="75">
        <v>12900</v>
      </c>
      <c r="L22" s="75">
        <v>14260</v>
      </c>
      <c r="M22" s="90">
        <f>IF(L22&gt;0,SUM(L$7:L22)-SUM(K$7:K22),0)</f>
        <v>-54544</v>
      </c>
      <c r="N22" s="45">
        <f t="shared" si="35"/>
        <v>1.1054263565891473</v>
      </c>
      <c r="O22" s="35">
        <f t="shared" si="34"/>
        <v>38700</v>
      </c>
      <c r="P22" s="35">
        <f t="shared" si="6"/>
        <v>21681</v>
      </c>
      <c r="Q22" s="91">
        <f>IF(P22&gt;0,SUM(P$7:P22)-SUM(O$7:O22),0)</f>
        <v>-215517</v>
      </c>
      <c r="R22" s="45">
        <f t="shared" si="15"/>
        <v>0.56023255813953488</v>
      </c>
      <c r="T22" s="47">
        <f t="shared" si="16"/>
        <v>40832</v>
      </c>
      <c r="U22" s="54" t="str">
        <f t="shared" si="7"/>
        <v>sex</v>
      </c>
      <c r="V22" s="75">
        <v>12340</v>
      </c>
      <c r="W22" s="75">
        <v>900</v>
      </c>
      <c r="X22" s="92">
        <f>IF(W22&gt;0,SUM(W$7:W22)-SUM(V$7:V22),0)</f>
        <v>-10345</v>
      </c>
      <c r="Y22" s="60">
        <f t="shared" si="17"/>
        <v>7.2933549432739053E-2</v>
      </c>
      <c r="Z22" s="75">
        <v>12340</v>
      </c>
      <c r="AA22" s="75">
        <v>4680</v>
      </c>
      <c r="AB22" s="92">
        <f>IF(AA22&gt;0,SUM(AA$7:AA22)-SUM(Z$7:Z22),0)</f>
        <v>-57643</v>
      </c>
      <c r="AC22" s="60">
        <f t="shared" si="18"/>
        <v>0.37925445705024313</v>
      </c>
      <c r="AD22" s="75">
        <v>12340</v>
      </c>
      <c r="AE22" s="75">
        <v>7675</v>
      </c>
      <c r="AF22" s="92">
        <f>IF(AE22&gt;0,SUM(AE$7:AE22)-SUM(AD$7:AD22),0)</f>
        <v>-35268</v>
      </c>
      <c r="AG22" s="60">
        <f t="shared" si="19"/>
        <v>0.6219611021069692</v>
      </c>
      <c r="AH22" s="41">
        <f t="shared" si="3"/>
        <v>37020</v>
      </c>
      <c r="AI22" s="41">
        <f t="shared" si="8"/>
        <v>13255</v>
      </c>
      <c r="AJ22" s="93">
        <f>IF(AI22&gt;0,SUM(AI$7:AI22)-SUM(AH$7:AH22),0)</f>
        <v>-103256</v>
      </c>
      <c r="AK22" s="60">
        <f t="shared" si="20"/>
        <v>0.35804970286331711</v>
      </c>
      <c r="AM22" s="47">
        <f t="shared" si="21"/>
        <v>40832</v>
      </c>
      <c r="AN22" s="54" t="str">
        <f t="shared" si="9"/>
        <v>sex</v>
      </c>
      <c r="AO22" s="75">
        <v>7700</v>
      </c>
      <c r="AP22" s="75">
        <v>3094</v>
      </c>
      <c r="AQ22" s="75">
        <f>IF(AP22&gt;0,SUM(AP$7:AP22)-SUM(AO$7:AO22),0)</f>
        <v>-11392</v>
      </c>
      <c r="AR22" s="45">
        <f t="shared" si="22"/>
        <v>0.4018181818181818</v>
      </c>
      <c r="AS22" s="75">
        <v>7700</v>
      </c>
      <c r="AT22" s="75">
        <v>2336</v>
      </c>
      <c r="AU22" s="90">
        <f>IF(AT22&gt;0,SUM(AT$7:AT22)-SUM(AS$7:AS22),0)</f>
        <v>-22036</v>
      </c>
      <c r="AV22" s="45">
        <f t="shared" si="23"/>
        <v>0.30337662337662336</v>
      </c>
      <c r="AW22" s="75">
        <v>7700</v>
      </c>
      <c r="AX22" s="75">
        <v>5773</v>
      </c>
      <c r="AY22" s="90">
        <f>IF(AX22&gt;0,SUM(AX$7:AX22)-SUM(AW$7:AW22),0)</f>
        <v>-18307</v>
      </c>
      <c r="AZ22" s="45">
        <f t="shared" si="31"/>
        <v>0.74974025974025971</v>
      </c>
      <c r="BA22" s="35">
        <f t="shared" si="4"/>
        <v>23100</v>
      </c>
      <c r="BB22" s="35">
        <f t="shared" si="10"/>
        <v>11203</v>
      </c>
      <c r="BC22" s="91">
        <f>IF(BB22&gt;0,SUM(BB$7:BB22)-SUM(BA$7:BA22),0)</f>
        <v>-51735</v>
      </c>
      <c r="BD22" s="45">
        <f t="shared" si="24"/>
        <v>0.48497835497835495</v>
      </c>
      <c r="BF22" s="47">
        <f t="shared" si="25"/>
        <v>40832</v>
      </c>
      <c r="BG22" s="54" t="str">
        <f t="shared" si="11"/>
        <v>sex</v>
      </c>
      <c r="BH22" s="75">
        <v>18200</v>
      </c>
      <c r="BI22" s="75">
        <v>7249</v>
      </c>
      <c r="BJ22" s="75">
        <f>IF(BI22&gt;0,SUM(BI$7:BI22)-SUM(BH$7:BH22),0)</f>
        <v>-87374</v>
      </c>
      <c r="BK22" s="45">
        <f t="shared" si="26"/>
        <v>0.3982967032967033</v>
      </c>
      <c r="BL22" s="75">
        <v>8000</v>
      </c>
      <c r="BM22" s="75">
        <v>2762</v>
      </c>
      <c r="BN22" s="90">
        <f>IF(BM22&gt;0,SUM(BM$7:BM22)-SUM(BL$7:BL22),0)</f>
        <v>-10630</v>
      </c>
      <c r="BO22" s="45">
        <f t="shared" si="27"/>
        <v>0.34525</v>
      </c>
      <c r="BP22" s="75">
        <v>11000</v>
      </c>
      <c r="BQ22" s="75">
        <v>1014</v>
      </c>
      <c r="BR22" s="90">
        <f>IF(BQ22&gt;0,SUM(BQ$7:BQ22)-SUM(BP$7:BP22),0)</f>
        <v>-13431</v>
      </c>
      <c r="BS22" s="45">
        <f t="shared" si="32"/>
        <v>9.2181818181818184E-2</v>
      </c>
      <c r="BT22" s="35">
        <f t="shared" si="5"/>
        <v>37200</v>
      </c>
      <c r="BU22" s="35">
        <f t="shared" si="5"/>
        <v>11025</v>
      </c>
      <c r="BV22" s="91">
        <f>IF(BU22&gt;0,SUM(BU$7:BU22)-SUM(BT$7:BT22),0)</f>
        <v>-111435</v>
      </c>
      <c r="BW22" s="45">
        <f t="shared" si="28"/>
        <v>0.2963709677419355</v>
      </c>
      <c r="BY22" s="47">
        <f t="shared" si="29"/>
        <v>40832</v>
      </c>
      <c r="BZ22" s="54" t="str">
        <f t="shared" si="12"/>
        <v>sex</v>
      </c>
      <c r="CA22" s="75">
        <v>5000</v>
      </c>
      <c r="CB22" s="75">
        <v>1</v>
      </c>
      <c r="CC22" s="90">
        <f>IF(CB22&gt;0,SUM(CB$7:CB22)-SUM(CA$7:CA22),0)</f>
        <v>-9333</v>
      </c>
      <c r="CD22" s="45">
        <f t="shared" si="30"/>
        <v>2.0000000000000001E-4</v>
      </c>
    </row>
    <row r="23" spans="1:82" x14ac:dyDescent="0.25">
      <c r="A23" s="47">
        <f t="shared" si="13"/>
        <v>40833</v>
      </c>
      <c r="B23" s="54" t="s">
        <v>25</v>
      </c>
      <c r="C23" s="75">
        <v>12900</v>
      </c>
      <c r="D23" s="75">
        <v>10647</v>
      </c>
      <c r="E23" s="90">
        <f>IF(D23&gt;0,SUM(D$7:D23)-SUM(C$7:C23),0)</f>
        <v>-82833</v>
      </c>
      <c r="F23" s="45">
        <f t="shared" si="14"/>
        <v>0.8253488372093023</v>
      </c>
      <c r="G23" s="75">
        <v>12900</v>
      </c>
      <c r="H23" s="75">
        <v>6766</v>
      </c>
      <c r="I23" s="75">
        <f>IF(H23&gt;0,SUM(H$7:H23)-SUM(G$7:G23),0)</f>
        <v>-86527</v>
      </c>
      <c r="J23" s="45">
        <f t="shared" si="33"/>
        <v>0.52449612403100776</v>
      </c>
      <c r="K23" s="75">
        <v>12900</v>
      </c>
      <c r="L23" s="75">
        <v>10417</v>
      </c>
      <c r="M23" s="90">
        <f>IF(L23&gt;0,SUM(L$7:L23)-SUM(K$7:K23),0)</f>
        <v>-57027</v>
      </c>
      <c r="N23" s="45">
        <f t="shared" si="35"/>
        <v>0.80751937984496125</v>
      </c>
      <c r="O23" s="35">
        <f t="shared" si="34"/>
        <v>38700</v>
      </c>
      <c r="P23" s="35">
        <f t="shared" si="6"/>
        <v>27830</v>
      </c>
      <c r="Q23" s="91">
        <f>IF(P23&gt;0,SUM(P$7:P23)-SUM(O$7:O23),0)</f>
        <v>-226387</v>
      </c>
      <c r="R23" s="45">
        <f t="shared" si="15"/>
        <v>0.71912144702842373</v>
      </c>
      <c r="T23" s="47">
        <f t="shared" si="16"/>
        <v>40833</v>
      </c>
      <c r="U23" s="54" t="str">
        <f t="shared" si="7"/>
        <v>sáb</v>
      </c>
      <c r="V23" s="75">
        <v>12340</v>
      </c>
      <c r="W23" s="75">
        <v>9186</v>
      </c>
      <c r="X23" s="92">
        <f>IF(W23&gt;0,SUM(W$7:W23)-SUM(V$7:V23),0)</f>
        <v>-13499</v>
      </c>
      <c r="Y23" s="60">
        <f t="shared" si="17"/>
        <v>0.74440842787682338</v>
      </c>
      <c r="Z23" s="75">
        <v>12340</v>
      </c>
      <c r="AA23" s="75">
        <v>7845</v>
      </c>
      <c r="AB23" s="92">
        <f>IF(AA23&gt;0,SUM(AA$7:AA23)-SUM(Z$7:Z23),0)</f>
        <v>-62138</v>
      </c>
      <c r="AC23" s="60">
        <f t="shared" si="18"/>
        <v>0.63573743922204218</v>
      </c>
      <c r="AD23" s="75">
        <v>12340</v>
      </c>
      <c r="AE23" s="75">
        <v>9884</v>
      </c>
      <c r="AF23" s="92">
        <f>IF(AE23&gt;0,SUM(AE$7:AE23)-SUM(AD$7:AD23),0)</f>
        <v>-37724</v>
      </c>
      <c r="AG23" s="60">
        <f t="shared" si="19"/>
        <v>0.80097244732576989</v>
      </c>
      <c r="AH23" s="41">
        <f t="shared" si="3"/>
        <v>37020</v>
      </c>
      <c r="AI23" s="41">
        <f t="shared" si="8"/>
        <v>26915</v>
      </c>
      <c r="AJ23" s="93">
        <f>IF(AI23&gt;0,SUM(AI$7:AI23)-SUM(AH$7:AH23),0)</f>
        <v>-113361</v>
      </c>
      <c r="AK23" s="60">
        <f t="shared" si="20"/>
        <v>0.72703943814154515</v>
      </c>
      <c r="AM23" s="47">
        <f t="shared" si="21"/>
        <v>40833</v>
      </c>
      <c r="AN23" s="54" t="str">
        <f t="shared" si="9"/>
        <v>sáb</v>
      </c>
      <c r="AO23" s="75">
        <v>7700</v>
      </c>
      <c r="AP23" s="75">
        <v>9758</v>
      </c>
      <c r="AQ23" s="75">
        <f>IF(AP23&gt;0,SUM(AP$7:AP23)-SUM(AO$7:AO22),0)</f>
        <v>-1634</v>
      </c>
      <c r="AR23" s="45">
        <f>IF(AP23&gt;0,IF(AO18&gt;0,AP23/AO18,0),0)</f>
        <v>1.2672727272727273</v>
      </c>
      <c r="AS23" s="75">
        <v>7700</v>
      </c>
      <c r="AT23" s="75">
        <v>5990</v>
      </c>
      <c r="AU23" s="90">
        <f>IF(AT23&gt;0,SUM(AT$7:AT23)-SUM(AS$7:AS23),0)</f>
        <v>-23746</v>
      </c>
      <c r="AV23" s="45">
        <f t="shared" si="23"/>
        <v>0.7779220779220779</v>
      </c>
      <c r="AW23" s="75">
        <v>7700</v>
      </c>
      <c r="AX23" s="75">
        <v>7108</v>
      </c>
      <c r="AY23" s="90">
        <f>IF(AX23&gt;0,SUM(AX$7:AX23)-SUM(AW$7:AW23),0)</f>
        <v>-18899</v>
      </c>
      <c r="AZ23" s="45">
        <f t="shared" si="31"/>
        <v>0.92311688311688311</v>
      </c>
      <c r="BA23" s="35">
        <f t="shared" si="4"/>
        <v>23100</v>
      </c>
      <c r="BB23" s="35">
        <f t="shared" si="10"/>
        <v>22856</v>
      </c>
      <c r="BC23" s="91">
        <f>IF(BB23&gt;0,SUM(BB$7:BB23)-SUM(BA$7:BA23),0)</f>
        <v>-51979</v>
      </c>
      <c r="BD23" s="45">
        <f t="shared" si="24"/>
        <v>0.98943722943722945</v>
      </c>
      <c r="BF23" s="47">
        <f t="shared" si="25"/>
        <v>40833</v>
      </c>
      <c r="BG23" s="54" t="str">
        <f t="shared" si="11"/>
        <v>sáb</v>
      </c>
      <c r="BH23" s="75">
        <v>18200</v>
      </c>
      <c r="BI23" s="75">
        <v>12974</v>
      </c>
      <c r="BJ23" s="75">
        <f>IF(BI23&gt;0,SUM(BI$7:BI23)-SUM(BH$7:BH23),0)</f>
        <v>-92600</v>
      </c>
      <c r="BK23" s="45">
        <f t="shared" si="26"/>
        <v>0.71285714285714286</v>
      </c>
      <c r="BL23" s="75">
        <v>8000</v>
      </c>
      <c r="BM23" s="75">
        <v>9869</v>
      </c>
      <c r="BN23" s="90">
        <f>IF(BM23&gt;0,SUM(BM$7:BM23)-SUM(BL$7:BL23),0)</f>
        <v>-8761</v>
      </c>
      <c r="BO23" s="45">
        <f t="shared" si="27"/>
        <v>1.233625</v>
      </c>
      <c r="BP23" s="75">
        <v>11000</v>
      </c>
      <c r="BQ23" s="75">
        <v>3988</v>
      </c>
      <c r="BR23" s="90">
        <f>IF(BQ23&gt;0,SUM(BQ$7:BQ23)-SUM(BP$7:BP23),0)</f>
        <v>-20443</v>
      </c>
      <c r="BS23" s="45">
        <f t="shared" si="32"/>
        <v>0.36254545454545456</v>
      </c>
      <c r="BT23" s="35">
        <f t="shared" si="5"/>
        <v>37200</v>
      </c>
      <c r="BU23" s="35">
        <f t="shared" si="5"/>
        <v>26831</v>
      </c>
      <c r="BV23" s="91">
        <f>IF(BU23&gt;0,SUM(BU$7:BU23)-SUM(BT$7:BT23),0)</f>
        <v>-121804</v>
      </c>
      <c r="BW23" s="45">
        <f t="shared" si="28"/>
        <v>0.7212634408602151</v>
      </c>
      <c r="BY23" s="47">
        <f t="shared" si="29"/>
        <v>40833</v>
      </c>
      <c r="BZ23" s="54" t="str">
        <f t="shared" si="12"/>
        <v>sáb</v>
      </c>
      <c r="CA23" s="75">
        <v>5000</v>
      </c>
      <c r="CB23" s="75">
        <v>1</v>
      </c>
      <c r="CC23" s="90">
        <f>IF(CB23&gt;0,SUM(CB$7:CB23)-SUM(CA$7:CA23),0)</f>
        <v>-14332</v>
      </c>
      <c r="CD23" s="45">
        <f t="shared" si="30"/>
        <v>2.0000000000000001E-4</v>
      </c>
    </row>
    <row r="24" spans="1:82" x14ac:dyDescent="0.25">
      <c r="A24" s="47">
        <f t="shared" si="13"/>
        <v>40834</v>
      </c>
      <c r="B24" s="54" t="s">
        <v>26</v>
      </c>
      <c r="C24" s="75"/>
      <c r="D24" s="75">
        <v>17626</v>
      </c>
      <c r="E24" s="90">
        <f>IF(D24&gt;0,SUM(D$7:D24)-SUM(C$7:C24),0)</f>
        <v>-65207</v>
      </c>
      <c r="F24" s="45">
        <f t="shared" si="14"/>
        <v>0</v>
      </c>
      <c r="G24" s="75"/>
      <c r="H24" s="75"/>
      <c r="I24" s="75">
        <f>IF(H24&gt;0,SUM(H$7:H24)-SUM(G$7:G24),0)</f>
        <v>0</v>
      </c>
      <c r="J24" s="45">
        <f t="shared" si="33"/>
        <v>0</v>
      </c>
      <c r="K24" s="75"/>
      <c r="L24" s="75"/>
      <c r="M24" s="90">
        <f>IF(L24&gt;0,SUM(L$7:L24)-SUM(K$7:K24),0)</f>
        <v>0</v>
      </c>
      <c r="N24" s="45">
        <f t="shared" si="35"/>
        <v>0</v>
      </c>
      <c r="O24" s="35">
        <f t="shared" si="34"/>
        <v>0</v>
      </c>
      <c r="P24" s="35">
        <f t="shared" si="6"/>
        <v>17626</v>
      </c>
      <c r="Q24" s="91">
        <f>IF(P24&gt;0,SUM(P$7:P24)-SUM(O$7:O24),0)</f>
        <v>-208761</v>
      </c>
      <c r="R24" s="45">
        <f t="shared" si="15"/>
        <v>0</v>
      </c>
      <c r="T24" s="47">
        <f t="shared" si="16"/>
        <v>40834</v>
      </c>
      <c r="U24" s="54" t="str">
        <f t="shared" si="7"/>
        <v>dom</v>
      </c>
      <c r="V24" s="75"/>
      <c r="W24" s="75">
        <v>15676</v>
      </c>
      <c r="X24" s="92">
        <f>IF(W24&gt;0,SUM(W$7:W24)-SUM(V$7:V24),0)</f>
        <v>2177</v>
      </c>
      <c r="Y24" s="60">
        <f t="shared" si="17"/>
        <v>0</v>
      </c>
      <c r="Z24" s="75"/>
      <c r="AA24" s="75"/>
      <c r="AB24" s="92">
        <f>IF(AA24&gt;0,SUM(AA$7:AA24)-SUM(Z$7:Z24),0)</f>
        <v>0</v>
      </c>
      <c r="AC24" s="60">
        <f t="shared" si="18"/>
        <v>0</v>
      </c>
      <c r="AD24" s="75"/>
      <c r="AE24" s="75"/>
      <c r="AF24" s="92">
        <f>IF(AE24&gt;0,SUM(AE$7:AE24)-SUM(AD$7:AD24),0)</f>
        <v>0</v>
      </c>
      <c r="AG24" s="60">
        <f t="shared" si="19"/>
        <v>0</v>
      </c>
      <c r="AH24" s="41">
        <f t="shared" si="3"/>
        <v>0</v>
      </c>
      <c r="AI24" s="93">
        <f t="shared" si="8"/>
        <v>15676</v>
      </c>
      <c r="AJ24" s="93">
        <f>IF(AI24&gt;0,SUM(AI$7:AI24)-SUM(AH$7:AH24),0)</f>
        <v>-97685</v>
      </c>
      <c r="AK24" s="60">
        <f t="shared" si="20"/>
        <v>0</v>
      </c>
      <c r="AM24" s="47">
        <f t="shared" si="21"/>
        <v>40834</v>
      </c>
      <c r="AN24" s="54" t="str">
        <f t="shared" si="9"/>
        <v>dom</v>
      </c>
      <c r="AO24" s="75"/>
      <c r="AP24" s="75"/>
      <c r="AQ24" s="75">
        <f>IF(AP24&gt;0,SUM(AP$7:AP24)-SUM(AO$7:AO24),0)</f>
        <v>0</v>
      </c>
      <c r="AR24" s="45">
        <f t="shared" si="22"/>
        <v>0</v>
      </c>
      <c r="AS24" s="75"/>
      <c r="AT24" s="75"/>
      <c r="AU24" s="90">
        <f>IF(AT24&gt;0,SUM(AT$7:AT24)-SUM(AS$7:AS24),0)</f>
        <v>0</v>
      </c>
      <c r="AV24" s="45">
        <f t="shared" si="23"/>
        <v>0</v>
      </c>
      <c r="AW24" s="75"/>
      <c r="AX24" s="75"/>
      <c r="AY24" s="90">
        <f>IF(AX24&gt;0,SUM(AX$7:AX24)-SUM(AW$7:AW24),0)</f>
        <v>0</v>
      </c>
      <c r="AZ24" s="45">
        <f t="shared" si="31"/>
        <v>0</v>
      </c>
      <c r="BA24" s="35">
        <f t="shared" si="4"/>
        <v>0</v>
      </c>
      <c r="BB24" s="35">
        <f t="shared" si="10"/>
        <v>0</v>
      </c>
      <c r="BC24" s="91">
        <f>IF(BB24&gt;0,SUM(BB$7:BB24)-SUM(BA$7:BA24),0)</f>
        <v>0</v>
      </c>
      <c r="BD24" s="45">
        <f t="shared" si="24"/>
        <v>0</v>
      </c>
      <c r="BF24" s="47">
        <f t="shared" si="25"/>
        <v>40834</v>
      </c>
      <c r="BG24" s="54" t="str">
        <f t="shared" si="11"/>
        <v>dom</v>
      </c>
      <c r="BH24" s="75"/>
      <c r="BI24" s="75"/>
      <c r="BJ24" s="75">
        <f>IF(BI24&gt;0,SUM(BI$7:BI24)-SUM(BH$7:BH24),0)</f>
        <v>0</v>
      </c>
      <c r="BK24" s="45">
        <f t="shared" si="26"/>
        <v>0</v>
      </c>
      <c r="BL24" s="75"/>
      <c r="BM24" s="75"/>
      <c r="BN24" s="90">
        <f>IF(BM24&gt;0,SUM(BM$7:BM24)-SUM(BL$7:BL24),0)</f>
        <v>0</v>
      </c>
      <c r="BO24" s="45">
        <f t="shared" si="27"/>
        <v>0</v>
      </c>
      <c r="BP24" s="75"/>
      <c r="BQ24" s="75"/>
      <c r="BR24" s="90">
        <f>IF(BQ24&gt;0,SUM(BQ$7:BQ24)-SUM(BP$7:BP24),0)</f>
        <v>0</v>
      </c>
      <c r="BS24" s="45">
        <f t="shared" si="32"/>
        <v>0</v>
      </c>
      <c r="BT24" s="35">
        <f t="shared" si="5"/>
        <v>0</v>
      </c>
      <c r="BU24" s="35">
        <f t="shared" si="5"/>
        <v>0</v>
      </c>
      <c r="BV24" s="91">
        <f>IF(BU24&gt;0,SUM(BU$7:BU24)-SUM(BT$7:BT24),0)</f>
        <v>0</v>
      </c>
      <c r="BW24" s="45">
        <f t="shared" si="28"/>
        <v>0</v>
      </c>
      <c r="BY24" s="47">
        <f t="shared" si="29"/>
        <v>40834</v>
      </c>
      <c r="BZ24" s="54" t="str">
        <f t="shared" si="12"/>
        <v>dom</v>
      </c>
      <c r="CA24" s="75"/>
      <c r="CB24" s="75"/>
      <c r="CC24" s="90">
        <f>IF(CB24&gt;0,SUM(CB$7:CB24)-SUM(CA$7:CA24),0)</f>
        <v>0</v>
      </c>
      <c r="CD24" s="45">
        <f t="shared" si="30"/>
        <v>0</v>
      </c>
    </row>
    <row r="25" spans="1:82" x14ac:dyDescent="0.25">
      <c r="A25" s="47">
        <f t="shared" si="13"/>
        <v>40835</v>
      </c>
      <c r="B25" s="54" t="s">
        <v>27</v>
      </c>
      <c r="C25" s="75">
        <v>12900</v>
      </c>
      <c r="D25" s="75">
        <v>10048</v>
      </c>
      <c r="E25" s="90">
        <f>IF(D25&gt;0,SUM(D$7:D25)-SUM(C$7:C25),0)</f>
        <v>-68059</v>
      </c>
      <c r="F25" s="45">
        <f t="shared" si="14"/>
        <v>0.77891472868217049</v>
      </c>
      <c r="G25" s="75">
        <v>12900</v>
      </c>
      <c r="H25" s="75">
        <v>12205</v>
      </c>
      <c r="I25" s="75">
        <f>IF(H25&gt;0,SUM(H$7:H25)-SUM(G$7:G25),0)</f>
        <v>-87222</v>
      </c>
      <c r="J25" s="45">
        <f t="shared" si="33"/>
        <v>0.94612403100775189</v>
      </c>
      <c r="K25" s="75">
        <v>12900</v>
      </c>
      <c r="L25" s="75">
        <v>16216</v>
      </c>
      <c r="M25" s="90">
        <f>IF(L25&gt;0,SUM(L$7:L25)-SUM(K$7:K25),0)</f>
        <v>-53711</v>
      </c>
      <c r="N25" s="45">
        <f t="shared" si="35"/>
        <v>1.2570542635658914</v>
      </c>
      <c r="O25" s="35">
        <f t="shared" si="34"/>
        <v>38700</v>
      </c>
      <c r="P25" s="35">
        <f t="shared" si="6"/>
        <v>38469</v>
      </c>
      <c r="Q25" s="91">
        <f>IF(P25&gt;0,SUM(P$7:P25)-SUM(O$7:O25),0)</f>
        <v>-208992</v>
      </c>
      <c r="R25" s="45">
        <f t="shared" si="15"/>
        <v>0.99403100775193798</v>
      </c>
      <c r="T25" s="47">
        <f t="shared" si="16"/>
        <v>40835</v>
      </c>
      <c r="U25" s="54" t="str">
        <f t="shared" si="7"/>
        <v>seg</v>
      </c>
      <c r="V25" s="75">
        <v>12340</v>
      </c>
      <c r="W25" s="75">
        <v>9627</v>
      </c>
      <c r="X25" s="92">
        <f>IF(W25&gt;0,SUM(W$7:W25)-SUM(V$7:V25),0)</f>
        <v>-536</v>
      </c>
      <c r="Y25" s="60">
        <f t="shared" si="17"/>
        <v>0.78014586709886546</v>
      </c>
      <c r="Z25" s="75">
        <v>12340</v>
      </c>
      <c r="AA25" s="75">
        <v>9257</v>
      </c>
      <c r="AB25" s="92">
        <f>IF(AA25&gt;0,SUM(AA$7:AA25)-SUM(Z$7:Z25),0)</f>
        <v>-65221</v>
      </c>
      <c r="AC25" s="60">
        <f t="shared" si="18"/>
        <v>0.75016207455429496</v>
      </c>
      <c r="AD25" s="75">
        <v>12340</v>
      </c>
      <c r="AE25" s="75">
        <v>9772</v>
      </c>
      <c r="AF25" s="92">
        <f>IF(AE25&gt;0,SUM(AE$7:AE25)-SUM(AD$7:AD25),0)</f>
        <v>-40292</v>
      </c>
      <c r="AG25" s="60">
        <f t="shared" si="19"/>
        <v>0.79189627228525117</v>
      </c>
      <c r="AH25" s="41">
        <f t="shared" si="3"/>
        <v>37020</v>
      </c>
      <c r="AI25" s="41">
        <f t="shared" si="8"/>
        <v>28656</v>
      </c>
      <c r="AJ25" s="93">
        <f>IF(AI25&gt;0,SUM(AI$7:AI25)-SUM(AH$7:AH25),0)</f>
        <v>-106049</v>
      </c>
      <c r="AK25" s="60">
        <f t="shared" si="20"/>
        <v>0.77406807131280386</v>
      </c>
      <c r="AM25" s="47">
        <f t="shared" si="21"/>
        <v>40835</v>
      </c>
      <c r="AN25" s="54" t="str">
        <f t="shared" si="9"/>
        <v>seg</v>
      </c>
      <c r="AO25" s="75">
        <v>7700</v>
      </c>
      <c r="AP25" s="75">
        <v>9338</v>
      </c>
      <c r="AQ25" s="75">
        <f>IF(AP25&gt;0,SUM(AP$7:AP25)-SUM(AO$7:AO25),0)</f>
        <v>-7696</v>
      </c>
      <c r="AR25" s="45">
        <f t="shared" si="22"/>
        <v>1.2127272727272727</v>
      </c>
      <c r="AS25" s="75">
        <v>7700</v>
      </c>
      <c r="AT25" s="75">
        <v>6922</v>
      </c>
      <c r="AU25" s="90">
        <f>IF(AT25&gt;0,SUM(AT$7:AT25)-SUM(AS$7:AS25),0)</f>
        <v>-24524</v>
      </c>
      <c r="AV25" s="45">
        <f t="shared" si="23"/>
        <v>0.89896103896103896</v>
      </c>
      <c r="AW25" s="75">
        <v>7700</v>
      </c>
      <c r="AX25" s="75">
        <v>9764</v>
      </c>
      <c r="AY25" s="90">
        <f>IF(AX25&gt;0,SUM(AX$7:AX25)-SUM(AW$7:AW25),0)</f>
        <v>-16835</v>
      </c>
      <c r="AZ25" s="45">
        <f t="shared" si="31"/>
        <v>1.2680519480519481</v>
      </c>
      <c r="BA25" s="35">
        <f t="shared" si="4"/>
        <v>23100</v>
      </c>
      <c r="BB25" s="35">
        <f t="shared" si="10"/>
        <v>26024</v>
      </c>
      <c r="BC25" s="91">
        <f>IF(BB25&gt;0,SUM(BB$7:BB25)-SUM(BA$7:BA25),0)</f>
        <v>-49055</v>
      </c>
      <c r="BD25" s="45">
        <f t="shared" si="24"/>
        <v>1.1265800865800866</v>
      </c>
      <c r="BF25" s="47">
        <f t="shared" si="25"/>
        <v>40835</v>
      </c>
      <c r="BG25" s="54" t="str">
        <f t="shared" si="11"/>
        <v>seg</v>
      </c>
      <c r="BH25" s="75">
        <v>18200</v>
      </c>
      <c r="BI25" s="75">
        <v>19267</v>
      </c>
      <c r="BJ25" s="75">
        <f>IF(BI25&gt;0,SUM(BI$7:BI25)-SUM(BH$7:BH25),0)</f>
        <v>-91533</v>
      </c>
      <c r="BK25" s="45">
        <f t="shared" si="26"/>
        <v>1.0586263736263737</v>
      </c>
      <c r="BL25" s="75">
        <v>8000</v>
      </c>
      <c r="BM25" s="75">
        <v>6758</v>
      </c>
      <c r="BN25" s="90">
        <f>IF(BM25&gt;0,SUM(BM$7:BM25)-SUM(BL$7:BL25),0)</f>
        <v>-10003</v>
      </c>
      <c r="BO25" s="45">
        <f t="shared" si="27"/>
        <v>0.84475</v>
      </c>
      <c r="BP25" s="75">
        <v>11000</v>
      </c>
      <c r="BQ25" s="75">
        <v>12765</v>
      </c>
      <c r="BR25" s="90">
        <f>IF(BQ25&gt;0,SUM(BQ$7:BQ25)-SUM(BP$7:BP25),0)</f>
        <v>-18678</v>
      </c>
      <c r="BS25" s="45">
        <f t="shared" si="32"/>
        <v>1.1604545454545454</v>
      </c>
      <c r="BT25" s="35">
        <f t="shared" si="5"/>
        <v>37200</v>
      </c>
      <c r="BU25" s="35">
        <f t="shared" si="5"/>
        <v>38790</v>
      </c>
      <c r="BV25" s="91">
        <f>IF(BU25&gt;0,SUM(BU$7:BU25)-SUM(BT$7:BT25),0)</f>
        <v>-120214</v>
      </c>
      <c r="BW25" s="45">
        <f t="shared" si="28"/>
        <v>1.042741935483871</v>
      </c>
      <c r="BY25" s="47">
        <f t="shared" si="29"/>
        <v>40835</v>
      </c>
      <c r="BZ25" s="54" t="str">
        <f t="shared" si="12"/>
        <v>seg</v>
      </c>
      <c r="CA25" s="75">
        <v>5000</v>
      </c>
      <c r="CB25" s="75">
        <v>7394</v>
      </c>
      <c r="CC25" s="90">
        <f>IF(CB25&gt;0,SUM(CB$7:CB25)-SUM(CA$7:CA25),0)</f>
        <v>-11938</v>
      </c>
      <c r="CD25" s="45">
        <f t="shared" si="30"/>
        <v>1.4787999999999999</v>
      </c>
    </row>
    <row r="26" spans="1:82" x14ac:dyDescent="0.25">
      <c r="A26" s="47">
        <f t="shared" si="13"/>
        <v>40836</v>
      </c>
      <c r="B26" s="54" t="s">
        <v>28</v>
      </c>
      <c r="C26" s="75">
        <v>12900</v>
      </c>
      <c r="D26" s="75">
        <v>7888</v>
      </c>
      <c r="E26" s="90">
        <f>IF(D26&gt;0,SUM(D$7:D26)-SUM(C$7:C26),0)</f>
        <v>-73071</v>
      </c>
      <c r="F26" s="45">
        <f t="shared" si="14"/>
        <v>0.61147286821705427</v>
      </c>
      <c r="G26" s="75">
        <v>12900</v>
      </c>
      <c r="H26" s="75">
        <v>9076</v>
      </c>
      <c r="I26" s="75">
        <f>IF(H26&gt;0,SUM(H$7:H26)-SUM(G$7:G26),0)</f>
        <v>-91046</v>
      </c>
      <c r="J26" s="45">
        <f t="shared" si="33"/>
        <v>0.70356589147286819</v>
      </c>
      <c r="K26" s="75">
        <v>12900</v>
      </c>
      <c r="L26" s="75">
        <v>11454</v>
      </c>
      <c r="M26" s="90">
        <f>IF(L26&gt;0,SUM(L$7:L26)-SUM(K$7:K26),0)</f>
        <v>-55157</v>
      </c>
      <c r="N26" s="45">
        <f t="shared" si="35"/>
        <v>0.88790697674418606</v>
      </c>
      <c r="O26" s="35">
        <f t="shared" si="34"/>
        <v>38700</v>
      </c>
      <c r="P26" s="35">
        <f t="shared" si="6"/>
        <v>28418</v>
      </c>
      <c r="Q26" s="91">
        <f>IF(P26&gt;0,SUM(P$7:P26)-SUM(O$7:O26),0)</f>
        <v>-219274</v>
      </c>
      <c r="R26" s="45">
        <f t="shared" si="15"/>
        <v>0.73431524547803617</v>
      </c>
      <c r="T26" s="47">
        <f t="shared" si="16"/>
        <v>40836</v>
      </c>
      <c r="U26" s="54" t="str">
        <f t="shared" si="7"/>
        <v>ter</v>
      </c>
      <c r="V26" s="75">
        <v>12340</v>
      </c>
      <c r="W26" s="75">
        <v>9651</v>
      </c>
      <c r="X26" s="92">
        <f>IF(W26&gt;0,SUM(W$7:W26)-SUM(V$7:V26),0)</f>
        <v>-3225</v>
      </c>
      <c r="Y26" s="60">
        <f t="shared" si="17"/>
        <v>0.78209076175040515</v>
      </c>
      <c r="Z26" s="75">
        <v>12340</v>
      </c>
      <c r="AA26" s="75">
        <v>10835</v>
      </c>
      <c r="AB26" s="92">
        <f>IF(AA26&gt;0,SUM(AA$7:AA26)-SUM(Z$7:Z26),0)</f>
        <v>-66726</v>
      </c>
      <c r="AC26" s="60">
        <f t="shared" si="18"/>
        <v>0.8780388978930308</v>
      </c>
      <c r="AD26" s="75">
        <v>12340</v>
      </c>
      <c r="AE26" s="75">
        <v>11143</v>
      </c>
      <c r="AF26" s="92">
        <f>IF(AE26&gt;0,SUM(AE$7:AE26)-SUM(AD$7:AD26),0)</f>
        <v>-41489</v>
      </c>
      <c r="AG26" s="60">
        <f t="shared" si="19"/>
        <v>0.90299837925445703</v>
      </c>
      <c r="AH26" s="41">
        <f t="shared" si="3"/>
        <v>37020</v>
      </c>
      <c r="AI26" s="41">
        <f t="shared" si="8"/>
        <v>31629</v>
      </c>
      <c r="AJ26" s="93">
        <f>IF(AI26&gt;0,SUM(AI$7:AI26)-SUM(AH$7:AH26),0)</f>
        <v>-111440</v>
      </c>
      <c r="AK26" s="60">
        <f t="shared" si="20"/>
        <v>0.85437601296596433</v>
      </c>
      <c r="AM26" s="47">
        <f t="shared" si="21"/>
        <v>40836</v>
      </c>
      <c r="AN26" s="54" t="str">
        <f t="shared" si="9"/>
        <v>ter</v>
      </c>
      <c r="AO26" s="75">
        <v>7700</v>
      </c>
      <c r="AP26" s="75">
        <v>6416</v>
      </c>
      <c r="AQ26" s="75">
        <f>IF(AP26&gt;0,SUM(AP$7:AP26)-SUM(AO$7:AO26),0)</f>
        <v>-8980</v>
      </c>
      <c r="AR26" s="45">
        <f t="shared" si="22"/>
        <v>0.83324675324675324</v>
      </c>
      <c r="AS26" s="75">
        <v>7700</v>
      </c>
      <c r="AT26" s="75">
        <v>7566</v>
      </c>
      <c r="AU26" s="90">
        <f>IF(AT26&gt;0,SUM(AT$7:AT26)-SUM(AS$7:AS26),0)</f>
        <v>-24658</v>
      </c>
      <c r="AV26" s="45">
        <f t="shared" si="23"/>
        <v>0.98259740259740258</v>
      </c>
      <c r="AW26" s="75">
        <v>7700</v>
      </c>
      <c r="AX26" s="75">
        <v>9023</v>
      </c>
      <c r="AY26" s="90">
        <f>IF(AX26&gt;0,SUM(AX$7:AX26)-SUM(AW$7:AW26),0)</f>
        <v>-15512</v>
      </c>
      <c r="AZ26" s="45">
        <f t="shared" si="31"/>
        <v>1.1718181818181819</v>
      </c>
      <c r="BA26" s="35">
        <f t="shared" si="4"/>
        <v>23100</v>
      </c>
      <c r="BB26" s="35">
        <f t="shared" si="10"/>
        <v>23005</v>
      </c>
      <c r="BC26" s="91">
        <f>IF(BB26&gt;0,SUM(BB$7:BB26)-SUM(BA$7:BA26),0)</f>
        <v>-49150</v>
      </c>
      <c r="BD26" s="45">
        <f t="shared" si="24"/>
        <v>0.99588744588744593</v>
      </c>
      <c r="BF26" s="47">
        <f t="shared" si="25"/>
        <v>40836</v>
      </c>
      <c r="BG26" s="54" t="str">
        <f t="shared" si="11"/>
        <v>ter</v>
      </c>
      <c r="BH26" s="75">
        <v>18200</v>
      </c>
      <c r="BI26" s="75">
        <v>15642</v>
      </c>
      <c r="BJ26" s="75">
        <f>IF(BI26&gt;0,SUM(BI$7:BI26)-SUM(BH$7:BH26),0)</f>
        <v>-94091</v>
      </c>
      <c r="BK26" s="45">
        <f t="shared" si="26"/>
        <v>0.85945054945054944</v>
      </c>
      <c r="BL26" s="75">
        <v>8000</v>
      </c>
      <c r="BM26" s="75">
        <v>8701</v>
      </c>
      <c r="BN26" s="90">
        <f>IF(BM26&gt;0,SUM(BM$7:BM26)-SUM(BL$7:BL26),0)</f>
        <v>-9302</v>
      </c>
      <c r="BO26" s="45">
        <f t="shared" si="27"/>
        <v>1.0876250000000001</v>
      </c>
      <c r="BP26" s="75">
        <v>11000</v>
      </c>
      <c r="BQ26" s="75">
        <v>6688</v>
      </c>
      <c r="BR26" s="90">
        <f>IF(BQ26&gt;0,SUM(BQ$7:BQ26)-SUM(BP$7:BP26),0)</f>
        <v>-22990</v>
      </c>
      <c r="BS26" s="45">
        <f t="shared" si="32"/>
        <v>0.60799999999999998</v>
      </c>
      <c r="BT26" s="35">
        <f t="shared" si="5"/>
        <v>37200</v>
      </c>
      <c r="BU26" s="35">
        <f t="shared" si="5"/>
        <v>31031</v>
      </c>
      <c r="BV26" s="91">
        <f>IF(BU26&gt;0,SUM(BU$7:BU26)-SUM(BT$7:BT26),0)</f>
        <v>-126383</v>
      </c>
      <c r="BW26" s="45">
        <f t="shared" si="28"/>
        <v>0.83416666666666661</v>
      </c>
      <c r="BY26" s="47">
        <f t="shared" si="29"/>
        <v>40836</v>
      </c>
      <c r="BZ26" s="54" t="str">
        <f t="shared" si="12"/>
        <v>ter</v>
      </c>
      <c r="CA26" s="75">
        <v>5000</v>
      </c>
      <c r="CB26" s="75">
        <v>10753</v>
      </c>
      <c r="CC26" s="90">
        <f>IF(CB26&gt;0,SUM(CB$7:CB26)-SUM(CA$7:CA26),0)</f>
        <v>-6185</v>
      </c>
      <c r="CD26" s="45">
        <f t="shared" si="30"/>
        <v>2.1505999999999998</v>
      </c>
    </row>
    <row r="27" spans="1:82" x14ac:dyDescent="0.25">
      <c r="A27" s="47">
        <f t="shared" si="13"/>
        <v>40837</v>
      </c>
      <c r="B27" s="54" t="s">
        <v>22</v>
      </c>
      <c r="C27" s="75">
        <v>12900</v>
      </c>
      <c r="D27" s="75">
        <v>13129</v>
      </c>
      <c r="E27" s="90">
        <f>IF(D27&gt;0,SUM(D$7:D27)-SUM(C$7:C27),0)</f>
        <v>-72842</v>
      </c>
      <c r="F27" s="45">
        <f t="shared" si="14"/>
        <v>1.0177519379844961</v>
      </c>
      <c r="G27" s="75">
        <v>12900</v>
      </c>
      <c r="H27" s="75">
        <v>10380</v>
      </c>
      <c r="I27" s="75">
        <f>IF(H27&gt;0,SUM(H$7:H27)-SUM(G$7:G27),0)</f>
        <v>-93566</v>
      </c>
      <c r="J27" s="45">
        <f t="shared" si="33"/>
        <v>0.8046511627906977</v>
      </c>
      <c r="K27" s="75">
        <v>12900</v>
      </c>
      <c r="L27" s="75">
        <v>15047</v>
      </c>
      <c r="M27" s="90">
        <f>IF(L27&gt;0,SUM(L$7:L27)-SUM(K$7:K27),0)</f>
        <v>-53010</v>
      </c>
      <c r="N27" s="45">
        <f t="shared" si="35"/>
        <v>1.1664341085271317</v>
      </c>
      <c r="O27" s="35">
        <f t="shared" si="34"/>
        <v>38700</v>
      </c>
      <c r="P27" s="35">
        <f t="shared" si="6"/>
        <v>38556</v>
      </c>
      <c r="Q27" s="91">
        <f>IF(P27&gt;0,SUM(P$7:P27)-SUM(O$7:O27),0)</f>
        <v>-219418</v>
      </c>
      <c r="R27" s="45">
        <f t="shared" si="15"/>
        <v>0.99627906976744185</v>
      </c>
      <c r="T27" s="47">
        <f t="shared" si="16"/>
        <v>40837</v>
      </c>
      <c r="U27" s="54" t="str">
        <f t="shared" si="7"/>
        <v>qua</v>
      </c>
      <c r="V27" s="75">
        <v>12340</v>
      </c>
      <c r="W27" s="75">
        <v>12750</v>
      </c>
      <c r="X27" s="92">
        <f>IF(W27&gt;0,SUM(W$7:W27)-SUM(V$7:V27),0)</f>
        <v>-2815</v>
      </c>
      <c r="Y27" s="60">
        <f t="shared" si="17"/>
        <v>1.0332252836304701</v>
      </c>
      <c r="Z27" s="75">
        <v>12340</v>
      </c>
      <c r="AA27" s="75">
        <v>9026</v>
      </c>
      <c r="AB27" s="92">
        <f>IF(AA27&gt;0,SUM(AA$7:AA27)-SUM(Z$7:Z27),0)</f>
        <v>-70040</v>
      </c>
      <c r="AC27" s="60">
        <f t="shared" si="18"/>
        <v>0.73144246353322528</v>
      </c>
      <c r="AD27" s="75">
        <v>12340</v>
      </c>
      <c r="AE27" s="75">
        <v>10157</v>
      </c>
      <c r="AF27" s="92">
        <f>IF(AE27&gt;0,SUM(AE$7:AE27)-SUM(AD$7:AD27),0)</f>
        <v>-43672</v>
      </c>
      <c r="AG27" s="60">
        <f t="shared" si="19"/>
        <v>0.82309562398703406</v>
      </c>
      <c r="AH27" s="41">
        <f t="shared" si="3"/>
        <v>37020</v>
      </c>
      <c r="AI27" s="41">
        <f t="shared" si="8"/>
        <v>31933</v>
      </c>
      <c r="AJ27" s="93">
        <f>IF(AI27&gt;0,SUM(AI$7:AI27)-SUM(AH$7:AH27),0)</f>
        <v>-116527</v>
      </c>
      <c r="AK27" s="60">
        <f t="shared" si="20"/>
        <v>0.86258779038357647</v>
      </c>
      <c r="AM27" s="47">
        <f t="shared" si="21"/>
        <v>40837</v>
      </c>
      <c r="AN27" s="54" t="str">
        <f t="shared" si="9"/>
        <v>qua</v>
      </c>
      <c r="AO27" s="75">
        <v>7700</v>
      </c>
      <c r="AP27" s="75">
        <v>7240</v>
      </c>
      <c r="AQ27" s="75">
        <f>IF(AP27&gt;0,SUM(AP$7:AP27)-SUM(AO$7:AO27),0)</f>
        <v>-9440</v>
      </c>
      <c r="AR27" s="45">
        <f t="shared" si="22"/>
        <v>0.94025974025974024</v>
      </c>
      <c r="AS27" s="75">
        <v>7700</v>
      </c>
      <c r="AT27" s="75">
        <v>4435</v>
      </c>
      <c r="AU27" s="90">
        <f>IF(AT27&gt;0,SUM(AT$7:AT27)-SUM(AS$7:AS27),0)</f>
        <v>-27923</v>
      </c>
      <c r="AV27" s="45">
        <f t="shared" si="23"/>
        <v>0.57597402597402603</v>
      </c>
      <c r="AW27" s="75">
        <v>7700</v>
      </c>
      <c r="AX27" s="75">
        <v>7645</v>
      </c>
      <c r="AY27" s="90">
        <f>IF(AX27&gt;0,SUM(AX$7:AX27)-SUM(AW$7:AW27),0)</f>
        <v>-15567</v>
      </c>
      <c r="AZ27" s="45">
        <f t="shared" si="31"/>
        <v>0.99285714285714288</v>
      </c>
      <c r="BA27" s="35">
        <f t="shared" si="4"/>
        <v>23100</v>
      </c>
      <c r="BB27" s="35">
        <f t="shared" si="10"/>
        <v>19320</v>
      </c>
      <c r="BC27" s="91">
        <f>IF(BB27&gt;0,SUM(BB$7:BB27)-SUM(BA$7:BA27),0)</f>
        <v>-52930</v>
      </c>
      <c r="BD27" s="45">
        <f t="shared" si="24"/>
        <v>0.83636363636363631</v>
      </c>
      <c r="BF27" s="47">
        <f t="shared" si="25"/>
        <v>40837</v>
      </c>
      <c r="BG27" s="54" t="str">
        <f t="shared" si="11"/>
        <v>qua</v>
      </c>
      <c r="BH27" s="75">
        <v>18200</v>
      </c>
      <c r="BI27" s="75">
        <v>12781</v>
      </c>
      <c r="BJ27" s="75">
        <f>IF(BI27&gt;0,SUM(BI$7:BI27)-SUM(BH$7:BH27),0)</f>
        <v>-99510</v>
      </c>
      <c r="BK27" s="45">
        <f t="shared" si="26"/>
        <v>0.70225274725274722</v>
      </c>
      <c r="BL27" s="75">
        <v>8000</v>
      </c>
      <c r="BM27" s="75">
        <v>6540</v>
      </c>
      <c r="BN27" s="90">
        <f>IF(BM27&gt;0,SUM(BM$7:BM27)-SUM(BL$7:BL27),0)</f>
        <v>-10762</v>
      </c>
      <c r="BO27" s="45">
        <f t="shared" si="27"/>
        <v>0.8175</v>
      </c>
      <c r="BP27" s="75">
        <v>11000</v>
      </c>
      <c r="BQ27" s="75">
        <v>9929</v>
      </c>
      <c r="BR27" s="90">
        <f>IF(BQ27&gt;0,SUM(BQ$7:BQ27)-SUM(BP$7:BP27),0)</f>
        <v>-24061</v>
      </c>
      <c r="BS27" s="45">
        <f t="shared" si="32"/>
        <v>0.90263636363636368</v>
      </c>
      <c r="BT27" s="35">
        <f t="shared" si="5"/>
        <v>37200</v>
      </c>
      <c r="BU27" s="35">
        <f t="shared" si="5"/>
        <v>29250</v>
      </c>
      <c r="BV27" s="91">
        <f>IF(BU27&gt;0,SUM(BU$7:BU27)-SUM(BT$7:BT27),0)</f>
        <v>-134333</v>
      </c>
      <c r="BW27" s="45">
        <f t="shared" si="28"/>
        <v>0.78629032258064513</v>
      </c>
      <c r="BY27" s="47">
        <f t="shared" si="29"/>
        <v>40837</v>
      </c>
      <c r="BZ27" s="54" t="str">
        <f t="shared" si="12"/>
        <v>qua</v>
      </c>
      <c r="CA27" s="75">
        <v>5000</v>
      </c>
      <c r="CB27" s="75">
        <v>5363</v>
      </c>
      <c r="CC27" s="90">
        <f>IF(CB27&gt;0,SUM(CB$7:CB27)-SUM(CA$7:CA27),0)</f>
        <v>-5822</v>
      </c>
      <c r="CD27" s="45">
        <f t="shared" si="30"/>
        <v>1.0726</v>
      </c>
    </row>
    <row r="28" spans="1:82" x14ac:dyDescent="0.25">
      <c r="A28" s="47">
        <f t="shared" si="13"/>
        <v>40838</v>
      </c>
      <c r="B28" s="54" t="s">
        <v>23</v>
      </c>
      <c r="C28" s="75">
        <v>12900</v>
      </c>
      <c r="D28" s="75">
        <v>12740</v>
      </c>
      <c r="E28" s="90">
        <f>IF(D28&gt;0,SUM(D$7:D28)-SUM(C$7:C28),0)</f>
        <v>-73002</v>
      </c>
      <c r="F28" s="45">
        <f t="shared" si="14"/>
        <v>0.9875968992248062</v>
      </c>
      <c r="G28" s="75">
        <v>12900</v>
      </c>
      <c r="H28" s="75">
        <v>11056</v>
      </c>
      <c r="I28" s="75">
        <f>IF(H28&gt;0,SUM(H$7:H28)-SUM(G$7:G28),0)</f>
        <v>-95410</v>
      </c>
      <c r="J28" s="45">
        <f t="shared" si="33"/>
        <v>0.85705426356589143</v>
      </c>
      <c r="K28" s="75">
        <v>12900</v>
      </c>
      <c r="L28" s="75">
        <v>10002</v>
      </c>
      <c r="M28" s="90">
        <f>IF(L28&gt;0,SUM(L$7:L28)-SUM(K$7:K28),0)</f>
        <v>-55908</v>
      </c>
      <c r="N28" s="45" t="s">
        <v>46</v>
      </c>
      <c r="O28" s="35">
        <f t="shared" si="34"/>
        <v>38700</v>
      </c>
      <c r="P28" s="35">
        <f t="shared" si="6"/>
        <v>33798</v>
      </c>
      <c r="Q28" s="91">
        <f>IF(P28&gt;0,SUM(P$7:P28)-SUM(O$7:O28),0)</f>
        <v>-224320</v>
      </c>
      <c r="R28" s="45">
        <f t="shared" si="15"/>
        <v>0.87333333333333329</v>
      </c>
      <c r="T28" s="47">
        <f t="shared" si="16"/>
        <v>40838</v>
      </c>
      <c r="U28" s="54" t="str">
        <f t="shared" si="7"/>
        <v>qui</v>
      </c>
      <c r="V28" s="75">
        <v>12340</v>
      </c>
      <c r="W28" s="75">
        <v>8728</v>
      </c>
      <c r="X28" s="92">
        <f>IF(W28&gt;0,SUM(W$7:W28)-SUM(V$7:V28),0)</f>
        <v>-6427</v>
      </c>
      <c r="Y28" s="60">
        <f t="shared" si="17"/>
        <v>0.70729335494327394</v>
      </c>
      <c r="Z28" s="75">
        <v>12340</v>
      </c>
      <c r="AA28" s="75">
        <v>8138</v>
      </c>
      <c r="AB28" s="92">
        <f>IF(AA28&gt;0,SUM(AA$7:AA28)-SUM(Z$7:Z28),0)</f>
        <v>-74242</v>
      </c>
      <c r="AC28" s="60">
        <f t="shared" si="18"/>
        <v>0.65948136142625613</v>
      </c>
      <c r="AD28" s="75">
        <v>12340</v>
      </c>
      <c r="AE28" s="75">
        <v>11673</v>
      </c>
      <c r="AF28" s="92">
        <f>IF(AE28&gt;0,SUM(AE$7:AE28)-SUM(AD$7:AD28),0)</f>
        <v>-44339</v>
      </c>
      <c r="AG28" s="60">
        <f t="shared" si="19"/>
        <v>0.94594813614262563</v>
      </c>
      <c r="AH28" s="41">
        <f t="shared" si="3"/>
        <v>37020</v>
      </c>
      <c r="AI28" s="41">
        <f t="shared" si="8"/>
        <v>28539</v>
      </c>
      <c r="AJ28" s="93">
        <f>IF(AI28&gt;0,SUM(AI$7:AI28)-SUM(AH$7:AH28),0)</f>
        <v>-125008</v>
      </c>
      <c r="AK28" s="60">
        <f t="shared" si="20"/>
        <v>0.7709076175040519</v>
      </c>
      <c r="AM28" s="47">
        <f t="shared" si="21"/>
        <v>40838</v>
      </c>
      <c r="AN28" s="54" t="str">
        <f t="shared" si="9"/>
        <v>qui</v>
      </c>
      <c r="AO28" s="75">
        <v>7700</v>
      </c>
      <c r="AP28" s="75">
        <v>6528</v>
      </c>
      <c r="AQ28" s="75">
        <f>IF(AP28&gt;0,SUM(AP$7:AP28)-SUM(AO$7:AO28),0)</f>
        <v>-10612</v>
      </c>
      <c r="AR28" s="45">
        <f t="shared" si="22"/>
        <v>0.84779220779220776</v>
      </c>
      <c r="AS28" s="75">
        <v>7700</v>
      </c>
      <c r="AT28" s="75">
        <v>6598</v>
      </c>
      <c r="AU28" s="90">
        <f>IF(AT28&gt;0,SUM(AT$7:AT28)-SUM(AS$7:AS28),0)</f>
        <v>-29025</v>
      </c>
      <c r="AV28" s="45">
        <f t="shared" si="23"/>
        <v>0.85688311688311691</v>
      </c>
      <c r="AW28" s="75">
        <v>7700</v>
      </c>
      <c r="AX28" s="75">
        <v>5942</v>
      </c>
      <c r="AY28" s="90">
        <f>IF(AX28&gt;0,SUM(AX$7:AX28)-SUM(AW$7:AW28),0)</f>
        <v>-17325</v>
      </c>
      <c r="AZ28" s="45">
        <f t="shared" si="31"/>
        <v>0.77168831168831165</v>
      </c>
      <c r="BA28" s="35">
        <f t="shared" si="4"/>
        <v>23100</v>
      </c>
      <c r="BB28" s="35">
        <f t="shared" si="10"/>
        <v>19068</v>
      </c>
      <c r="BC28" s="91">
        <f>IF(BB28&gt;0,SUM(BB$7:BB28)-SUM(BA$7:BA28),0)</f>
        <v>-56962</v>
      </c>
      <c r="BD28" s="45">
        <f t="shared" si="24"/>
        <v>0.82545454545454544</v>
      </c>
      <c r="BF28" s="47">
        <f t="shared" si="25"/>
        <v>40838</v>
      </c>
      <c r="BG28" s="54" t="str">
        <f t="shared" si="11"/>
        <v>qui</v>
      </c>
      <c r="BH28" s="75">
        <v>18200</v>
      </c>
      <c r="BI28" s="75">
        <v>13165</v>
      </c>
      <c r="BJ28" s="75">
        <f>IF(BI28&gt;0,SUM(BI$7:BI28)-SUM(BH$7:BH28),0)</f>
        <v>-104545</v>
      </c>
      <c r="BK28" s="45">
        <f t="shared" si="26"/>
        <v>0.72335164835164834</v>
      </c>
      <c r="BL28" s="75">
        <v>8000</v>
      </c>
      <c r="BM28" s="75">
        <v>5902</v>
      </c>
      <c r="BN28" s="90">
        <f>IF(BM28&gt;0,SUM(BM$7:BM28)-SUM(BL$7:BL28),0)</f>
        <v>-12860</v>
      </c>
      <c r="BO28" s="45">
        <f t="shared" si="27"/>
        <v>0.73775000000000002</v>
      </c>
      <c r="BP28" s="75">
        <v>11000</v>
      </c>
      <c r="BQ28" s="75">
        <v>10874</v>
      </c>
      <c r="BR28" s="90">
        <f>IF(BQ28&gt;0,SUM(BQ$7:BQ28)-SUM(BP$7:BP28),0)</f>
        <v>-24187</v>
      </c>
      <c r="BS28" s="45">
        <f t="shared" si="32"/>
        <v>0.98854545454545451</v>
      </c>
      <c r="BT28" s="35">
        <f t="shared" si="5"/>
        <v>37200</v>
      </c>
      <c r="BU28" s="35">
        <f t="shared" si="5"/>
        <v>29941</v>
      </c>
      <c r="BV28" s="91">
        <f>IF(BU28&gt;0,SUM(BU$7:BU28)-SUM(BT$7:BT28),0)</f>
        <v>-141592</v>
      </c>
      <c r="BW28" s="45">
        <f t="shared" si="28"/>
        <v>0.80486559139784941</v>
      </c>
      <c r="BY28" s="47">
        <f t="shared" si="29"/>
        <v>40838</v>
      </c>
      <c r="BZ28" s="54" t="str">
        <f t="shared" si="12"/>
        <v>qui</v>
      </c>
      <c r="CA28" s="75">
        <v>5000</v>
      </c>
      <c r="CB28" s="75">
        <v>5038</v>
      </c>
      <c r="CC28" s="90">
        <f>IF(CB28&gt;0,SUM(CB$7:CB28)-SUM(CA$7:CA28),0)</f>
        <v>-5784</v>
      </c>
      <c r="CD28" s="45">
        <f t="shared" si="30"/>
        <v>1.0076000000000001</v>
      </c>
    </row>
    <row r="29" spans="1:82" x14ac:dyDescent="0.25">
      <c r="A29" s="47">
        <f t="shared" si="13"/>
        <v>40839</v>
      </c>
      <c r="B29" s="54" t="s">
        <v>24</v>
      </c>
      <c r="C29" s="75">
        <v>12900</v>
      </c>
      <c r="D29" s="75">
        <v>10276</v>
      </c>
      <c r="E29" s="90">
        <f>IF(D29&gt;0,SUM(D$7:D29)-SUM(C$7:C29),0)</f>
        <v>-75626</v>
      </c>
      <c r="F29" s="45">
        <f t="shared" si="14"/>
        <v>0.79658914728682173</v>
      </c>
      <c r="G29" s="75">
        <v>12900</v>
      </c>
      <c r="H29" s="75">
        <v>10652</v>
      </c>
      <c r="I29" s="75">
        <f>IF(H29&gt;0,SUM(H$7:H29)-SUM(G$7:G29),0)</f>
        <v>-97658</v>
      </c>
      <c r="J29" s="45">
        <f t="shared" si="33"/>
        <v>0.82573643410852715</v>
      </c>
      <c r="K29" s="75">
        <v>12900</v>
      </c>
      <c r="L29" s="75">
        <v>16192</v>
      </c>
      <c r="M29" s="90">
        <f>IF(L29&gt;0,SUM(L$7:L29)-SUM(K$7:K29),0)</f>
        <v>-52616</v>
      </c>
      <c r="N29" s="45">
        <f t="shared" si="35"/>
        <v>1.2551937984496124</v>
      </c>
      <c r="O29" s="35">
        <f t="shared" si="34"/>
        <v>38700</v>
      </c>
      <c r="P29" s="35">
        <f t="shared" si="6"/>
        <v>37120</v>
      </c>
      <c r="Q29" s="91">
        <f>IF(P29&gt;0,SUM(P$7:P29)-SUM(O$7:O29),0)</f>
        <v>-225900</v>
      </c>
      <c r="R29" s="45">
        <f t="shared" si="15"/>
        <v>0.9591731266149871</v>
      </c>
      <c r="T29" s="47">
        <f t="shared" si="16"/>
        <v>40839</v>
      </c>
      <c r="U29" s="54" t="str">
        <f t="shared" si="7"/>
        <v>sex</v>
      </c>
      <c r="V29" s="75">
        <v>12340</v>
      </c>
      <c r="W29" s="75">
        <v>9036</v>
      </c>
      <c r="X29" s="92">
        <f>IF(W29&gt;0,SUM(W$7:W29)-SUM(V$7:V29),0)</f>
        <v>-9731</v>
      </c>
      <c r="Y29" s="60">
        <f t="shared" si="17"/>
        <v>0.73225283630470017</v>
      </c>
      <c r="Z29" s="75">
        <v>12340</v>
      </c>
      <c r="AA29" s="75">
        <v>11225</v>
      </c>
      <c r="AB29" s="92">
        <f>IF(AA29&gt;0,SUM(AA$7:AA29)-SUM(Z$7:Z29),0)</f>
        <v>-75357</v>
      </c>
      <c r="AC29" s="60">
        <f t="shared" si="18"/>
        <v>0.90964343598055108</v>
      </c>
      <c r="AD29" s="75">
        <v>12340</v>
      </c>
      <c r="AE29" s="75">
        <v>12184</v>
      </c>
      <c r="AF29" s="92">
        <f>IF(AE29&gt;0,SUM(AE$7:AE29)-SUM(AD$7:AD29),0)</f>
        <v>-44495</v>
      </c>
      <c r="AG29" s="60">
        <f t="shared" si="19"/>
        <v>0.98735818476499193</v>
      </c>
      <c r="AH29" s="41">
        <f t="shared" si="3"/>
        <v>37020</v>
      </c>
      <c r="AI29" s="41">
        <f t="shared" si="8"/>
        <v>32445</v>
      </c>
      <c r="AJ29" s="93">
        <f>IF(AI29&gt;0,SUM(AI$7:AI29)-SUM(AH$7:AH29),0)</f>
        <v>-129583</v>
      </c>
      <c r="AK29" s="60">
        <f t="shared" si="20"/>
        <v>0.87641815235008103</v>
      </c>
      <c r="AM29" s="47">
        <f t="shared" si="21"/>
        <v>40839</v>
      </c>
      <c r="AN29" s="54" t="str">
        <f t="shared" si="9"/>
        <v>sex</v>
      </c>
      <c r="AO29" s="75">
        <v>7700</v>
      </c>
      <c r="AP29" s="75">
        <v>5582</v>
      </c>
      <c r="AQ29" s="75">
        <f>IF(AP29&gt;0,SUM(AP$7:AP29)-SUM(AO$7:AO29),0)</f>
        <v>-12730</v>
      </c>
      <c r="AR29" s="45">
        <f t="shared" si="22"/>
        <v>0.72493506493506499</v>
      </c>
      <c r="AS29" s="75">
        <v>7700</v>
      </c>
      <c r="AT29" s="75">
        <v>6843</v>
      </c>
      <c r="AU29" s="90">
        <f>IF(AT29&gt;0,SUM(AT$7:AT29)-SUM(AS$7:AS29),0)</f>
        <v>-29882</v>
      </c>
      <c r="AV29" s="45">
        <f t="shared" si="23"/>
        <v>0.88870129870129866</v>
      </c>
      <c r="AW29" s="75">
        <v>7700</v>
      </c>
      <c r="AX29" s="75">
        <v>8890</v>
      </c>
      <c r="AY29" s="90">
        <f>IF(AX29&gt;0,SUM(AX$7:AX29)-SUM(AW$7:AW29),0)</f>
        <v>-16135</v>
      </c>
      <c r="AZ29" s="45">
        <f t="shared" si="31"/>
        <v>1.1545454545454545</v>
      </c>
      <c r="BA29" s="35">
        <f t="shared" si="4"/>
        <v>23100</v>
      </c>
      <c r="BB29" s="35">
        <f t="shared" si="10"/>
        <v>21315</v>
      </c>
      <c r="BC29" s="91">
        <f>IF(BB29&gt;0,SUM(BB$7:BB29)-SUM(BA$7:BA29),0)</f>
        <v>-58747</v>
      </c>
      <c r="BD29" s="45">
        <f t="shared" si="24"/>
        <v>0.92272727272727273</v>
      </c>
      <c r="BF29" s="47">
        <f t="shared" si="25"/>
        <v>40839</v>
      </c>
      <c r="BG29" s="54" t="str">
        <f t="shared" si="11"/>
        <v>sex</v>
      </c>
      <c r="BH29" s="75">
        <v>18200</v>
      </c>
      <c r="BI29" s="75">
        <v>16597</v>
      </c>
      <c r="BJ29" s="75">
        <f>IF(BI29&gt;0,SUM(BI$7:BI29)-SUM(BH$7:BH29),0)</f>
        <v>-106148</v>
      </c>
      <c r="BK29" s="45">
        <f t="shared" si="26"/>
        <v>0.91192307692307695</v>
      </c>
      <c r="BL29" s="75">
        <v>8000</v>
      </c>
      <c r="BM29" s="75">
        <v>4716</v>
      </c>
      <c r="BN29" s="90">
        <f>IF(BM29&gt;0,SUM(BM$7:BM29)-SUM(BL$7:BL29),0)</f>
        <v>-16144</v>
      </c>
      <c r="BO29" s="45">
        <f t="shared" si="27"/>
        <v>0.58950000000000002</v>
      </c>
      <c r="BP29" s="75">
        <v>11000</v>
      </c>
      <c r="BQ29" s="75">
        <v>5064</v>
      </c>
      <c r="BR29" s="90">
        <f>IF(BQ29&gt;0,SUM(BQ$7:BQ29)-SUM(BP$7:BP29),0)</f>
        <v>-30123</v>
      </c>
      <c r="BS29" s="45">
        <f t="shared" si="32"/>
        <v>0.46036363636363636</v>
      </c>
      <c r="BT29" s="35">
        <f t="shared" si="5"/>
        <v>37200</v>
      </c>
      <c r="BU29" s="35">
        <f t="shared" si="5"/>
        <v>26377</v>
      </c>
      <c r="BV29" s="91">
        <f>IF(BU29&gt;0,SUM(BU$7:BU29)-SUM(BT$7:BT29),0)</f>
        <v>-152415</v>
      </c>
      <c r="BW29" s="45">
        <f t="shared" si="28"/>
        <v>0.70905913978494628</v>
      </c>
      <c r="BY29" s="47">
        <f t="shared" si="29"/>
        <v>40839</v>
      </c>
      <c r="BZ29" s="54" t="str">
        <f t="shared" si="12"/>
        <v>sex</v>
      </c>
      <c r="CA29" s="75">
        <v>5000</v>
      </c>
      <c r="CB29" s="75">
        <v>6793</v>
      </c>
      <c r="CC29" s="90">
        <f>IF(CB29&gt;0,SUM(CB$7:CB29)-SUM(CA$7:CA29),0)</f>
        <v>-3991</v>
      </c>
      <c r="CD29" s="45">
        <f t="shared" si="30"/>
        <v>1.3586</v>
      </c>
    </row>
    <row r="30" spans="1:82" x14ac:dyDescent="0.25">
      <c r="A30" s="47">
        <f t="shared" si="13"/>
        <v>40840</v>
      </c>
      <c r="B30" s="54" t="s">
        <v>25</v>
      </c>
      <c r="C30" s="75">
        <v>12900</v>
      </c>
      <c r="D30" s="75">
        <v>17818</v>
      </c>
      <c r="E30" s="90">
        <f>IF(D30&gt;0,SUM(D$7:D30)-SUM(C$7:C30),0)</f>
        <v>-70708</v>
      </c>
      <c r="F30" s="45">
        <f t="shared" si="14"/>
        <v>1.3812403100775195</v>
      </c>
      <c r="G30" s="75">
        <v>12900</v>
      </c>
      <c r="H30" s="75">
        <v>14616</v>
      </c>
      <c r="I30" s="75">
        <f>IF(H30&gt;0,SUM(H$7:H30)-SUM(G$7:G30),0)</f>
        <v>-95942</v>
      </c>
      <c r="J30" s="45">
        <f t="shared" si="33"/>
        <v>1.1330232558139535</v>
      </c>
      <c r="K30" s="75">
        <v>12900</v>
      </c>
      <c r="L30" s="75">
        <v>8908</v>
      </c>
      <c r="M30" s="90">
        <f>IF(L30&gt;0,SUM(L$7:L30)-SUM(K$7:K30),0)</f>
        <v>-56608</v>
      </c>
      <c r="N30" s="45">
        <f t="shared" si="35"/>
        <v>0.69054263565891472</v>
      </c>
      <c r="O30" s="35">
        <f t="shared" si="34"/>
        <v>38700</v>
      </c>
      <c r="P30" s="35">
        <f t="shared" si="6"/>
        <v>41342</v>
      </c>
      <c r="Q30" s="91">
        <f>IF(P30&gt;0,SUM(P$7:P30)-SUM(O$7:O30),0)</f>
        <v>-223258</v>
      </c>
      <c r="R30" s="45">
        <f t="shared" si="15"/>
        <v>1.0682687338501291</v>
      </c>
      <c r="T30" s="47">
        <f t="shared" si="16"/>
        <v>40840</v>
      </c>
      <c r="U30" s="54" t="str">
        <f t="shared" si="7"/>
        <v>sáb</v>
      </c>
      <c r="V30" s="75">
        <v>12340</v>
      </c>
      <c r="W30" s="75">
        <v>16399</v>
      </c>
      <c r="X30" s="92">
        <f>IF(W30&gt;0,SUM(W$7:W30)-SUM(V$7:V30),0)</f>
        <v>-5672</v>
      </c>
      <c r="Y30" s="60">
        <f t="shared" si="17"/>
        <v>1.3289303079416532</v>
      </c>
      <c r="Z30" s="75">
        <v>12340</v>
      </c>
      <c r="AA30" s="75">
        <v>12742</v>
      </c>
      <c r="AB30" s="92">
        <f>IF(AA30&gt;0,SUM(AA$7:AA30)-SUM(Z$7:Z30),0)</f>
        <v>-74955</v>
      </c>
      <c r="AC30" s="60">
        <f t="shared" si="18"/>
        <v>1.03257698541329</v>
      </c>
      <c r="AD30" s="75">
        <v>12340</v>
      </c>
      <c r="AE30" s="75">
        <v>8057</v>
      </c>
      <c r="AF30" s="92">
        <f>IF(AE30&gt;0,SUM(AE$7:AE30)-SUM(AD$7:AD30),0)</f>
        <v>-48778</v>
      </c>
      <c r="AG30" s="60">
        <f t="shared" si="19"/>
        <v>0.65291734197730955</v>
      </c>
      <c r="AH30" s="41">
        <f t="shared" si="3"/>
        <v>37020</v>
      </c>
      <c r="AI30" s="41">
        <f t="shared" si="8"/>
        <v>37198</v>
      </c>
      <c r="AJ30" s="93">
        <f>IF(AI30&gt;0,SUM(AI$7:AI30)-SUM(AH$7:AH30),0)</f>
        <v>-129405</v>
      </c>
      <c r="AK30" s="60">
        <f t="shared" si="20"/>
        <v>1.0048082117774175</v>
      </c>
      <c r="AM30" s="47">
        <f t="shared" si="21"/>
        <v>40840</v>
      </c>
      <c r="AN30" s="54" t="str">
        <f t="shared" si="9"/>
        <v>sáb</v>
      </c>
      <c r="AO30" s="75">
        <v>7700</v>
      </c>
      <c r="AP30" s="75">
        <v>5189</v>
      </c>
      <c r="AQ30" s="75">
        <f>IF(AP30&gt;0,SUM(AP$7:AP30)-SUM(AO$7:AO30),0)</f>
        <v>-15241</v>
      </c>
      <c r="AR30" s="45">
        <f t="shared" si="22"/>
        <v>0.67389610389610388</v>
      </c>
      <c r="AS30" s="75">
        <v>7700</v>
      </c>
      <c r="AT30" s="75">
        <v>13064</v>
      </c>
      <c r="AU30" s="90">
        <f>IF(AT30&gt;0,SUM(AT$7:AT30)-SUM(AS$7:AS30),0)</f>
        <v>-24518</v>
      </c>
      <c r="AV30" s="45">
        <f t="shared" si="23"/>
        <v>1.6966233766233767</v>
      </c>
      <c r="AW30" s="75">
        <v>7700</v>
      </c>
      <c r="AX30" s="75">
        <v>5225</v>
      </c>
      <c r="AY30" s="90">
        <f>IF(AX30&gt;0,SUM(AX$7:AX30)-SUM(AW$7:AW30),0)</f>
        <v>-18610</v>
      </c>
      <c r="AZ30" s="45">
        <f t="shared" si="31"/>
        <v>0.6785714285714286</v>
      </c>
      <c r="BA30" s="35">
        <f t="shared" si="4"/>
        <v>23100</v>
      </c>
      <c r="BB30" s="35">
        <f t="shared" si="10"/>
        <v>23478</v>
      </c>
      <c r="BC30" s="91">
        <f>IF(BB30&gt;0,SUM(BB$7:BB30)-SUM(BA$7:BA30),0)</f>
        <v>-58369</v>
      </c>
      <c r="BD30" s="45">
        <f t="shared" si="24"/>
        <v>1.0163636363636364</v>
      </c>
      <c r="BF30" s="47">
        <f t="shared" si="25"/>
        <v>40840</v>
      </c>
      <c r="BG30" s="54" t="str">
        <f t="shared" si="11"/>
        <v>sáb</v>
      </c>
      <c r="BH30" s="75">
        <v>18200</v>
      </c>
      <c r="BI30" s="75">
        <v>16406</v>
      </c>
      <c r="BJ30" s="75">
        <f>IF(BI30&gt;0,SUM(BI$7:BI30)-SUM(BH$7:BH30),0)</f>
        <v>-107942</v>
      </c>
      <c r="BK30" s="45">
        <f t="shared" si="26"/>
        <v>0.90142857142857147</v>
      </c>
      <c r="BL30" s="75">
        <v>8000</v>
      </c>
      <c r="BM30" s="75">
        <v>7042</v>
      </c>
      <c r="BN30" s="90">
        <f>IF(BM30&gt;0,SUM(BM$7:BM30)-SUM(BL$7:BL30),0)</f>
        <v>-17102</v>
      </c>
      <c r="BO30" s="45">
        <f t="shared" si="27"/>
        <v>0.88024999999999998</v>
      </c>
      <c r="BP30" s="75">
        <v>11000</v>
      </c>
      <c r="BQ30" s="75">
        <v>8646</v>
      </c>
      <c r="BR30" s="90">
        <f>IF(BQ30&gt;0,SUM(BQ$7:BQ30)-SUM(BP$7:BP30),0)</f>
        <v>-32477</v>
      </c>
      <c r="BS30" s="45">
        <f t="shared" si="32"/>
        <v>0.78600000000000003</v>
      </c>
      <c r="BT30" s="35">
        <f t="shared" si="5"/>
        <v>37200</v>
      </c>
      <c r="BU30" s="35">
        <f t="shared" si="5"/>
        <v>32094</v>
      </c>
      <c r="BV30" s="91">
        <f>IF(BU30&gt;0,SUM(BU$7:BU30)-SUM(BT$7:BT30),0)</f>
        <v>-157521</v>
      </c>
      <c r="BW30" s="45">
        <f t="shared" si="28"/>
        <v>0.86274193548387101</v>
      </c>
      <c r="BY30" s="47">
        <f t="shared" si="29"/>
        <v>40840</v>
      </c>
      <c r="BZ30" s="54" t="str">
        <f t="shared" si="12"/>
        <v>sáb</v>
      </c>
      <c r="CA30" s="75">
        <v>5000</v>
      </c>
      <c r="CB30" s="75">
        <v>9177</v>
      </c>
      <c r="CC30" s="90">
        <f>IF(CB30&gt;0,SUM(CB$7:CB30)-SUM(CA$7:CA30),0)</f>
        <v>186</v>
      </c>
      <c r="CD30" s="45">
        <f t="shared" si="30"/>
        <v>1.8353999999999999</v>
      </c>
    </row>
    <row r="31" spans="1:82" x14ac:dyDescent="0.25">
      <c r="A31" s="47">
        <f t="shared" si="13"/>
        <v>40841</v>
      </c>
      <c r="B31" s="54" t="s">
        <v>26</v>
      </c>
      <c r="C31" s="75"/>
      <c r="D31" s="75"/>
      <c r="E31" s="90">
        <f>IF(D31&gt;0,SUM(D$7:D31)-SUM(C$7:C31),0)</f>
        <v>0</v>
      </c>
      <c r="F31" s="45">
        <f t="shared" si="14"/>
        <v>0</v>
      </c>
      <c r="G31" s="75"/>
      <c r="H31" s="75"/>
      <c r="I31" s="75">
        <f>IF(H31&gt;0,SUM(H$7:H31)-SUM(G$7:G31),0)</f>
        <v>0</v>
      </c>
      <c r="J31" s="45">
        <f t="shared" si="33"/>
        <v>0</v>
      </c>
      <c r="K31" s="75"/>
      <c r="L31" s="75"/>
      <c r="M31" s="90">
        <f>IF(L31&gt;0,SUM(L$7:L31)-SUM(K$7:K31),0)</f>
        <v>0</v>
      </c>
      <c r="N31" s="45">
        <f t="shared" si="35"/>
        <v>0</v>
      </c>
      <c r="O31" s="35">
        <f t="shared" si="34"/>
        <v>0</v>
      </c>
      <c r="P31" s="35">
        <f t="shared" si="6"/>
        <v>0</v>
      </c>
      <c r="Q31" s="91">
        <f>IF(P31&gt;0,SUM(P$7:P31)-SUM(O$7:O31),0)</f>
        <v>0</v>
      </c>
      <c r="R31" s="45">
        <f t="shared" si="15"/>
        <v>0</v>
      </c>
      <c r="T31" s="47">
        <f t="shared" si="16"/>
        <v>40841</v>
      </c>
      <c r="U31" s="54" t="str">
        <f t="shared" si="7"/>
        <v>dom</v>
      </c>
      <c r="V31" s="75"/>
      <c r="W31" s="75"/>
      <c r="X31" s="92">
        <f>IF(W31&gt;0,SUM(W$7:W31)-SUM(V$7:V31),0)</f>
        <v>0</v>
      </c>
      <c r="Y31" s="60">
        <f t="shared" si="17"/>
        <v>0</v>
      </c>
      <c r="Z31" s="75"/>
      <c r="AA31" s="75"/>
      <c r="AB31" s="92">
        <f>IF(AA31&gt;0,SUM(AA$7:AA31)-SUM(Z$7:Z31),0)</f>
        <v>0</v>
      </c>
      <c r="AC31" s="60">
        <f t="shared" si="18"/>
        <v>0</v>
      </c>
      <c r="AD31" s="75"/>
      <c r="AE31" s="75"/>
      <c r="AF31" s="92">
        <f>IF(AE31&gt;0,SUM(AE$7:AE31)-SUM(AD$7:AD31),0)</f>
        <v>0</v>
      </c>
      <c r="AG31" s="60">
        <f t="shared" si="19"/>
        <v>0</v>
      </c>
      <c r="AH31" s="41">
        <f t="shared" si="3"/>
        <v>0</v>
      </c>
      <c r="AI31" s="41">
        <f t="shared" si="8"/>
        <v>0</v>
      </c>
      <c r="AJ31" s="93">
        <f>IF(AI31&gt;0,SUM(AI$7:AI31)-SUM(AH$7:AH31),0)</f>
        <v>0</v>
      </c>
      <c r="AK31" s="60">
        <f t="shared" si="20"/>
        <v>0</v>
      </c>
      <c r="AM31" s="47">
        <f t="shared" si="21"/>
        <v>40841</v>
      </c>
      <c r="AN31" s="54" t="str">
        <f t="shared" si="9"/>
        <v>dom</v>
      </c>
      <c r="AO31" s="75"/>
      <c r="AP31" s="75"/>
      <c r="AQ31" s="75">
        <f>IF(AP31&gt;0,SUM(AP$7:AP31)-SUM(AO$7:AO31),0)</f>
        <v>0</v>
      </c>
      <c r="AR31" s="45">
        <f t="shared" si="22"/>
        <v>0</v>
      </c>
      <c r="AS31" s="75"/>
      <c r="AT31" s="75"/>
      <c r="AU31" s="90">
        <f>IF(AT31&gt;0,SUM(AT$7:AT31)-SUM(AS$7:AS31),0)</f>
        <v>0</v>
      </c>
      <c r="AV31" s="45">
        <f t="shared" si="23"/>
        <v>0</v>
      </c>
      <c r="AW31" s="75"/>
      <c r="AX31" s="75"/>
      <c r="AY31" s="90">
        <f>IF(AX31&gt;0,SUM(AX$7:AX31)-SUM(AW$7:AW31),0)</f>
        <v>0</v>
      </c>
      <c r="AZ31" s="45">
        <f t="shared" si="31"/>
        <v>0</v>
      </c>
      <c r="BA31" s="35">
        <f t="shared" si="4"/>
        <v>0</v>
      </c>
      <c r="BB31" s="35">
        <f t="shared" si="10"/>
        <v>0</v>
      </c>
      <c r="BC31" s="91">
        <f>IF(BB31&gt;0,SUM(BB$7:BB31)-SUM(BA$7:BA31),0)</f>
        <v>0</v>
      </c>
      <c r="BD31" s="45">
        <f t="shared" si="24"/>
        <v>0</v>
      </c>
      <c r="BF31" s="47">
        <f t="shared" si="25"/>
        <v>40841</v>
      </c>
      <c r="BG31" s="54" t="str">
        <f t="shared" si="11"/>
        <v>dom</v>
      </c>
      <c r="BH31" s="75"/>
      <c r="BI31" s="75"/>
      <c r="BJ31" s="75">
        <f>IF(BI31&gt;0,SUM(BI$7:BI31)-SUM(BH$7:BH31),0)</f>
        <v>0</v>
      </c>
      <c r="BK31" s="45">
        <f t="shared" si="26"/>
        <v>0</v>
      </c>
      <c r="BL31" s="75"/>
      <c r="BM31" s="75"/>
      <c r="BN31" s="90">
        <f>IF(BM31&gt;0,SUM(BM$7:BM31)-SUM(BL$7:BL31),0)</f>
        <v>0</v>
      </c>
      <c r="BO31" s="45">
        <f t="shared" si="27"/>
        <v>0</v>
      </c>
      <c r="BP31" s="75"/>
      <c r="BQ31" s="75"/>
      <c r="BR31" s="90">
        <f>IF(BQ31&gt;0,SUM(BQ$7:BQ31)-SUM(BP$7:BP31),0)</f>
        <v>0</v>
      </c>
      <c r="BS31" s="45">
        <f t="shared" si="32"/>
        <v>0</v>
      </c>
      <c r="BT31" s="35">
        <f t="shared" si="5"/>
        <v>0</v>
      </c>
      <c r="BU31" s="35">
        <f t="shared" si="5"/>
        <v>0</v>
      </c>
      <c r="BV31" s="91">
        <f>IF(BU31&gt;0,SUM(BU$7:BU31)-SUM(BT$7:BT31),0)</f>
        <v>0</v>
      </c>
      <c r="BW31" s="45">
        <f t="shared" si="28"/>
        <v>0</v>
      </c>
      <c r="BY31" s="47">
        <f t="shared" si="29"/>
        <v>40841</v>
      </c>
      <c r="BZ31" s="54" t="str">
        <f t="shared" si="12"/>
        <v>dom</v>
      </c>
      <c r="CA31" s="75"/>
      <c r="CB31" s="75"/>
      <c r="CC31" s="90">
        <f>IF(CB31&gt;0,SUM(CB$7:CB31)-SUM(CA$7:CA31),0)</f>
        <v>0</v>
      </c>
      <c r="CD31" s="45">
        <f t="shared" si="30"/>
        <v>0</v>
      </c>
    </row>
    <row r="32" spans="1:82" x14ac:dyDescent="0.25">
      <c r="A32" s="47">
        <f t="shared" si="13"/>
        <v>40842</v>
      </c>
      <c r="B32" s="54" t="s">
        <v>27</v>
      </c>
      <c r="C32" s="75">
        <v>12900</v>
      </c>
      <c r="D32" s="75">
        <v>7149</v>
      </c>
      <c r="E32" s="90">
        <f>IF(D32&gt;0,SUM(D$7:D32)-SUM(C$7:C32),0)</f>
        <v>-76459</v>
      </c>
      <c r="F32" s="45">
        <f t="shared" si="14"/>
        <v>0.55418604651162795</v>
      </c>
      <c r="G32" s="75">
        <v>12900</v>
      </c>
      <c r="H32" s="75">
        <v>7766</v>
      </c>
      <c r="I32" s="75">
        <f>IF(H32&gt;0,SUM(H$7:H32)-SUM(G$7:G32),0)</f>
        <v>-101076</v>
      </c>
      <c r="J32" s="45">
        <f t="shared" si="33"/>
        <v>0.60201550387596903</v>
      </c>
      <c r="K32" s="75">
        <v>12900</v>
      </c>
      <c r="L32" s="75">
        <v>11058</v>
      </c>
      <c r="M32" s="90">
        <f>IF(L32&gt;0,SUM(L$7:L32)-SUM(K$7:K32),0)</f>
        <v>-58450</v>
      </c>
      <c r="N32" s="45">
        <f t="shared" si="35"/>
        <v>0.85720930232558135</v>
      </c>
      <c r="O32" s="35">
        <f t="shared" si="34"/>
        <v>38700</v>
      </c>
      <c r="P32" s="35">
        <f t="shared" si="6"/>
        <v>25973</v>
      </c>
      <c r="Q32" s="91">
        <f>IF(P32&gt;0,SUM(P$7:P32)-SUM(O$7:O32),0)</f>
        <v>-235985</v>
      </c>
      <c r="R32" s="45">
        <f t="shared" si="15"/>
        <v>0.67113695090439274</v>
      </c>
      <c r="T32" s="47">
        <f t="shared" si="16"/>
        <v>40842</v>
      </c>
      <c r="U32" s="54" t="str">
        <f t="shared" si="7"/>
        <v>seg</v>
      </c>
      <c r="V32" s="75">
        <v>12340</v>
      </c>
      <c r="W32" s="75">
        <v>6032</v>
      </c>
      <c r="X32" s="92">
        <f>IF(W32&gt;0,SUM(W$7:W32)-SUM(V$7:V32),0)</f>
        <v>-11980</v>
      </c>
      <c r="Y32" s="60">
        <f t="shared" si="17"/>
        <v>0.4888168557536467</v>
      </c>
      <c r="Z32" s="75">
        <v>12340</v>
      </c>
      <c r="AA32" s="75">
        <v>5782</v>
      </c>
      <c r="AB32" s="92">
        <f>IF(AA32&gt;0,SUM(AA$7:AA32)-SUM(Z$7:Z32),0)</f>
        <v>-81513</v>
      </c>
      <c r="AC32" s="60">
        <f t="shared" si="18"/>
        <v>0.46855753646677473</v>
      </c>
      <c r="AD32" s="75">
        <v>12340</v>
      </c>
      <c r="AE32" s="75">
        <v>6515</v>
      </c>
      <c r="AF32" s="92">
        <f>IF(AE32&gt;0,SUM(AE$7:AE32)-SUM(AD$7:AD32),0)</f>
        <v>-54603</v>
      </c>
      <c r="AG32" s="60">
        <f t="shared" si="19"/>
        <v>0.52795786061588335</v>
      </c>
      <c r="AH32" s="41">
        <f t="shared" si="3"/>
        <v>37020</v>
      </c>
      <c r="AI32" s="41">
        <f t="shared" si="8"/>
        <v>18329</v>
      </c>
      <c r="AJ32" s="93">
        <f>IF(AI32&gt;0,SUM(AI$7:AI32)-SUM(AH$7:AH32),0)</f>
        <v>-148096</v>
      </c>
      <c r="AK32" s="60">
        <f t="shared" si="20"/>
        <v>0.49511075094543489</v>
      </c>
      <c r="AM32" s="47">
        <f t="shared" si="21"/>
        <v>40842</v>
      </c>
      <c r="AN32" s="54" t="str">
        <f t="shared" si="9"/>
        <v>seg</v>
      </c>
      <c r="AO32" s="75">
        <v>7700</v>
      </c>
      <c r="AP32" s="75">
        <v>5997</v>
      </c>
      <c r="AQ32" s="75">
        <f>IF(AP32&gt;0,SUM(AP$7:AP32)-SUM(AO$7:AO32),0)</f>
        <v>-16944</v>
      </c>
      <c r="AR32" s="45">
        <f t="shared" si="22"/>
        <v>0.77883116883116887</v>
      </c>
      <c r="AS32" s="75">
        <v>7700</v>
      </c>
      <c r="AT32" s="75">
        <v>4198</v>
      </c>
      <c r="AU32" s="90">
        <f>IF(AT32&gt;0,SUM(AT$7:AT32)-SUM(AS$7:AS32),0)</f>
        <v>-28020</v>
      </c>
      <c r="AV32" s="45">
        <f t="shared" si="23"/>
        <v>0.54519480519480523</v>
      </c>
      <c r="AW32" s="75">
        <v>7700</v>
      </c>
      <c r="AX32" s="75">
        <v>5082</v>
      </c>
      <c r="AY32" s="90">
        <f>IF(AX32&gt;0,SUM(AX$7:AX32)-SUM(AW$7:AW32),0)</f>
        <v>-21228</v>
      </c>
      <c r="AZ32" s="45">
        <f t="shared" si="31"/>
        <v>0.66</v>
      </c>
      <c r="BA32" s="35">
        <f t="shared" si="4"/>
        <v>23100</v>
      </c>
      <c r="BB32" s="35">
        <f t="shared" si="10"/>
        <v>15277</v>
      </c>
      <c r="BC32" s="91">
        <f>IF(BB32&gt;0,SUM(BB$7:BB32)-SUM(BA$7:BA32),0)</f>
        <v>-66192</v>
      </c>
      <c r="BD32" s="45">
        <f t="shared" si="24"/>
        <v>0.66134199134199134</v>
      </c>
      <c r="BF32" s="47">
        <f t="shared" si="25"/>
        <v>40842</v>
      </c>
      <c r="BG32" s="54" t="str">
        <f t="shared" si="11"/>
        <v>seg</v>
      </c>
      <c r="BH32" s="75">
        <v>18200</v>
      </c>
      <c r="BI32" s="75">
        <v>10682</v>
      </c>
      <c r="BJ32" s="75">
        <f>IF(BI32&gt;0,SUM(BI$7:BI32)-SUM(BH$7:BH32),0)</f>
        <v>-115460</v>
      </c>
      <c r="BK32" s="45">
        <f t="shared" si="26"/>
        <v>0.58692307692307688</v>
      </c>
      <c r="BL32" s="75">
        <v>8000</v>
      </c>
      <c r="BM32" s="75">
        <v>4595</v>
      </c>
      <c r="BN32" s="90">
        <f>IF(BM32&gt;0,SUM(BM$7:BM32)-SUM(BL$7:BL32),0)</f>
        <v>-20507</v>
      </c>
      <c r="BO32" s="45">
        <f t="shared" si="27"/>
        <v>0.57437499999999997</v>
      </c>
      <c r="BP32" s="75">
        <v>11000</v>
      </c>
      <c r="BQ32" s="75">
        <v>10331</v>
      </c>
      <c r="BR32" s="90">
        <f>IF(BQ32&gt;0,SUM(BQ$7:BQ32)-SUM(BP$7:BP32),0)</f>
        <v>-33146</v>
      </c>
      <c r="BS32" s="45">
        <f t="shared" si="32"/>
        <v>0.93918181818181823</v>
      </c>
      <c r="BT32" s="35">
        <f t="shared" si="5"/>
        <v>37200</v>
      </c>
      <c r="BU32" s="35">
        <f t="shared" si="5"/>
        <v>25608</v>
      </c>
      <c r="BV32" s="91">
        <f>IF(BU32&gt;0,SUM(BU$7:BU32)-SUM(BT$7:BT32),0)</f>
        <v>-169113</v>
      </c>
      <c r="BW32" s="45">
        <f t="shared" si="28"/>
        <v>0.68838709677419352</v>
      </c>
      <c r="BY32" s="47">
        <f t="shared" si="29"/>
        <v>40842</v>
      </c>
      <c r="BZ32" s="54" t="str">
        <f t="shared" si="12"/>
        <v>seg</v>
      </c>
      <c r="CA32" s="75">
        <v>5000</v>
      </c>
      <c r="CB32" s="75">
        <v>8240</v>
      </c>
      <c r="CC32" s="90">
        <f>IF(CB32&gt;0,SUM(CB$7:CB32)-SUM(CA$7:CA32),0)</f>
        <v>3426</v>
      </c>
      <c r="CD32" s="45">
        <f t="shared" si="30"/>
        <v>1.6479999999999999</v>
      </c>
    </row>
    <row r="33" spans="1:82" x14ac:dyDescent="0.25">
      <c r="A33" s="47">
        <f t="shared" si="13"/>
        <v>40843</v>
      </c>
      <c r="B33" s="54" t="s">
        <v>28</v>
      </c>
      <c r="C33" s="75">
        <v>12900</v>
      </c>
      <c r="D33" s="75">
        <v>10796</v>
      </c>
      <c r="E33" s="90">
        <f>IF(D33&gt;0,SUM(D$7:D33)-SUM(C$7:C33),0)</f>
        <v>-78563</v>
      </c>
      <c r="F33" s="45">
        <f t="shared" si="14"/>
        <v>0.8368992248062016</v>
      </c>
      <c r="G33" s="75">
        <v>12900</v>
      </c>
      <c r="H33" s="75">
        <v>7090</v>
      </c>
      <c r="I33" s="75">
        <f>IF(H33&gt;0,SUM(H$7:H33)-SUM(G$7:G33),0)</f>
        <v>-106886</v>
      </c>
      <c r="J33" s="45">
        <f t="shared" si="33"/>
        <v>0.54961240310077519</v>
      </c>
      <c r="K33" s="75">
        <v>12900</v>
      </c>
      <c r="L33" s="75">
        <v>15870</v>
      </c>
      <c r="M33" s="90">
        <f>IF(L33&gt;0,SUM(L$7:L33)-SUM(K$7:K33),0)</f>
        <v>-55480</v>
      </c>
      <c r="N33" s="45">
        <f t="shared" si="35"/>
        <v>1.2302325581395348</v>
      </c>
      <c r="O33" s="35">
        <f t="shared" si="34"/>
        <v>38700</v>
      </c>
      <c r="P33" s="35">
        <f t="shared" si="6"/>
        <v>33756</v>
      </c>
      <c r="Q33" s="91">
        <f>IF(P33&gt;0,SUM(P$7:P33)-SUM(O$7:O33),0)</f>
        <v>-240929</v>
      </c>
      <c r="R33" s="45">
        <f t="shared" si="15"/>
        <v>0.87224806201550387</v>
      </c>
      <c r="T33" s="47">
        <f t="shared" si="16"/>
        <v>40843</v>
      </c>
      <c r="U33" s="54" t="str">
        <f t="shared" si="7"/>
        <v>ter</v>
      </c>
      <c r="V33" s="75">
        <v>12340</v>
      </c>
      <c r="W33" s="75">
        <v>8010</v>
      </c>
      <c r="X33" s="92">
        <f>IF(W33&gt;0,SUM(W$7:W33)-SUM(V$7:V33),0)</f>
        <v>-16310</v>
      </c>
      <c r="Y33" s="60">
        <f t="shared" si="17"/>
        <v>0.64910858995137766</v>
      </c>
      <c r="Z33" s="75">
        <v>12340</v>
      </c>
      <c r="AA33" s="75">
        <v>7730</v>
      </c>
      <c r="AB33" s="92">
        <f>IF(AA33&gt;0,SUM(AA$7:AA33)-SUM(Z$7:Z33),0)</f>
        <v>-86123</v>
      </c>
      <c r="AC33" s="60">
        <f t="shared" si="18"/>
        <v>0.62641815235008103</v>
      </c>
      <c r="AD33" s="75">
        <v>12340</v>
      </c>
      <c r="AE33" s="75">
        <v>6025</v>
      </c>
      <c r="AF33" s="92">
        <f>IF(AE33&gt;0,SUM(AE$7:AE33)-SUM(AD$7:AD33),0)</f>
        <v>-60918</v>
      </c>
      <c r="AG33" s="60">
        <f t="shared" si="19"/>
        <v>0.48824959481361424</v>
      </c>
      <c r="AH33" s="41">
        <f t="shared" si="3"/>
        <v>37020</v>
      </c>
      <c r="AI33" s="41">
        <f t="shared" si="8"/>
        <v>21765</v>
      </c>
      <c r="AJ33" s="93">
        <f>IF(AI33&gt;0,SUM(AI$7:AI33)-SUM(AH$7:AH33),0)</f>
        <v>-163351</v>
      </c>
      <c r="AK33" s="60">
        <f t="shared" si="20"/>
        <v>0.58792544570502436</v>
      </c>
      <c r="AM33" s="47">
        <f t="shared" si="21"/>
        <v>40843</v>
      </c>
      <c r="AN33" s="54" t="str">
        <f t="shared" si="9"/>
        <v>ter</v>
      </c>
      <c r="AO33" s="75">
        <v>7700</v>
      </c>
      <c r="AP33" s="75">
        <v>6608</v>
      </c>
      <c r="AQ33" s="75">
        <f>IF(AP33&gt;0,SUM(AP$7:AP33)-SUM(AO$7:AO33),0)</f>
        <v>-18036</v>
      </c>
      <c r="AR33" s="45">
        <f t="shared" si="22"/>
        <v>0.85818181818181816</v>
      </c>
      <c r="AS33" s="75">
        <v>7700</v>
      </c>
      <c r="AT33" s="75">
        <v>7339</v>
      </c>
      <c r="AU33" s="90">
        <f>IF(AT33&gt;0,SUM(AT$7:AT33)-SUM(AS$7:AS33),0)</f>
        <v>-28381</v>
      </c>
      <c r="AV33" s="45">
        <f t="shared" si="23"/>
        <v>0.95311688311688314</v>
      </c>
      <c r="AW33" s="75">
        <v>7700</v>
      </c>
      <c r="AX33" s="75">
        <v>8171</v>
      </c>
      <c r="AY33" s="90">
        <f>IF(AX33&gt;0,SUM(AX$7:AX33)-SUM(AW$7:AW33),0)</f>
        <v>-20757</v>
      </c>
      <c r="AZ33" s="45">
        <f t="shared" si="31"/>
        <v>1.0611688311688312</v>
      </c>
      <c r="BA33" s="35">
        <f t="shared" si="4"/>
        <v>23100</v>
      </c>
      <c r="BB33" s="35">
        <f t="shared" si="10"/>
        <v>22118</v>
      </c>
      <c r="BC33" s="91">
        <f>IF(BB33&gt;0,SUM(BB$7:BB33)-SUM(BA$7:BA33),0)</f>
        <v>-67174</v>
      </c>
      <c r="BD33" s="45">
        <f t="shared" si="24"/>
        <v>0.9574891774891775</v>
      </c>
      <c r="BF33" s="47">
        <f t="shared" si="25"/>
        <v>40843</v>
      </c>
      <c r="BG33" s="54" t="str">
        <f t="shared" si="11"/>
        <v>ter</v>
      </c>
      <c r="BH33" s="75">
        <v>18200</v>
      </c>
      <c r="BI33" s="75">
        <v>15086</v>
      </c>
      <c r="BJ33" s="75">
        <f>IF(BI33&gt;0,SUM(BI$7:BI33)-SUM(BH$7:BH33),0)</f>
        <v>-118574</v>
      </c>
      <c r="BK33" s="45">
        <f t="shared" si="26"/>
        <v>0.82890109890109887</v>
      </c>
      <c r="BL33" s="75">
        <v>8000</v>
      </c>
      <c r="BM33" s="75">
        <v>7032</v>
      </c>
      <c r="BN33" s="90">
        <f>IF(BM33&gt;0,SUM(BM$7:BM33)-SUM(BL$7:BL33),0)</f>
        <v>-21475</v>
      </c>
      <c r="BO33" s="45">
        <f t="shared" si="27"/>
        <v>0.879</v>
      </c>
      <c r="BP33" s="75">
        <v>11000</v>
      </c>
      <c r="BQ33" s="75">
        <v>1035</v>
      </c>
      <c r="BR33" s="90">
        <f>IF(BQ33&gt;0,SUM(BQ$7:BQ33)-SUM(BP$7:BP33),0)</f>
        <v>-43111</v>
      </c>
      <c r="BS33" s="45">
        <f t="shared" si="32"/>
        <v>9.4090909090909086E-2</v>
      </c>
      <c r="BT33" s="35">
        <f t="shared" si="5"/>
        <v>37200</v>
      </c>
      <c r="BU33" s="35">
        <f t="shared" si="5"/>
        <v>23153</v>
      </c>
      <c r="BV33" s="91">
        <f>IF(BU33&gt;0,SUM(BU$7:BU33)-SUM(BT$7:BT33),0)</f>
        <v>-183160</v>
      </c>
      <c r="BW33" s="45">
        <f t="shared" si="28"/>
        <v>0.62239247311827961</v>
      </c>
      <c r="BY33" s="47">
        <f t="shared" si="29"/>
        <v>40843</v>
      </c>
      <c r="BZ33" s="54" t="str">
        <f t="shared" si="12"/>
        <v>ter</v>
      </c>
      <c r="CA33" s="75">
        <v>5000</v>
      </c>
      <c r="CB33" s="75">
        <v>9882</v>
      </c>
      <c r="CC33" s="90">
        <f>IF(CB33&gt;0,SUM(CB$7:CB33)-SUM(CA$7:CA33),0)</f>
        <v>8308</v>
      </c>
      <c r="CD33" s="45">
        <f t="shared" si="30"/>
        <v>1.9763999999999999</v>
      </c>
    </row>
    <row r="34" spans="1:82" x14ac:dyDescent="0.25">
      <c r="A34" s="47">
        <f t="shared" si="13"/>
        <v>40844</v>
      </c>
      <c r="B34" s="54" t="s">
        <v>22</v>
      </c>
      <c r="C34" s="75">
        <v>12900</v>
      </c>
      <c r="D34" s="75">
        <v>6896</v>
      </c>
      <c r="E34" s="90">
        <f>IF(D34&gt;0,SUM(D$7:D34)-SUM(C$7:C34),0)</f>
        <v>-84567</v>
      </c>
      <c r="F34" s="45">
        <f t="shared" si="14"/>
        <v>0.53457364341085267</v>
      </c>
      <c r="G34" s="75">
        <v>12900</v>
      </c>
      <c r="H34" s="75">
        <v>9501</v>
      </c>
      <c r="I34" s="75">
        <f>IF(H34&gt;0,SUM(H$7:H34)-SUM(G$7:G34),0)</f>
        <v>-110285</v>
      </c>
      <c r="J34" s="45">
        <f t="shared" si="33"/>
        <v>0.73651162790697677</v>
      </c>
      <c r="K34" s="75">
        <v>12900</v>
      </c>
      <c r="L34" s="75">
        <v>15674</v>
      </c>
      <c r="M34" s="90">
        <f>IF(L34&gt;0,SUM(L$7:L34)-SUM(K$7:K34),0)</f>
        <v>-52706</v>
      </c>
      <c r="N34" s="45">
        <f t="shared" si="35"/>
        <v>1.2150387596899226</v>
      </c>
      <c r="O34" s="35">
        <f t="shared" si="34"/>
        <v>38700</v>
      </c>
      <c r="P34" s="35">
        <f t="shared" si="6"/>
        <v>32071</v>
      </c>
      <c r="Q34" s="91">
        <f>IF(P34&gt;0,SUM(P$7:P34)-SUM(O$7:O34),0)</f>
        <v>-247558</v>
      </c>
      <c r="R34" s="45">
        <f t="shared" si="15"/>
        <v>0.82870801033591734</v>
      </c>
      <c r="T34" s="47">
        <f t="shared" si="16"/>
        <v>40844</v>
      </c>
      <c r="U34" s="54" t="str">
        <f t="shared" si="7"/>
        <v>qua</v>
      </c>
      <c r="V34" s="75">
        <v>12340</v>
      </c>
      <c r="W34" s="75">
        <v>8826</v>
      </c>
      <c r="X34" s="92">
        <f>IF(W34&gt;0,SUM(W$7:W34)-SUM(V$7:V34),0)</f>
        <v>-19824</v>
      </c>
      <c r="Y34" s="60">
        <f t="shared" si="17"/>
        <v>0.71523500810372775</v>
      </c>
      <c r="Z34" s="75">
        <v>12340</v>
      </c>
      <c r="AA34" s="75">
        <v>6553</v>
      </c>
      <c r="AB34" s="92">
        <f>IF(AA34&gt;0,SUM(AA$7:AA34)-SUM(Z$7:Z34),0)</f>
        <v>-91910</v>
      </c>
      <c r="AC34" s="60">
        <f t="shared" si="18"/>
        <v>0.53103727714748783</v>
      </c>
      <c r="AD34" s="75">
        <v>12340</v>
      </c>
      <c r="AE34" s="75">
        <v>6259</v>
      </c>
      <c r="AF34" s="92">
        <f>IF(AE34&gt;0,SUM(AE$7:AE34)-SUM(AD$7:AD34),0)</f>
        <v>-66999</v>
      </c>
      <c r="AG34" s="60">
        <f t="shared" si="19"/>
        <v>0.5072123176661264</v>
      </c>
      <c r="AH34" s="41">
        <f t="shared" si="3"/>
        <v>37020</v>
      </c>
      <c r="AI34" s="41">
        <f t="shared" si="8"/>
        <v>21638</v>
      </c>
      <c r="AJ34" s="93">
        <f>IF(AI34&gt;0,SUM(AI$7:AI34)-SUM(AH$7:AH34),0)</f>
        <v>-178733</v>
      </c>
      <c r="AK34" s="60">
        <f t="shared" si="20"/>
        <v>0.58449486763911396</v>
      </c>
      <c r="AM34" s="47">
        <f t="shared" si="21"/>
        <v>40844</v>
      </c>
      <c r="AN34" s="54" t="str">
        <f t="shared" si="9"/>
        <v>qua</v>
      </c>
      <c r="AO34" s="75">
        <v>7700</v>
      </c>
      <c r="AP34" s="75">
        <v>7476</v>
      </c>
      <c r="AQ34" s="75">
        <f>IF(AP34&gt;0,SUM(AP$7:AP34)-SUM(AO$7:AO34),0)</f>
        <v>-18260</v>
      </c>
      <c r="AR34" s="45">
        <f t="shared" si="22"/>
        <v>0.97090909090909094</v>
      </c>
      <c r="AS34" s="75">
        <v>7700</v>
      </c>
      <c r="AT34" s="75">
        <v>6066</v>
      </c>
      <c r="AU34" s="90">
        <f>IF(AT34&gt;0,SUM(AT$7:AT34)-SUM(AS$7:AS34),0)</f>
        <v>-30015</v>
      </c>
      <c r="AV34" s="45">
        <f t="shared" si="23"/>
        <v>0.78779220779220782</v>
      </c>
      <c r="AW34" s="75">
        <v>7700</v>
      </c>
      <c r="AX34" s="75">
        <v>6555</v>
      </c>
      <c r="AY34" s="90">
        <f>IF(AX34&gt;0,SUM(AX$7:AX34)-SUM(AW$7:AW34),0)</f>
        <v>-21902</v>
      </c>
      <c r="AZ34" s="45">
        <f t="shared" si="31"/>
        <v>0.85129870129870133</v>
      </c>
      <c r="BA34" s="35">
        <f t="shared" si="4"/>
        <v>23100</v>
      </c>
      <c r="BB34" s="35">
        <f t="shared" si="10"/>
        <v>20097</v>
      </c>
      <c r="BC34" s="91">
        <f>IF(BB34&gt;0,SUM(BB$7:BB34)-SUM(BA$7:BA34),0)</f>
        <v>-70177</v>
      </c>
      <c r="BD34" s="45">
        <f t="shared" si="24"/>
        <v>0.87</v>
      </c>
      <c r="BF34" s="47">
        <f t="shared" si="25"/>
        <v>40844</v>
      </c>
      <c r="BG34" s="54" t="str">
        <f t="shared" si="11"/>
        <v>qua</v>
      </c>
      <c r="BH34" s="75">
        <v>18200</v>
      </c>
      <c r="BI34" s="75">
        <v>15836</v>
      </c>
      <c r="BJ34" s="75">
        <f>IF(BI34&gt;0,SUM(BI$7:BI34)-SUM(BH$7:BH34),0)</f>
        <v>-120938</v>
      </c>
      <c r="BK34" s="45">
        <f t="shared" si="26"/>
        <v>0.87010989010989015</v>
      </c>
      <c r="BL34" s="75">
        <v>8000</v>
      </c>
      <c r="BM34" s="75">
        <v>4265</v>
      </c>
      <c r="BN34" s="90">
        <f>IF(BM34&gt;0,SUM(BM$7:BM34)-SUM(BL$7:BL34),0)</f>
        <v>-25210</v>
      </c>
      <c r="BO34" s="45">
        <f t="shared" si="27"/>
        <v>0.53312499999999996</v>
      </c>
      <c r="BP34" s="75">
        <v>11000</v>
      </c>
      <c r="BQ34" s="75">
        <v>1</v>
      </c>
      <c r="BR34" s="90">
        <f>IF(BQ34&gt;0,SUM(BQ$7:BQ34)-SUM(BP$7:BP34),0)</f>
        <v>-54110</v>
      </c>
      <c r="BS34" s="45">
        <f t="shared" si="32"/>
        <v>9.0909090909090904E-5</v>
      </c>
      <c r="BT34" s="35">
        <f t="shared" si="5"/>
        <v>37200</v>
      </c>
      <c r="BU34" s="35">
        <f t="shared" si="5"/>
        <v>20102</v>
      </c>
      <c r="BV34" s="91">
        <f>IF(BU34&gt;0,SUM(BU$7:BU34)-SUM(BT$7:BT34),0)</f>
        <v>-200258</v>
      </c>
      <c r="BW34" s="45">
        <f t="shared" si="28"/>
        <v>0.54037634408602153</v>
      </c>
      <c r="BY34" s="47">
        <f t="shared" si="29"/>
        <v>40844</v>
      </c>
      <c r="BZ34" s="54" t="str">
        <f t="shared" si="12"/>
        <v>qua</v>
      </c>
      <c r="CA34" s="75">
        <v>5000</v>
      </c>
      <c r="CB34" s="75">
        <v>8822</v>
      </c>
      <c r="CC34" s="90">
        <f>IF(CB34&gt;0,SUM(CB$7:CB34)-SUM(CA$7:CA34),0)</f>
        <v>12130</v>
      </c>
      <c r="CD34" s="45">
        <f t="shared" si="30"/>
        <v>1.7644</v>
      </c>
    </row>
    <row r="35" spans="1:82" x14ac:dyDescent="0.25">
      <c r="A35" s="47">
        <f t="shared" si="13"/>
        <v>40845</v>
      </c>
      <c r="B35" s="54" t="s">
        <v>23</v>
      </c>
      <c r="C35" s="75"/>
      <c r="D35" s="75"/>
      <c r="E35" s="90">
        <f>IF(D35&gt;0,SUM(D$7:D35)-SUM(C$7:C35),0)</f>
        <v>0</v>
      </c>
      <c r="F35" s="45">
        <f t="shared" si="14"/>
        <v>0</v>
      </c>
      <c r="G35" s="75"/>
      <c r="H35" s="75"/>
      <c r="I35" s="75">
        <f>IF(H35&gt;0,SUM(H$7:H35)-SUM(G$7:G35),0)</f>
        <v>0</v>
      </c>
      <c r="J35" s="45">
        <f t="shared" si="33"/>
        <v>0</v>
      </c>
      <c r="K35" s="75"/>
      <c r="L35" s="75"/>
      <c r="M35" s="90">
        <f>IF(L35&gt;0,SUM(L$7:L35)-SUM(K$7:K35),0)</f>
        <v>0</v>
      </c>
      <c r="N35" s="45">
        <f t="shared" si="35"/>
        <v>0</v>
      </c>
      <c r="O35" s="35">
        <f t="shared" si="34"/>
        <v>0</v>
      </c>
      <c r="P35" s="35">
        <f t="shared" si="6"/>
        <v>0</v>
      </c>
      <c r="Q35" s="91">
        <f>IF(P35&gt;0,SUM(P$7:P35)-SUM(O$7:O35),0)</f>
        <v>0</v>
      </c>
      <c r="R35" s="45">
        <f t="shared" si="15"/>
        <v>0</v>
      </c>
      <c r="T35" s="47">
        <f t="shared" si="16"/>
        <v>40845</v>
      </c>
      <c r="U35" s="54" t="str">
        <f t="shared" si="7"/>
        <v>qui</v>
      </c>
      <c r="V35" s="75"/>
      <c r="W35" s="75"/>
      <c r="X35" s="92">
        <f>IF(W35&gt;0,SUM(W$7:W35)-SUM(V$7:V35),0)</f>
        <v>0</v>
      </c>
      <c r="Y35" s="60">
        <f t="shared" si="17"/>
        <v>0</v>
      </c>
      <c r="Z35" s="75"/>
      <c r="AA35" s="75"/>
      <c r="AB35" s="92">
        <f>IF(AA35&gt;0,SUM(AA$7:AA35)-SUM(Z$7:Z35),0)</f>
        <v>0</v>
      </c>
      <c r="AC35" s="60">
        <f t="shared" si="18"/>
        <v>0</v>
      </c>
      <c r="AD35" s="75"/>
      <c r="AE35" s="75"/>
      <c r="AF35" s="92">
        <f>IF(AE35&gt;0,SUM(AE$7:AE35)-SUM(AD$7:AD35),0)</f>
        <v>0</v>
      </c>
      <c r="AG35" s="60">
        <f t="shared" si="19"/>
        <v>0</v>
      </c>
      <c r="AH35" s="41">
        <f t="shared" si="3"/>
        <v>0</v>
      </c>
      <c r="AI35" s="41">
        <f t="shared" si="8"/>
        <v>0</v>
      </c>
      <c r="AJ35" s="93">
        <f>IF(AI35&gt;0,SUM(AI$7:AI35)-SUM(AH$7:AH35),0)</f>
        <v>0</v>
      </c>
      <c r="AK35" s="60">
        <f t="shared" si="20"/>
        <v>0</v>
      </c>
      <c r="AM35" s="47">
        <f t="shared" si="21"/>
        <v>40845</v>
      </c>
      <c r="AN35" s="54" t="str">
        <f t="shared" si="9"/>
        <v>qui</v>
      </c>
      <c r="AO35" s="75"/>
      <c r="AP35" s="75"/>
      <c r="AQ35" s="75">
        <f>IF(AP35&gt;0,SUM(AP$7:AP35)-SUM(AO$7:AO35),0)</f>
        <v>0</v>
      </c>
      <c r="AR35" s="45">
        <f t="shared" si="22"/>
        <v>0</v>
      </c>
      <c r="AS35" s="75"/>
      <c r="AT35" s="75"/>
      <c r="AU35" s="90">
        <f>IF(AT35&gt;0,SUM(AT$7:AT35)-SUM(AS$7:AS35),0)</f>
        <v>0</v>
      </c>
      <c r="AV35" s="45">
        <f t="shared" si="23"/>
        <v>0</v>
      </c>
      <c r="AW35" s="75"/>
      <c r="AX35" s="75"/>
      <c r="AY35" s="90">
        <f>IF(AX35&gt;0,SUM(AX$7:AX35)-SUM(AW$7:AW35),0)</f>
        <v>0</v>
      </c>
      <c r="AZ35" s="45">
        <f t="shared" si="31"/>
        <v>0</v>
      </c>
      <c r="BA35" s="35">
        <f t="shared" si="4"/>
        <v>0</v>
      </c>
      <c r="BB35" s="35">
        <f t="shared" si="10"/>
        <v>0</v>
      </c>
      <c r="BC35" s="91">
        <f>IF(BB35&gt;0,SUM(BB$7:BB35)-SUM(BA$7:BA35),0)</f>
        <v>0</v>
      </c>
      <c r="BD35" s="45">
        <f t="shared" si="24"/>
        <v>0</v>
      </c>
      <c r="BF35" s="47">
        <f t="shared" si="25"/>
        <v>40845</v>
      </c>
      <c r="BG35" s="54" t="str">
        <f t="shared" si="11"/>
        <v>qui</v>
      </c>
      <c r="BH35" s="75"/>
      <c r="BI35" s="75"/>
      <c r="BJ35" s="75">
        <f>IF(BI35&gt;0,SUM(BI$7:BI35)-SUM(BH$7:BH35),0)</f>
        <v>0</v>
      </c>
      <c r="BK35" s="45">
        <f t="shared" si="26"/>
        <v>0</v>
      </c>
      <c r="BL35" s="75"/>
      <c r="BM35" s="75"/>
      <c r="BN35" s="90">
        <f>IF(BM35&gt;0,SUM(BM$7:BM35)-SUM(BL$7:BL35),0)</f>
        <v>0</v>
      </c>
      <c r="BO35" s="45">
        <f t="shared" si="27"/>
        <v>0</v>
      </c>
      <c r="BP35" s="75"/>
      <c r="BQ35" s="75"/>
      <c r="BR35" s="90">
        <f>IF(BQ35&gt;0,SUM(BQ$7:BQ35)-SUM(BP$7:BP35),0)</f>
        <v>0</v>
      </c>
      <c r="BS35" s="45">
        <f t="shared" si="32"/>
        <v>0</v>
      </c>
      <c r="BT35" s="35">
        <f t="shared" si="5"/>
        <v>0</v>
      </c>
      <c r="BU35" s="35">
        <f t="shared" si="5"/>
        <v>0</v>
      </c>
      <c r="BV35" s="91">
        <f>IF(BU35&gt;0,SUM(BU$7:BU35)-SUM(BT$7:BT35),0)</f>
        <v>0</v>
      </c>
      <c r="BW35" s="45">
        <f t="shared" si="28"/>
        <v>0</v>
      </c>
      <c r="BY35" s="47">
        <f t="shared" si="29"/>
        <v>40845</v>
      </c>
      <c r="BZ35" s="54" t="str">
        <f t="shared" si="12"/>
        <v>qui</v>
      </c>
      <c r="CA35" s="75"/>
      <c r="CB35" s="75"/>
      <c r="CC35" s="90">
        <f>IF(CB35&gt;0,SUM(CB$7:CB35)-SUM(CA$7:CA35),0)</f>
        <v>0</v>
      </c>
      <c r="CD35" s="45">
        <f t="shared" si="30"/>
        <v>0</v>
      </c>
    </row>
    <row r="36" spans="1:82" x14ac:dyDescent="0.25">
      <c r="A36" s="47">
        <f t="shared" si="13"/>
        <v>40846</v>
      </c>
      <c r="B36" s="54" t="s">
        <v>24</v>
      </c>
      <c r="C36" s="75"/>
      <c r="D36" s="75"/>
      <c r="E36" s="90">
        <f>IF(D36&gt;0,SUM(D$7:D36)-SUM(C$7:C36),0)</f>
        <v>0</v>
      </c>
      <c r="F36" s="45">
        <f t="shared" si="14"/>
        <v>0</v>
      </c>
      <c r="G36" s="75"/>
      <c r="H36" s="75"/>
      <c r="I36" s="75">
        <f>IF(H36&gt;0,SUM(H$7:H36)-SUM(G$7:G36),0)</f>
        <v>0</v>
      </c>
      <c r="J36" s="45">
        <f t="shared" si="33"/>
        <v>0</v>
      </c>
      <c r="K36" s="75"/>
      <c r="L36" s="75"/>
      <c r="M36" s="90">
        <f>IF(L36&gt;0,SUM(L$7:L36)-SUM(K$7:K36),0)</f>
        <v>0</v>
      </c>
      <c r="N36" s="45">
        <f t="shared" si="35"/>
        <v>0</v>
      </c>
      <c r="O36" s="35">
        <f t="shared" si="34"/>
        <v>0</v>
      </c>
      <c r="P36" s="35">
        <f t="shared" si="6"/>
        <v>0</v>
      </c>
      <c r="Q36" s="91">
        <f>IF(P36&gt;0,SUM(P$7:P36)-SUM(O$7:O36),0)</f>
        <v>0</v>
      </c>
      <c r="R36" s="45">
        <f t="shared" si="15"/>
        <v>0</v>
      </c>
      <c r="T36" s="47">
        <f t="shared" si="16"/>
        <v>40846</v>
      </c>
      <c r="U36" s="54" t="str">
        <f t="shared" si="7"/>
        <v>sex</v>
      </c>
      <c r="V36" s="75"/>
      <c r="W36" s="75"/>
      <c r="X36" s="92">
        <f>IF(W36&gt;0,SUM(W$7:W36)-SUM(V$7:V36),0)</f>
        <v>0</v>
      </c>
      <c r="Y36" s="60">
        <f t="shared" si="17"/>
        <v>0</v>
      </c>
      <c r="Z36" s="75"/>
      <c r="AA36" s="75"/>
      <c r="AB36" s="92">
        <f>IF(AA36&gt;0,SUM(AA$7:AA36)-SUM(Z$7:Z36),0)</f>
        <v>0</v>
      </c>
      <c r="AC36" s="60">
        <f t="shared" si="18"/>
        <v>0</v>
      </c>
      <c r="AD36" s="75"/>
      <c r="AE36" s="75"/>
      <c r="AF36" s="92">
        <f>IF(AE36&gt;0,SUM(AE$7:AE36)-SUM(AD$7:AD36),0)</f>
        <v>0</v>
      </c>
      <c r="AG36" s="60">
        <f t="shared" si="19"/>
        <v>0</v>
      </c>
      <c r="AH36" s="41">
        <f t="shared" si="3"/>
        <v>0</v>
      </c>
      <c r="AI36" s="41">
        <f t="shared" si="8"/>
        <v>0</v>
      </c>
      <c r="AJ36" s="93">
        <f>IF(AI36&gt;0,SUM(AI$7:AI36)-SUM(AH$7:AH36),0)</f>
        <v>0</v>
      </c>
      <c r="AK36" s="60">
        <f t="shared" si="20"/>
        <v>0</v>
      </c>
      <c r="AM36" s="47">
        <f t="shared" si="21"/>
        <v>40846</v>
      </c>
      <c r="AN36" s="54" t="str">
        <f t="shared" si="9"/>
        <v>sex</v>
      </c>
      <c r="AO36" s="75"/>
      <c r="AP36" s="75"/>
      <c r="AQ36" s="75">
        <f>IF(AP36&gt;0,SUM(AP$7:AP36)-SUM(AO$7:AO36),0)</f>
        <v>0</v>
      </c>
      <c r="AR36" s="45">
        <f t="shared" si="22"/>
        <v>0</v>
      </c>
      <c r="AS36" s="75"/>
      <c r="AT36" s="75"/>
      <c r="AU36" s="90">
        <f>IF(AT36&gt;0,SUM(AT$7:AT36)-SUM(AS$7:AS36),0)</f>
        <v>0</v>
      </c>
      <c r="AV36" s="45">
        <f t="shared" si="23"/>
        <v>0</v>
      </c>
      <c r="AW36" s="75"/>
      <c r="AX36" s="75"/>
      <c r="AY36" s="90">
        <f>IF(AX36&gt;0,SUM(AX$7:AX36)-SUM(AW$7:AW36),0)</f>
        <v>0</v>
      </c>
      <c r="AZ36" s="45">
        <f t="shared" si="31"/>
        <v>0</v>
      </c>
      <c r="BA36" s="35">
        <f t="shared" si="4"/>
        <v>0</v>
      </c>
      <c r="BB36" s="35">
        <f t="shared" si="10"/>
        <v>0</v>
      </c>
      <c r="BC36" s="91">
        <f>IF(BB36&gt;0,SUM(BB$7:BB36)-SUM(BA$7:BA36),0)</f>
        <v>0</v>
      </c>
      <c r="BD36" s="45">
        <f t="shared" si="24"/>
        <v>0</v>
      </c>
      <c r="BF36" s="47">
        <f t="shared" si="25"/>
        <v>40846</v>
      </c>
      <c r="BG36" s="54" t="str">
        <f t="shared" si="11"/>
        <v>sex</v>
      </c>
      <c r="BH36" s="75"/>
      <c r="BI36" s="75"/>
      <c r="BJ36" s="75">
        <f>IF(BI36&gt;0,SUM(BI$7:BI36)-SUM(BH$7:BH36),0)</f>
        <v>0</v>
      </c>
      <c r="BK36" s="45">
        <f t="shared" si="26"/>
        <v>0</v>
      </c>
      <c r="BL36" s="75"/>
      <c r="BM36" s="75"/>
      <c r="BN36" s="90">
        <f>IF(BM36&gt;0,SUM(BM$7:BM36)-SUM(BL$7:BL36),0)</f>
        <v>0</v>
      </c>
      <c r="BO36" s="45">
        <f t="shared" si="27"/>
        <v>0</v>
      </c>
      <c r="BP36" s="75"/>
      <c r="BQ36" s="75"/>
      <c r="BR36" s="90">
        <f>IF(BQ36&gt;0,SUM(BQ$7:BQ36)-SUM(BP$7:BP36),0)</f>
        <v>0</v>
      </c>
      <c r="BS36" s="45">
        <f t="shared" si="32"/>
        <v>0</v>
      </c>
      <c r="BT36" s="35">
        <f t="shared" si="5"/>
        <v>0</v>
      </c>
      <c r="BU36" s="35">
        <f t="shared" si="5"/>
        <v>0</v>
      </c>
      <c r="BV36" s="91">
        <f>IF(BU36&gt;0,SUM(BU$7:BU36)-SUM(BT$7:BT36),0)</f>
        <v>0</v>
      </c>
      <c r="BW36" s="45">
        <f t="shared" si="28"/>
        <v>0</v>
      </c>
      <c r="BY36" s="47">
        <f t="shared" si="29"/>
        <v>40846</v>
      </c>
      <c r="BZ36" s="54" t="str">
        <f t="shared" si="12"/>
        <v>sex</v>
      </c>
      <c r="CA36" s="75"/>
      <c r="CB36" s="75"/>
      <c r="CC36" s="90">
        <f>IF(CB36&gt;0,SUM(CB$7:CB36)-SUM(CA$7:CA36),0)</f>
        <v>0</v>
      </c>
      <c r="CD36" s="45">
        <f t="shared" si="30"/>
        <v>0</v>
      </c>
    </row>
    <row r="37" spans="1:82" x14ac:dyDescent="0.25">
      <c r="A37" s="47">
        <v>31</v>
      </c>
      <c r="B37" s="54" t="s">
        <v>25</v>
      </c>
      <c r="C37" s="75"/>
      <c r="D37" s="75"/>
      <c r="E37" s="90">
        <f>IF(D37&gt;0,SUM(D$7:D37)-SUM(C$7:C37),0)</f>
        <v>0</v>
      </c>
      <c r="F37" s="45">
        <f t="shared" si="14"/>
        <v>0</v>
      </c>
      <c r="G37" s="75"/>
      <c r="H37" s="75"/>
      <c r="I37" s="75">
        <f>IF(H37&gt;0,SUM(H$7:H37)-SUM(G$7:G37),0)</f>
        <v>0</v>
      </c>
      <c r="J37" s="45">
        <f>IF(H37&gt;0,IF(G37&gt;0,H37/G37,0),0)</f>
        <v>0</v>
      </c>
      <c r="K37" s="75"/>
      <c r="L37" s="75"/>
      <c r="M37" s="90">
        <f>IF(L37&gt;0,SUM(L$7:L37)-SUM(K$7:K37),0)</f>
        <v>0</v>
      </c>
      <c r="N37" s="45">
        <f t="shared" si="35"/>
        <v>0</v>
      </c>
      <c r="O37" s="35">
        <f>IF(SUM(C37,G37,K37)&gt;0,SUM(C37,G37,K37),0)</f>
        <v>0</v>
      </c>
      <c r="P37" s="35">
        <f t="shared" si="6"/>
        <v>0</v>
      </c>
      <c r="Q37" s="91">
        <f>IF(P37&gt;0,SUM(P$7:P37)-SUM(O$7:O37),0)</f>
        <v>0</v>
      </c>
      <c r="R37" s="45">
        <f t="shared" si="15"/>
        <v>0</v>
      </c>
      <c r="T37" s="47">
        <v>31</v>
      </c>
      <c r="U37" s="54" t="str">
        <f t="shared" si="7"/>
        <v>sáb</v>
      </c>
      <c r="V37" s="75"/>
      <c r="W37" s="75"/>
      <c r="X37" s="92">
        <f>IF(W37&gt;0,SUM(W$7:W37)-SUM(V$7:V37),0)</f>
        <v>0</v>
      </c>
      <c r="Y37" s="60">
        <f t="shared" si="17"/>
        <v>0</v>
      </c>
      <c r="Z37" s="75"/>
      <c r="AA37" s="75"/>
      <c r="AB37" s="92">
        <f>IF(AA37&gt;0,SUM(AA$7:AA37)-SUM(Z$7:Z37),0)</f>
        <v>0</v>
      </c>
      <c r="AC37" s="60">
        <f t="shared" si="18"/>
        <v>0</v>
      </c>
      <c r="AD37" s="75"/>
      <c r="AE37" s="75"/>
      <c r="AF37" s="92">
        <f>IF(AE37&gt;0,SUM(AE$7:AE37)-SUM(AD$7:AD37),0)</f>
        <v>0</v>
      </c>
      <c r="AG37" s="60">
        <f t="shared" si="19"/>
        <v>0</v>
      </c>
      <c r="AH37" s="41">
        <f t="shared" si="3"/>
        <v>0</v>
      </c>
      <c r="AI37" s="41">
        <f t="shared" si="8"/>
        <v>0</v>
      </c>
      <c r="AJ37" s="93">
        <f>IF(AI37&gt;0,SUM(AI$7:AI37)-SUM(AH$7:AH37),0)</f>
        <v>0</v>
      </c>
      <c r="AK37" s="60">
        <f t="shared" si="20"/>
        <v>0</v>
      </c>
      <c r="AM37" s="47">
        <v>31</v>
      </c>
      <c r="AN37" s="54" t="str">
        <f t="shared" si="9"/>
        <v>sáb</v>
      </c>
      <c r="AO37" s="75"/>
      <c r="AP37" s="75"/>
      <c r="AQ37" s="75">
        <f>IF(AP37&gt;0,SUM(AP$7:AP37)-SUM(AO$7:AO37),0)</f>
        <v>0</v>
      </c>
      <c r="AR37" s="45">
        <f t="shared" si="22"/>
        <v>0</v>
      </c>
      <c r="AS37" s="75"/>
      <c r="AT37" s="75"/>
      <c r="AU37" s="90">
        <f>IF(AT37&gt;0,SUM(AT$7:AT37)-SUM(AS$7:AS37),0)</f>
        <v>0</v>
      </c>
      <c r="AV37" s="45">
        <f t="shared" si="23"/>
        <v>0</v>
      </c>
      <c r="AW37" s="75"/>
      <c r="AX37" s="75"/>
      <c r="AY37" s="90">
        <f>IF(AX37&gt;0,SUM(AX$7:AX37)-SUM(AW$7:AW37),0)</f>
        <v>0</v>
      </c>
      <c r="AZ37" s="45">
        <f t="shared" si="31"/>
        <v>0</v>
      </c>
      <c r="BA37" s="35">
        <f t="shared" si="4"/>
        <v>0</v>
      </c>
      <c r="BB37" s="35">
        <f t="shared" si="10"/>
        <v>0</v>
      </c>
      <c r="BC37" s="91">
        <f>IF(BB37&gt;0,SUM(BB$7:BB37)-SUM(BA$7:BA37),0)</f>
        <v>0</v>
      </c>
      <c r="BD37" s="45">
        <f t="shared" si="24"/>
        <v>0</v>
      </c>
      <c r="BF37" s="47">
        <v>31</v>
      </c>
      <c r="BG37" s="54" t="str">
        <f t="shared" si="11"/>
        <v>sáb</v>
      </c>
      <c r="BH37" s="75"/>
      <c r="BI37" s="75"/>
      <c r="BJ37" s="75">
        <f>IF(BI37&gt;0,SUM(BI$7:BI37)-SUM(BH$7:BH37),0)</f>
        <v>0</v>
      </c>
      <c r="BK37" s="45">
        <f t="shared" si="26"/>
        <v>0</v>
      </c>
      <c r="BL37" s="75"/>
      <c r="BM37" s="75"/>
      <c r="BN37" s="90">
        <f>IF(BM37&gt;0,SUM(BM$7:BM37)-SUM(BL$7:BL37),0)</f>
        <v>0</v>
      </c>
      <c r="BO37" s="45">
        <f t="shared" si="27"/>
        <v>0</v>
      </c>
      <c r="BP37" s="75"/>
      <c r="BQ37" s="75"/>
      <c r="BR37" s="90">
        <f>IF(BQ37&gt;0,SUM(BQ$7:BQ37)-SUM(BP$7:BP37),0)</f>
        <v>0</v>
      </c>
      <c r="BS37" s="45">
        <f t="shared" si="32"/>
        <v>0</v>
      </c>
      <c r="BT37" s="35">
        <f t="shared" si="5"/>
        <v>0</v>
      </c>
      <c r="BU37" s="35">
        <f t="shared" si="5"/>
        <v>0</v>
      </c>
      <c r="BV37" s="91">
        <f>IF(BU37&gt;0,SUM(BU$7:BU37)-SUM(BT$7:BT37),0)</f>
        <v>0</v>
      </c>
      <c r="BW37" s="45">
        <f t="shared" si="28"/>
        <v>0</v>
      </c>
      <c r="BY37" s="47">
        <v>31</v>
      </c>
      <c r="BZ37" s="54" t="str">
        <f t="shared" si="12"/>
        <v>sáb</v>
      </c>
      <c r="CA37" s="75"/>
      <c r="CB37" s="75"/>
      <c r="CC37" s="90">
        <f>IF(CB37&gt;0,SUM(CB$7:CB37)-SUM(CA$7:CA37),0)</f>
        <v>0</v>
      </c>
      <c r="CD37" s="45">
        <f t="shared" si="30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309600</v>
      </c>
      <c r="D38" s="78">
        <f>SUM(D7:D37)</f>
        <v>225033</v>
      </c>
      <c r="E38" s="78">
        <f>D38-C38</f>
        <v>-84567</v>
      </c>
      <c r="F38" s="53">
        <f t="shared" si="14"/>
        <v>0.72685077519379848</v>
      </c>
      <c r="G38" s="78">
        <f>SUM(G7:G37)</f>
        <v>309600</v>
      </c>
      <c r="H38" s="78">
        <f>SUM(H7:H37)</f>
        <v>199315</v>
      </c>
      <c r="I38" s="78">
        <f>H38-G38</f>
        <v>-110285</v>
      </c>
      <c r="J38" s="53">
        <f>IF(H38&gt;0,IF(G38&gt;0,H38/G38,0),0)</f>
        <v>0.64378229974160206</v>
      </c>
      <c r="K38" s="78">
        <f>SUM(K7:K37)</f>
        <v>309600</v>
      </c>
      <c r="L38" s="78">
        <f>SUM(L7:L37)</f>
        <v>256894</v>
      </c>
      <c r="M38" s="78">
        <f>L38-K38</f>
        <v>-52706</v>
      </c>
      <c r="N38" s="45">
        <f t="shared" si="35"/>
        <v>0.82976098191214476</v>
      </c>
      <c r="O38" s="58">
        <f>IF(SUM(C38,G38,K38)&gt;0,SUM(C38,G38,K38),0)</f>
        <v>928800</v>
      </c>
      <c r="P38" s="58">
        <f>IF(SUM(D38,H38,L38)&gt;0,SUM(D38,H38,L38),0)</f>
        <v>681242</v>
      </c>
      <c r="Q38" s="58">
        <f>P38-O38</f>
        <v>-247558</v>
      </c>
      <c r="R38" s="53">
        <f t="shared" si="15"/>
        <v>0.73346468561584843</v>
      </c>
      <c r="T38" s="46" t="s">
        <v>17</v>
      </c>
      <c r="U38" s="63"/>
      <c r="V38" s="79">
        <f>SUM(V7:V37)</f>
        <v>296160</v>
      </c>
      <c r="W38" s="79">
        <f>SUM(W7:W37)</f>
        <v>276336</v>
      </c>
      <c r="X38" s="79">
        <f>W38-V38</f>
        <v>-19824</v>
      </c>
      <c r="Y38" s="61">
        <f t="shared" si="17"/>
        <v>0.93306320907617502</v>
      </c>
      <c r="Z38" s="79">
        <f>SUM(Z7:Z37)</f>
        <v>296160</v>
      </c>
      <c r="AA38" s="79">
        <f>SUM(AA7:AA37)</f>
        <v>204250</v>
      </c>
      <c r="AB38" s="79">
        <f>AA38-Z38</f>
        <v>-91910</v>
      </c>
      <c r="AC38" s="61">
        <f t="shared" si="18"/>
        <v>0.68966099405726633</v>
      </c>
      <c r="AD38" s="79">
        <f>SUM(AD7:AD37)</f>
        <v>296160</v>
      </c>
      <c r="AE38" s="79">
        <f>SUM(AE7:AE37)</f>
        <v>229161</v>
      </c>
      <c r="AF38" s="79">
        <f>AE38-AD38</f>
        <v>-66999</v>
      </c>
      <c r="AG38" s="61">
        <f t="shared" si="19"/>
        <v>0.77377431118314421</v>
      </c>
      <c r="AH38" s="62">
        <f t="shared" si="3"/>
        <v>888480</v>
      </c>
      <c r="AI38" s="62">
        <f t="shared" si="3"/>
        <v>709747</v>
      </c>
      <c r="AJ38" s="62">
        <f>AI38-AH38</f>
        <v>-178733</v>
      </c>
      <c r="AK38" s="61">
        <f>IF(AI38&gt;0,IF(AH38&gt;0,AI38/AH38,0),0)</f>
        <v>0.79883283810552852</v>
      </c>
      <c r="AM38" s="46" t="s">
        <v>17</v>
      </c>
      <c r="AN38" s="63"/>
      <c r="AO38" s="78">
        <f>SUM(AO7:AO37)</f>
        <v>184800</v>
      </c>
      <c r="AP38" s="78">
        <f>SUM(AP7:AP37)</f>
        <v>166540</v>
      </c>
      <c r="AQ38" s="78">
        <f>AP38-AO38</f>
        <v>-18260</v>
      </c>
      <c r="AR38" s="53">
        <f t="shared" si="22"/>
        <v>0.90119047619047621</v>
      </c>
      <c r="AS38" s="78">
        <f>SUM(AS7:AS37)</f>
        <v>184800</v>
      </c>
      <c r="AT38" s="95">
        <f>SUM(AT7:AT37)</f>
        <v>154785</v>
      </c>
      <c r="AU38" s="90">
        <f>IF(AT38&gt;0,SUM(AT$7:AT38)-SUM(AS$7:AS38),0)</f>
        <v>-60030</v>
      </c>
      <c r="AV38" s="96">
        <f t="shared" si="23"/>
        <v>0.83758116883116884</v>
      </c>
      <c r="AW38" s="78">
        <f>SUM(AW7:AW37)</f>
        <v>184800</v>
      </c>
      <c r="AX38" s="78">
        <f>SUM(AX7:AX37)</f>
        <v>162898</v>
      </c>
      <c r="AY38" s="78">
        <f>AX38-AW38</f>
        <v>-21902</v>
      </c>
      <c r="AZ38" s="53">
        <f t="shared" si="31"/>
        <v>0.88148268398268403</v>
      </c>
      <c r="BA38" s="58">
        <f t="shared" si="4"/>
        <v>554400</v>
      </c>
      <c r="BB38" s="58">
        <f>IF(SUM(AP38,AT38,AX38)&gt;0,SUM(AP38,AT38,AX38),0)</f>
        <v>484223</v>
      </c>
      <c r="BC38" s="58">
        <f>BB38-BA38</f>
        <v>-70177</v>
      </c>
      <c r="BD38" s="53">
        <f t="shared" si="24"/>
        <v>0.87341810966810962</v>
      </c>
      <c r="BF38" s="46" t="s">
        <v>17</v>
      </c>
      <c r="BG38" s="63"/>
      <c r="BH38" s="75">
        <f>SUM(BH7:BH37)</f>
        <v>436800</v>
      </c>
      <c r="BI38" s="78">
        <f>SUM(BI7:BI37)</f>
        <v>315862</v>
      </c>
      <c r="BJ38" s="78">
        <f>BI38-BH38</f>
        <v>-120938</v>
      </c>
      <c r="BK38" s="53">
        <f t="shared" si="26"/>
        <v>0.72312728937728943</v>
      </c>
      <c r="BL38" s="78">
        <f>SUM(BL7:BL37)</f>
        <v>192000</v>
      </c>
      <c r="BM38" s="78">
        <f>SUM(BM7:BM37)</f>
        <v>166790</v>
      </c>
      <c r="BN38" s="78">
        <f>BM38-BL38</f>
        <v>-25210</v>
      </c>
      <c r="BO38" s="53">
        <f t="shared" si="27"/>
        <v>0.86869791666666663</v>
      </c>
      <c r="BP38" s="78">
        <f>SUM(BP7:BP37)</f>
        <v>264000</v>
      </c>
      <c r="BQ38" s="78">
        <f>SUM(BQ7:BQ37)</f>
        <v>209890</v>
      </c>
      <c r="BR38" s="78">
        <f>BQ38-BP38</f>
        <v>-54110</v>
      </c>
      <c r="BS38" s="53">
        <f t="shared" si="32"/>
        <v>0.79503787878787879</v>
      </c>
      <c r="BT38" s="58">
        <f t="shared" si="5"/>
        <v>892800</v>
      </c>
      <c r="BU38" s="58">
        <f t="shared" si="5"/>
        <v>692542</v>
      </c>
      <c r="BV38" s="58">
        <f>BU38-BT38</f>
        <v>-200258</v>
      </c>
      <c r="BW38" s="53">
        <f t="shared" si="28"/>
        <v>0.7756966845878136</v>
      </c>
      <c r="BY38" s="46" t="s">
        <v>17</v>
      </c>
      <c r="BZ38" s="63"/>
      <c r="CA38" s="78">
        <f>SUM(CA7:CA37)</f>
        <v>120000</v>
      </c>
      <c r="CB38" s="78">
        <f>SUM(CB7:CB37)</f>
        <v>132130</v>
      </c>
      <c r="CC38" s="90">
        <f>CB38-CA38</f>
        <v>12130</v>
      </c>
      <c r="CD38" s="53">
        <f t="shared" si="30"/>
        <v>1.1010833333333334</v>
      </c>
    </row>
    <row r="39" spans="1:82" x14ac:dyDescent="0.25">
      <c r="O39" s="97">
        <f>SUM(O38/0.74)</f>
        <v>1255135.1351351351</v>
      </c>
      <c r="P39" s="97">
        <f>SUM(P38/0.74)</f>
        <v>920597.29729729728</v>
      </c>
      <c r="AH39" s="97">
        <f>SUM(AH38/0.74)</f>
        <v>1200648.6486486488</v>
      </c>
      <c r="AI39" s="97">
        <f>SUM(AI38/0.74)</f>
        <v>959117.56756756757</v>
      </c>
      <c r="AU39" s="94"/>
      <c r="BA39" s="97">
        <f>SUM(BA38/0.74)</f>
        <v>749189.18918918923</v>
      </c>
      <c r="BB39" s="97">
        <f>SUM(BB38/0.74)</f>
        <v>654355.40540540544</v>
      </c>
      <c r="BT39" s="97">
        <f>SUM(BT38/0.74)</f>
        <v>1206486.4864864864</v>
      </c>
      <c r="BU39" s="97">
        <f>SUM(BU38/0.74)</f>
        <v>935867.56756756757</v>
      </c>
      <c r="CA39" s="97">
        <f>SUM(CA38/0.74)</f>
        <v>162162.16216216216</v>
      </c>
      <c r="CB39" s="97">
        <f>SUM(CB38/0.74)</f>
        <v>178554.05405405405</v>
      </c>
    </row>
    <row r="40" spans="1:82" x14ac:dyDescent="0.25">
      <c r="AU40" s="94"/>
    </row>
    <row r="41" spans="1:82" x14ac:dyDescent="0.25">
      <c r="AU41" s="94"/>
    </row>
    <row r="42" spans="1:82" x14ac:dyDescent="0.25">
      <c r="AU42" s="94"/>
    </row>
    <row r="43" spans="1:82" x14ac:dyDescent="0.25">
      <c r="AU43" s="94"/>
    </row>
    <row r="44" spans="1:82" x14ac:dyDescent="0.25">
      <c r="AU44" s="94"/>
    </row>
    <row r="45" spans="1:82" x14ac:dyDescent="0.25">
      <c r="AU45" s="94"/>
    </row>
    <row r="46" spans="1:82" x14ac:dyDescent="0.25">
      <c r="AU46" s="94"/>
    </row>
    <row r="47" spans="1:82" x14ac:dyDescent="0.25">
      <c r="AU47" s="94"/>
    </row>
    <row r="48" spans="1:82" x14ac:dyDescent="0.25">
      <c r="AU48" s="94"/>
    </row>
    <row r="49" spans="47:47" x14ac:dyDescent="0.25">
      <c r="AU49" s="94"/>
    </row>
    <row r="50" spans="47:47" x14ac:dyDescent="0.25">
      <c r="AU50" s="94"/>
    </row>
    <row r="51" spans="47:47" x14ac:dyDescent="0.25">
      <c r="AU51" s="94"/>
    </row>
    <row r="52" spans="47:47" x14ac:dyDescent="0.25">
      <c r="AU52" s="94"/>
    </row>
    <row r="53" spans="47:47" x14ac:dyDescent="0.25">
      <c r="AU53" s="94"/>
    </row>
    <row r="54" spans="47:47" x14ac:dyDescent="0.25">
      <c r="AU54" s="94"/>
    </row>
    <row r="55" spans="47:47" x14ac:dyDescent="0.25">
      <c r="AU55" s="94"/>
    </row>
  </sheetData>
  <mergeCells count="45">
    <mergeCell ref="BY1:CD3"/>
    <mergeCell ref="C4:F4"/>
    <mergeCell ref="G4:J4"/>
    <mergeCell ref="K4:N4"/>
    <mergeCell ref="O4:R4"/>
    <mergeCell ref="V4:Y4"/>
    <mergeCell ref="AW4:AZ4"/>
    <mergeCell ref="F1:R3"/>
    <mergeCell ref="Y1:AH2"/>
    <mergeCell ref="AQ1:BD3"/>
    <mergeCell ref="BJ1:BW3"/>
    <mergeCell ref="Z4:AC4"/>
    <mergeCell ref="AD4:AG4"/>
    <mergeCell ref="AH4:AK4"/>
    <mergeCell ref="AO4:AR4"/>
    <mergeCell ref="AS4:AV4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BA4:BD4"/>
    <mergeCell ref="BH4:BK4"/>
    <mergeCell ref="BL4:BO4"/>
    <mergeCell ref="BP4:BS4"/>
    <mergeCell ref="BT4:BW4"/>
    <mergeCell ref="BY4:BZ5"/>
    <mergeCell ref="CA5:CD5"/>
    <mergeCell ref="A6:B6"/>
    <mergeCell ref="T6:U6"/>
    <mergeCell ref="AM6:AN6"/>
    <mergeCell ref="BF6:BG6"/>
    <mergeCell ref="BY6:BZ6"/>
    <mergeCell ref="AS5:AV5"/>
    <mergeCell ref="AW5:AZ5"/>
    <mergeCell ref="BA5:BD5"/>
    <mergeCell ref="BH5:BK5"/>
    <mergeCell ref="BL5:BO5"/>
    <mergeCell ref="BP5:BS5"/>
    <mergeCell ref="BT5:BW5"/>
  </mergeCells>
  <conditionalFormatting sqref="D8">
    <cfRule type="top10" dxfId="630" priority="2109" rank="1"/>
  </conditionalFormatting>
  <conditionalFormatting sqref="D7:E37">
    <cfRule type="top10" dxfId="629" priority="2152" rank="1"/>
  </conditionalFormatting>
  <conditionalFormatting sqref="H7:H37">
    <cfRule type="top10" dxfId="628" priority="2151" rank="1"/>
  </conditionalFormatting>
  <conditionalFormatting sqref="H8">
    <cfRule type="top10" dxfId="627" priority="2108" rank="1"/>
  </conditionalFormatting>
  <conditionalFormatting sqref="H16">
    <cfRule type="top10" dxfId="626" priority="2149" rank="1"/>
  </conditionalFormatting>
  <conditionalFormatting sqref="H32">
    <cfRule type="top10" dxfId="625" priority="1939" rank="1"/>
  </conditionalFormatting>
  <conditionalFormatting sqref="L7:L37">
    <cfRule type="top10" dxfId="624" priority="2004" rank="1"/>
  </conditionalFormatting>
  <conditionalFormatting sqref="L8">
    <cfRule type="top10" dxfId="623" priority="2003" rank="1"/>
  </conditionalFormatting>
  <conditionalFormatting sqref="P7:Q37">
    <cfRule type="top10" dxfId="622" priority="2150" rank="1"/>
  </conditionalFormatting>
  <conditionalFormatting sqref="W7:W37">
    <cfRule type="top10" dxfId="621" priority="2002" rank="1"/>
  </conditionalFormatting>
  <conditionalFormatting sqref="W8">
    <cfRule type="top10" dxfId="620" priority="2001" rank="1"/>
  </conditionalFormatting>
  <conditionalFormatting sqref="X7:X37">
    <cfRule type="top10" dxfId="619" priority="2148" rank="1"/>
  </conditionalFormatting>
  <conditionalFormatting sqref="AA7:AA23 AA25:AA37">
    <cfRule type="top10" dxfId="618" priority="2000" rank="1"/>
  </conditionalFormatting>
  <conditionalFormatting sqref="AA8">
    <cfRule type="top10" dxfId="617" priority="1999" rank="1"/>
  </conditionalFormatting>
  <conditionalFormatting sqref="AA24">
    <cfRule type="top10" dxfId="616" priority="1982" rank="1"/>
  </conditionalFormatting>
  <conditionalFormatting sqref="AE7:AE37">
    <cfRule type="top10" dxfId="615" priority="1984" rank="1"/>
  </conditionalFormatting>
  <conditionalFormatting sqref="AE8">
    <cfRule type="top10" dxfId="614" priority="1983" rank="1"/>
  </conditionalFormatting>
  <conditionalFormatting sqref="AI7:AJ37">
    <cfRule type="top10" dxfId="613" priority="2147" rank="1"/>
  </conditionalFormatting>
  <conditionalFormatting sqref="AP7:AP37">
    <cfRule type="top10" dxfId="612" priority="1990" rank="1"/>
  </conditionalFormatting>
  <conditionalFormatting sqref="AP8">
    <cfRule type="top10" dxfId="611" priority="1989" rank="1"/>
  </conditionalFormatting>
  <conditionalFormatting sqref="AQ7:AQ37">
    <cfRule type="top10" dxfId="610" priority="2146" rank="1"/>
  </conditionalFormatting>
  <conditionalFormatting sqref="AT7:AT37">
    <cfRule type="top10" dxfId="609" priority="1988" rank="1"/>
  </conditionalFormatting>
  <conditionalFormatting sqref="AT8">
    <cfRule type="top10" dxfId="608" priority="1987" rank="1"/>
  </conditionalFormatting>
  <conditionalFormatting sqref="AX7:AX37">
    <cfRule type="top10" dxfId="607" priority="1986" rank="1"/>
  </conditionalFormatting>
  <conditionalFormatting sqref="AX8">
    <cfRule type="top10" dxfId="606" priority="1985" rank="1"/>
  </conditionalFormatting>
  <conditionalFormatting sqref="BB7:BC37">
    <cfRule type="top10" dxfId="605" priority="2145" rank="1"/>
  </conditionalFormatting>
  <conditionalFormatting sqref="BH7:BH38">
    <cfRule type="top10" dxfId="604" priority="2142" rank="1"/>
  </conditionalFormatting>
  <conditionalFormatting sqref="BI7:BI37">
    <cfRule type="top10" dxfId="603" priority="1998" rank="1"/>
  </conditionalFormatting>
  <conditionalFormatting sqref="BI8">
    <cfRule type="top10" dxfId="602" priority="1997" rank="1"/>
  </conditionalFormatting>
  <conditionalFormatting sqref="BJ7:BJ37">
    <cfRule type="top10" dxfId="601" priority="2144" rank="1"/>
  </conditionalFormatting>
  <conditionalFormatting sqref="BL10">
    <cfRule type="top10" dxfId="600" priority="1647" rank="1"/>
  </conditionalFormatting>
  <conditionalFormatting sqref="BL11:BL17">
    <cfRule type="top10" dxfId="599" priority="2107" rank="1"/>
  </conditionalFormatting>
  <conditionalFormatting sqref="BL12:BL17">
    <cfRule type="top10" dxfId="598" priority="2133" rank="1"/>
  </conditionalFormatting>
  <conditionalFormatting sqref="BL13:BL17">
    <cfRule type="top10" dxfId="597" priority="2102" rank="1"/>
  </conditionalFormatting>
  <conditionalFormatting sqref="BL14">
    <cfRule type="top10" dxfId="596" priority="2122" rank="1"/>
  </conditionalFormatting>
  <conditionalFormatting sqref="BL14:BL17">
    <cfRule type="top10" dxfId="595" priority="2113" rank="1"/>
  </conditionalFormatting>
  <conditionalFormatting sqref="BL16:BL26">
    <cfRule type="top10" dxfId="594" priority="2129" rank="1"/>
  </conditionalFormatting>
  <conditionalFormatting sqref="BL17">
    <cfRule type="top10" dxfId="593" priority="1646" rank="1"/>
  </conditionalFormatting>
  <conditionalFormatting sqref="BL17:BL26">
    <cfRule type="top10" dxfId="592" priority="2096" rank="1"/>
  </conditionalFormatting>
  <conditionalFormatting sqref="BL18">
    <cfRule type="top10" dxfId="591" priority="2022" rank="1"/>
    <cfRule type="top10" dxfId="590" priority="2021" rank="1"/>
  </conditionalFormatting>
  <conditionalFormatting sqref="BL18:BL19">
    <cfRule type="top10" dxfId="589" priority="1964" rank="1"/>
    <cfRule type="top10" dxfId="588" priority="1961" rank="1"/>
    <cfRule type="top10" dxfId="587" priority="1962" rank="1"/>
    <cfRule type="top10" dxfId="586" priority="1963" rank="1"/>
  </conditionalFormatting>
  <conditionalFormatting sqref="BL18:BL26">
    <cfRule type="top10" dxfId="585" priority="2106" rank="1"/>
  </conditionalFormatting>
  <conditionalFormatting sqref="BL19">
    <cfRule type="top10" dxfId="584" priority="1928" rank="1"/>
    <cfRule type="top10" dxfId="583" priority="1927" rank="1"/>
    <cfRule type="top10" dxfId="582" priority="1925" rank="1"/>
    <cfRule type="top10" dxfId="581" priority="1926" rank="1"/>
  </conditionalFormatting>
  <conditionalFormatting sqref="BL19:BL26">
    <cfRule type="top10" dxfId="580" priority="2132" rank="1"/>
  </conditionalFormatting>
  <conditionalFormatting sqref="BL20:BL23">
    <cfRule type="top10" dxfId="579" priority="2090" rank="1"/>
  </conditionalFormatting>
  <conditionalFormatting sqref="BL20:BL24">
    <cfRule type="top10" dxfId="578" priority="2086" rank="1"/>
  </conditionalFormatting>
  <conditionalFormatting sqref="BL20:BL26">
    <cfRule type="top10" dxfId="577" priority="2101" rank="1"/>
  </conditionalFormatting>
  <conditionalFormatting sqref="BL21:BL26">
    <cfRule type="top10" dxfId="576" priority="2112" rank="1"/>
  </conditionalFormatting>
  <conditionalFormatting sqref="BL22:BL24">
    <cfRule type="top10" dxfId="575" priority="2042" rank="1"/>
    <cfRule type="top10" dxfId="574" priority="2043" rank="1"/>
    <cfRule type="top10" dxfId="573" priority="2045" rank="1"/>
    <cfRule type="top10" dxfId="572" priority="2044" rank="1"/>
    <cfRule type="top10" dxfId="571" priority="2046" rank="1"/>
  </conditionalFormatting>
  <conditionalFormatting sqref="BL22:BL26">
    <cfRule type="top10" dxfId="570" priority="2105" rank="1"/>
  </conditionalFormatting>
  <conditionalFormatting sqref="BL23:BL31">
    <cfRule type="top10" dxfId="569" priority="2128" rank="1"/>
  </conditionalFormatting>
  <conditionalFormatting sqref="BL24">
    <cfRule type="top10" dxfId="568" priority="1645" rank="1"/>
  </conditionalFormatting>
  <conditionalFormatting sqref="BL24:BL33">
    <cfRule type="top10" dxfId="567" priority="2095" rank="1"/>
  </conditionalFormatting>
  <conditionalFormatting sqref="BL25">
    <cfRule type="top10" dxfId="566" priority="2020" rank="1"/>
    <cfRule type="top10" dxfId="565" priority="2019" rank="1"/>
  </conditionalFormatting>
  <conditionalFormatting sqref="BL25:BL31">
    <cfRule type="top10" dxfId="564" priority="2082" rank="1"/>
  </conditionalFormatting>
  <conditionalFormatting sqref="BL25:BL33">
    <cfRule type="top10" dxfId="563" priority="2104" rank="1"/>
  </conditionalFormatting>
  <conditionalFormatting sqref="BL26">
    <cfRule type="top10" dxfId="562" priority="2037" rank="1"/>
    <cfRule type="top10" dxfId="561" priority="2038" rank="1"/>
    <cfRule type="top10" dxfId="560" priority="2041" rank="1"/>
    <cfRule type="top10" dxfId="559" priority="2040" rank="1"/>
    <cfRule type="top10" dxfId="558" priority="2039" rank="1"/>
  </conditionalFormatting>
  <conditionalFormatting sqref="BL26:BL34">
    <cfRule type="top10" dxfId="557" priority="2131" rank="1"/>
  </conditionalFormatting>
  <conditionalFormatting sqref="BL27">
    <cfRule type="top10" dxfId="556" priority="1974" rank="1"/>
    <cfRule type="top10" dxfId="555" priority="1980" rank="1"/>
    <cfRule type="top10" dxfId="554" priority="1979" rank="1"/>
    <cfRule type="top10" dxfId="553" priority="1977" rank="1"/>
    <cfRule type="top10" dxfId="552" priority="1978" rank="1"/>
    <cfRule type="top10" dxfId="551" priority="1973" rank="1"/>
    <cfRule type="top10" dxfId="550" priority="1972" rank="1"/>
    <cfRule type="top10" dxfId="549" priority="1971" rank="1"/>
    <cfRule type="top10" dxfId="548" priority="1970" rank="1"/>
    <cfRule type="top10" dxfId="547" priority="1976" rank="1"/>
    <cfRule type="top10" dxfId="546" priority="1975" rank="1"/>
    <cfRule type="top10" dxfId="545" priority="1943" rank="1"/>
    <cfRule type="top10" dxfId="544" priority="1981" rank="1"/>
  </conditionalFormatting>
  <conditionalFormatting sqref="BL27:BL31">
    <cfRule type="top10" dxfId="543" priority="2085" rank="1"/>
  </conditionalFormatting>
  <conditionalFormatting sqref="BL27:BL34">
    <cfRule type="top10" dxfId="542" priority="2111" rank="1"/>
  </conditionalFormatting>
  <conditionalFormatting sqref="BL28:BL31">
    <cfRule type="top10" dxfId="541" priority="2120" rank="1"/>
  </conditionalFormatting>
  <conditionalFormatting sqref="BL29:BL33">
    <cfRule type="top10" dxfId="540" priority="2036" rank="1"/>
    <cfRule type="top10" dxfId="539" priority="2050" rank="1"/>
    <cfRule type="top10" dxfId="538" priority="2034" rank="1"/>
    <cfRule type="top10" dxfId="537" priority="2033" rank="1"/>
    <cfRule type="top10" dxfId="536" priority="2030" rank="1"/>
    <cfRule type="top10" dxfId="535" priority="2035" rank="1"/>
    <cfRule type="top10" dxfId="534" priority="2031" rank="1"/>
    <cfRule type="top10" dxfId="533" priority="2032" rank="1"/>
  </conditionalFormatting>
  <conditionalFormatting sqref="BL30:BL35">
    <cfRule type="top10" dxfId="532" priority="2127" rank="1"/>
  </conditionalFormatting>
  <conditionalFormatting sqref="BL31">
    <cfRule type="top10" dxfId="531" priority="1644" rank="1"/>
  </conditionalFormatting>
  <conditionalFormatting sqref="BL31:BL34">
    <cfRule type="top10" dxfId="530" priority="2094" rank="1"/>
  </conditionalFormatting>
  <conditionalFormatting sqref="BL31:BL35">
    <cfRule type="top10" dxfId="529" priority="2081" rank="1"/>
  </conditionalFormatting>
  <conditionalFormatting sqref="BL32">
    <cfRule type="top10" dxfId="528" priority="2018" rank="1"/>
    <cfRule type="top10" dxfId="527" priority="2017" rank="1"/>
  </conditionalFormatting>
  <conditionalFormatting sqref="BL32:BL37">
    <cfRule type="top10" dxfId="526" priority="2103" rank="1"/>
  </conditionalFormatting>
  <conditionalFormatting sqref="BL33:BL37">
    <cfRule type="top10" dxfId="525" priority="2130" rank="1"/>
  </conditionalFormatting>
  <conditionalFormatting sqref="BL34:BL37">
    <cfRule type="top10" dxfId="524" priority="2110" rank="1"/>
  </conditionalFormatting>
  <conditionalFormatting sqref="BL35">
    <cfRule type="top10" dxfId="523" priority="2118" rank="1"/>
  </conditionalFormatting>
  <conditionalFormatting sqref="BL36">
    <cfRule type="top10" dxfId="522" priority="2049" rank="1"/>
    <cfRule type="top10" dxfId="521" priority="2028" rank="1"/>
    <cfRule type="top10" dxfId="520" priority="2029" rank="1"/>
    <cfRule type="top10" dxfId="519" priority="2026" rank="1"/>
    <cfRule type="top10" dxfId="518" priority="2027" rank="1"/>
    <cfRule type="top10" dxfId="517" priority="2025" rank="1"/>
    <cfRule type="top10" dxfId="516" priority="2024" rank="1"/>
    <cfRule type="top10" dxfId="515" priority="2023" rank="1"/>
  </conditionalFormatting>
  <conditionalFormatting sqref="BL37">
    <cfRule type="top10" dxfId="514" priority="1953" rank="1"/>
    <cfRule type="top10" dxfId="513" priority="1952" rank="1"/>
    <cfRule type="top10" dxfId="512" priority="1951" rank="1"/>
    <cfRule type="top10" dxfId="511" priority="1946" rank="1"/>
    <cfRule type="top10" dxfId="510" priority="1947" rank="1"/>
    <cfRule type="top10" dxfId="509" priority="1948" rank="1"/>
    <cfRule type="top10" dxfId="508" priority="1949" rank="1"/>
    <cfRule type="top10" dxfId="507" priority="1950" rank="1"/>
  </conditionalFormatting>
  <conditionalFormatting sqref="BL33:BM37 BL7:BL32">
    <cfRule type="top10" dxfId="506" priority="2097" rank="1"/>
    <cfRule type="top10" dxfId="505" priority="2141" rank="1"/>
    <cfRule type="top10" dxfId="504" priority="2083" rank="1"/>
  </conditionalFormatting>
  <conditionalFormatting sqref="BM7:BM37">
    <cfRule type="top10" dxfId="503" priority="1996" rank="1"/>
  </conditionalFormatting>
  <conditionalFormatting sqref="BM8">
    <cfRule type="top10" dxfId="502" priority="1995" rank="1"/>
  </conditionalFormatting>
  <conditionalFormatting sqref="BP7:BP37">
    <cfRule type="top10" dxfId="501" priority="2051" rank="1"/>
    <cfRule type="top10" dxfId="500" priority="2139" rank="1"/>
    <cfRule type="top10" dxfId="499" priority="2140" rank="1"/>
    <cfRule type="top10" dxfId="498" priority="2061" rank="1"/>
    <cfRule type="top10" dxfId="497" priority="2064" rank="1"/>
    <cfRule type="top10" dxfId="496" priority="2076" rank="1"/>
    <cfRule type="top10" dxfId="495" priority="2126" rank="1"/>
    <cfRule type="top10" dxfId="494" priority="1030" rank="1"/>
    <cfRule type="top10" dxfId="493" priority="1031" rank="1"/>
    <cfRule type="top10" dxfId="492" priority="1648" rank="1"/>
    <cfRule type="top10" dxfId="491" priority="1649" rank="1"/>
    <cfRule type="top10" dxfId="490" priority="1650" rank="1"/>
    <cfRule type="top10" dxfId="489" priority="1029" rank="1"/>
  </conditionalFormatting>
  <conditionalFormatting sqref="BP10">
    <cfRule type="top10" dxfId="488" priority="1643" rank="1"/>
  </conditionalFormatting>
  <conditionalFormatting sqref="BP11:BP17">
    <cfRule type="top10" dxfId="487" priority="2071" rank="1"/>
  </conditionalFormatting>
  <conditionalFormatting sqref="BP12:BP17">
    <cfRule type="top10" dxfId="486" priority="2079" rank="1"/>
  </conditionalFormatting>
  <conditionalFormatting sqref="BP12:BP24">
    <cfRule type="top10" dxfId="485" priority="2137" rank="1"/>
  </conditionalFormatting>
  <conditionalFormatting sqref="BP13:BP14">
    <cfRule type="top10" dxfId="484" priority="2087" rank="1"/>
  </conditionalFormatting>
  <conditionalFormatting sqref="BP13:BP17">
    <cfRule type="top10" dxfId="483" priority="2066" rank="1"/>
  </conditionalFormatting>
  <conditionalFormatting sqref="BP13:BP24">
    <cfRule type="top10" dxfId="482" priority="2100" rank="1"/>
  </conditionalFormatting>
  <conditionalFormatting sqref="BP14">
    <cfRule type="top10" dxfId="481" priority="2121" rank="1"/>
  </conditionalFormatting>
  <conditionalFormatting sqref="BP14:BP17">
    <cfRule type="top10" dxfId="480" priority="2074" rank="1"/>
  </conditionalFormatting>
  <conditionalFormatting sqref="BP16:BP18 BP20:BP21">
    <cfRule type="top10" dxfId="479" priority="2125" rank="1"/>
  </conditionalFormatting>
  <conditionalFormatting sqref="BP16:BP21">
    <cfRule type="top10" dxfId="478" priority="2075" rank="1"/>
  </conditionalFormatting>
  <conditionalFormatting sqref="BP16:BP23">
    <cfRule type="top10" dxfId="477" priority="2057" rank="1"/>
  </conditionalFormatting>
  <conditionalFormatting sqref="BP17">
    <cfRule type="top10" dxfId="476" priority="1642" rank="1"/>
  </conditionalFormatting>
  <conditionalFormatting sqref="BP17:BP18 BP20:BP21">
    <cfRule type="top10" dxfId="475" priority="2093" rank="1"/>
  </conditionalFormatting>
  <conditionalFormatting sqref="BP17:BP20">
    <cfRule type="top10" dxfId="474" priority="2060" rank="1"/>
  </conditionalFormatting>
  <conditionalFormatting sqref="BP17:BP21">
    <cfRule type="top10" dxfId="473" priority="2063" rank="1"/>
  </conditionalFormatting>
  <conditionalFormatting sqref="BP17:BP23">
    <cfRule type="top10" dxfId="472" priority="2053" rank="1"/>
  </conditionalFormatting>
  <conditionalFormatting sqref="BP18">
    <cfRule type="top10" dxfId="471" priority="2014" rank="1"/>
    <cfRule type="top10" dxfId="470" priority="2016" rank="1"/>
    <cfRule type="top10" dxfId="469" priority="2013" rank="1"/>
    <cfRule type="top10" dxfId="468" priority="2015" rank="1"/>
  </conditionalFormatting>
  <conditionalFormatting sqref="BP18:BP19">
    <cfRule type="top10" dxfId="467" priority="1957" rank="1"/>
    <cfRule type="top10" dxfId="466" priority="1958" rank="1"/>
    <cfRule type="top10" dxfId="465" priority="1960" rank="1"/>
    <cfRule type="top10" dxfId="464" priority="1959" rank="1"/>
  </conditionalFormatting>
  <conditionalFormatting sqref="BP18:BP20">
    <cfRule type="top10" dxfId="463" priority="2070" rank="1"/>
  </conditionalFormatting>
  <conditionalFormatting sqref="BP18:BP23">
    <cfRule type="top10" dxfId="462" priority="2054" rank="1"/>
  </conditionalFormatting>
  <conditionalFormatting sqref="BP19">
    <cfRule type="top10" dxfId="461" priority="1924" rank="1"/>
    <cfRule type="top10" dxfId="460" priority="1923" rank="1"/>
    <cfRule type="top10" dxfId="459" priority="1918" rank="1"/>
    <cfRule type="top10" dxfId="458" priority="1919" rank="1"/>
    <cfRule type="top10" dxfId="457" priority="1920" rank="1"/>
    <cfRule type="top10" dxfId="456" priority="1922" rank="1"/>
    <cfRule type="top10" dxfId="455" priority="1921" rank="1"/>
  </conditionalFormatting>
  <conditionalFormatting sqref="BP19:BP23">
    <cfRule type="top10" dxfId="454" priority="2080" rank="1"/>
  </conditionalFormatting>
  <conditionalFormatting sqref="BP19:BP26">
    <cfRule type="top10" dxfId="453" priority="2078" rank="1"/>
  </conditionalFormatting>
  <conditionalFormatting sqref="BP20:BP21">
    <cfRule type="top10" dxfId="452" priority="2088" rank="1"/>
  </conditionalFormatting>
  <conditionalFormatting sqref="BP20:BP23">
    <cfRule type="top10" dxfId="451" priority="2052" rank="1"/>
  </conditionalFormatting>
  <conditionalFormatting sqref="BP20:BP24">
    <cfRule type="top10" dxfId="450" priority="2136" rank="1"/>
  </conditionalFormatting>
  <conditionalFormatting sqref="BP20:BP26">
    <cfRule type="top10" dxfId="449" priority="2065" rank="1"/>
  </conditionalFormatting>
  <conditionalFormatting sqref="BP21:BP26">
    <cfRule type="top10" dxfId="448" priority="2073" rank="1"/>
  </conditionalFormatting>
  <conditionalFormatting sqref="BP22:BP26">
    <cfRule type="top10" dxfId="447" priority="2069" rank="1"/>
  </conditionalFormatting>
  <conditionalFormatting sqref="BP23:BP28">
    <cfRule type="top10" dxfId="446" priority="2124" rank="1"/>
  </conditionalFormatting>
  <conditionalFormatting sqref="BP23:BP33">
    <cfRule type="top10" dxfId="445" priority="2056" rank="1"/>
  </conditionalFormatting>
  <conditionalFormatting sqref="BP24">
    <cfRule type="top10" dxfId="444" priority="1641" rank="1"/>
  </conditionalFormatting>
  <conditionalFormatting sqref="BP24:BP28">
    <cfRule type="top10" dxfId="443" priority="2092" rank="1"/>
  </conditionalFormatting>
  <conditionalFormatting sqref="BP24:BP33">
    <cfRule type="top10" dxfId="442" priority="2062" rank="1"/>
  </conditionalFormatting>
  <conditionalFormatting sqref="BP25">
    <cfRule type="top10" dxfId="441" priority="2012" rank="1"/>
    <cfRule type="top10" dxfId="440" priority="2011" rank="1"/>
    <cfRule type="top10" dxfId="439" priority="2010" rank="1"/>
    <cfRule type="top10" dxfId="438" priority="2009" rank="1"/>
  </conditionalFormatting>
  <conditionalFormatting sqref="BP25:BP28">
    <cfRule type="top10" dxfId="437" priority="2059" rank="1"/>
  </conditionalFormatting>
  <conditionalFormatting sqref="BP25:BP33">
    <cfRule type="top10" dxfId="436" priority="2068" rank="1"/>
  </conditionalFormatting>
  <conditionalFormatting sqref="BP26">
    <cfRule type="top10" dxfId="435" priority="2115" rank="1"/>
  </conditionalFormatting>
  <conditionalFormatting sqref="BP26:BP33">
    <cfRule type="top10" dxfId="434" priority="2135" rank="1"/>
  </conditionalFormatting>
  <conditionalFormatting sqref="BP26:BP34">
    <cfRule type="top10" dxfId="433" priority="2077" rank="1"/>
  </conditionalFormatting>
  <conditionalFormatting sqref="BP27">
    <cfRule type="top10" dxfId="432" priority="1942" rank="1"/>
    <cfRule type="top10" dxfId="431" priority="1941" rank="1"/>
    <cfRule type="top10" dxfId="430" priority="1965" rank="1"/>
    <cfRule type="top10" dxfId="429" priority="1966" rank="1"/>
    <cfRule type="top10" dxfId="428" priority="1968" rank="1"/>
    <cfRule type="top10" dxfId="427" priority="1969" rank="1"/>
    <cfRule type="top10" dxfId="426" priority="1967" rank="1"/>
  </conditionalFormatting>
  <conditionalFormatting sqref="BP27:BP28">
    <cfRule type="top10" dxfId="425" priority="2089" rank="1"/>
  </conditionalFormatting>
  <conditionalFormatting sqref="BP27:BP32">
    <cfRule type="top10" dxfId="424" priority="2084" rank="1"/>
  </conditionalFormatting>
  <conditionalFormatting sqref="BP27:BP33">
    <cfRule type="top10" dxfId="423" priority="2099" rank="1"/>
  </conditionalFormatting>
  <conditionalFormatting sqref="BP27:BP34">
    <cfRule type="top10" dxfId="422" priority="2072" rank="1"/>
  </conditionalFormatting>
  <conditionalFormatting sqref="BP28">
    <cfRule type="top10" dxfId="421" priority="2119" rank="1"/>
  </conditionalFormatting>
  <conditionalFormatting sqref="BP28:BP32">
    <cfRule type="top10" dxfId="420" priority="2055" rank="1"/>
  </conditionalFormatting>
  <conditionalFormatting sqref="BP29:BP33">
    <cfRule type="top10" dxfId="419" priority="2048" rank="1"/>
  </conditionalFormatting>
  <conditionalFormatting sqref="BP30:BP35">
    <cfRule type="top10" dxfId="418" priority="2123" rank="1"/>
  </conditionalFormatting>
  <conditionalFormatting sqref="BP31:BP32">
    <cfRule type="top10" dxfId="417" priority="1640" rank="1"/>
  </conditionalFormatting>
  <conditionalFormatting sqref="BP31:BP34">
    <cfRule type="top10" dxfId="416" priority="2091" rank="1"/>
  </conditionalFormatting>
  <conditionalFormatting sqref="BP31:BP35">
    <cfRule type="top10" dxfId="415" priority="2058" rank="1"/>
  </conditionalFormatting>
  <conditionalFormatting sqref="BP32">
    <cfRule type="top10" dxfId="414" priority="2006" rank="1"/>
    <cfRule type="top10" dxfId="413" priority="2007" rank="1"/>
    <cfRule type="top10" dxfId="412" priority="2005" rank="1"/>
    <cfRule type="top10" dxfId="411" priority="2008" rank="1"/>
  </conditionalFormatting>
  <conditionalFormatting sqref="BP32:BP37">
    <cfRule type="top10" dxfId="410" priority="2067" rank="1"/>
  </conditionalFormatting>
  <conditionalFormatting sqref="BP33">
    <cfRule type="top10" dxfId="409" priority="2114" rank="1"/>
  </conditionalFormatting>
  <conditionalFormatting sqref="BP33:BP37">
    <cfRule type="top10" dxfId="408" priority="2134" rank="1"/>
  </conditionalFormatting>
  <conditionalFormatting sqref="BP34:BP37">
    <cfRule type="top10" dxfId="407" priority="2098" rank="1"/>
  </conditionalFormatting>
  <conditionalFormatting sqref="BP35">
    <cfRule type="top10" dxfId="406" priority="2117" rank="1"/>
  </conditionalFormatting>
  <conditionalFormatting sqref="BP36">
    <cfRule type="top10" dxfId="405" priority="2047" rank="1"/>
  </conditionalFormatting>
  <conditionalFormatting sqref="BP37">
    <cfRule type="top10" dxfId="404" priority="2116" rank="1"/>
    <cfRule type="top10" dxfId="403" priority="1945" rank="1"/>
  </conditionalFormatting>
  <conditionalFormatting sqref="BQ7:BQ37">
    <cfRule type="top10" dxfId="402" priority="1994" rank="1"/>
  </conditionalFormatting>
  <conditionalFormatting sqref="BQ8">
    <cfRule type="top10" dxfId="401" priority="1993" rank="1"/>
  </conditionalFormatting>
  <conditionalFormatting sqref="BU7:BV37">
    <cfRule type="top10" dxfId="400" priority="2143" rank="1"/>
  </conditionalFormatting>
  <conditionalFormatting sqref="CB7:CB37">
    <cfRule type="top10" dxfId="399" priority="1992" rank="1"/>
  </conditionalFormatting>
  <conditionalFormatting sqref="CB8">
    <cfRule type="top10" dxfId="398" priority="1991" rank="1"/>
  </conditionalFormatting>
  <conditionalFormatting sqref="CC7:CC38">
    <cfRule type="top10" dxfId="397" priority="2138" rank="1"/>
  </conditionalFormatting>
  <pageMargins left="0.511811024" right="0.511811024" top="0.78740157499999996" bottom="0.78740157499999996" header="0.31496062000000002" footer="0.31496062000000002"/>
  <pageSetup paperSize="9" scale="20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Plan162">
    <tabColor rgb="FF92D050"/>
  </sheetPr>
  <dimension ref="A1:V36"/>
  <sheetViews>
    <sheetView topLeftCell="A13" zoomScale="80" zoomScaleNormal="80" workbookViewId="0">
      <selection activeCell="C31" sqref="C31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43160</v>
      </c>
      <c r="C5" s="24">
        <v>50452</v>
      </c>
      <c r="D5" s="85">
        <f>SUM(C5:C5)-(F5*1)</f>
        <v>2375.076923076922</v>
      </c>
      <c r="E5" s="24">
        <f>C5/1</f>
        <v>50452</v>
      </c>
      <c r="F5" s="30">
        <f t="shared" ref="F5:F30" si="0">$F$31/$G$30</f>
        <v>48076.923076923078</v>
      </c>
      <c r="G5" s="20">
        <v>1</v>
      </c>
      <c r="H5" s="89">
        <v>43160</v>
      </c>
      <c r="I5" s="12">
        <v>19064</v>
      </c>
      <c r="J5" s="10">
        <f>SUM(I5:I5)-(L5*G5)</f>
        <v>-4012.923076923078</v>
      </c>
      <c r="K5" s="10">
        <f>I5/1</f>
        <v>19064</v>
      </c>
      <c r="L5" s="10">
        <f t="shared" ref="L5:L30" si="1">$L$31/$G$30</f>
        <v>23076.923076923078</v>
      </c>
    </row>
    <row r="6" spans="2:22" ht="20.100000000000001" customHeight="1" x14ac:dyDescent="0.2">
      <c r="B6" s="89">
        <v>43161</v>
      </c>
      <c r="C6" s="26">
        <v>42475</v>
      </c>
      <c r="D6" s="85">
        <f>SUM(C$5:C6)-(F6*G6)</f>
        <v>-3226.8461538461561</v>
      </c>
      <c r="E6" s="24">
        <f>SUM(C$5:C6)/G6</f>
        <v>46463.5</v>
      </c>
      <c r="F6" s="30">
        <f t="shared" si="0"/>
        <v>48076.923076923078</v>
      </c>
      <c r="G6" s="20">
        <v>2</v>
      </c>
      <c r="H6" s="89">
        <v>43161</v>
      </c>
      <c r="I6" s="21">
        <v>10318</v>
      </c>
      <c r="J6" s="85">
        <f>SUM(I$5:I6)-(L6*G6)</f>
        <v>-16771.846153846156</v>
      </c>
      <c r="K6" s="10">
        <f>SUM(I$5:I6)/G6</f>
        <v>14691</v>
      </c>
      <c r="L6" s="10">
        <f t="shared" si="1"/>
        <v>23076.923076923078</v>
      </c>
    </row>
    <row r="7" spans="2:22" ht="20.100000000000001" customHeight="1" x14ac:dyDescent="0.2">
      <c r="B7" s="89">
        <v>43162</v>
      </c>
      <c r="C7" s="24">
        <v>40700</v>
      </c>
      <c r="D7" s="85">
        <f>SUM(C$5:C7)-(F7*G7)</f>
        <v>-10603.769230769249</v>
      </c>
      <c r="E7" s="24">
        <f>SUM(C$5:C7)/G7</f>
        <v>44542.333333333336</v>
      </c>
      <c r="F7" s="30">
        <f t="shared" si="0"/>
        <v>48076.923076923078</v>
      </c>
      <c r="G7" s="20">
        <v>3</v>
      </c>
      <c r="H7" s="89">
        <v>43162</v>
      </c>
      <c r="I7" s="21">
        <v>32638</v>
      </c>
      <c r="J7" s="85">
        <f>SUM(I$5:I7)-(L7*G7)</f>
        <v>-7210.7692307692341</v>
      </c>
      <c r="K7" s="10">
        <f>SUM(I$5:I7)/G7</f>
        <v>20673.333333333332</v>
      </c>
      <c r="L7" s="10">
        <f t="shared" si="1"/>
        <v>23076.923076923078</v>
      </c>
    </row>
    <row r="8" spans="2:22" ht="19.5" customHeight="1" x14ac:dyDescent="0.2">
      <c r="B8" s="89">
        <v>43164</v>
      </c>
      <c r="C8" s="24">
        <v>39429</v>
      </c>
      <c r="D8" s="85">
        <f>SUM(C$5:C8)-(F8*G8)</f>
        <v>-19251.692307692312</v>
      </c>
      <c r="E8" s="24">
        <f>SUM(C$5:C8)/G8</f>
        <v>43264</v>
      </c>
      <c r="F8" s="30">
        <f t="shared" si="0"/>
        <v>48076.923076923078</v>
      </c>
      <c r="G8" s="20">
        <v>4</v>
      </c>
      <c r="H8" s="89">
        <v>43164</v>
      </c>
      <c r="I8" s="21">
        <v>26234</v>
      </c>
      <c r="J8" s="85">
        <f>SUM(I$5:I8)-(L8*G8)</f>
        <v>-4053.6923076923122</v>
      </c>
      <c r="K8" s="10">
        <f>SUM(I$5:I8)/G8</f>
        <v>22063.5</v>
      </c>
      <c r="L8" s="10">
        <f t="shared" si="1"/>
        <v>23076.923076923078</v>
      </c>
    </row>
    <row r="9" spans="2:22" ht="20.100000000000001" customHeight="1" x14ac:dyDescent="0.2">
      <c r="B9" s="89">
        <v>43165</v>
      </c>
      <c r="C9" s="27">
        <v>59608</v>
      </c>
      <c r="D9" s="85">
        <f>SUM(C$5:C9)-(F9*G9)</f>
        <v>-7720.6153846153757</v>
      </c>
      <c r="E9" s="24">
        <f>SUM(C$5:C9)/G9</f>
        <v>46532.800000000003</v>
      </c>
      <c r="F9" s="30">
        <f t="shared" si="0"/>
        <v>48076.923076923078</v>
      </c>
      <c r="G9" s="20">
        <v>5</v>
      </c>
      <c r="H9" s="89">
        <v>43165</v>
      </c>
      <c r="I9" s="22">
        <v>17936</v>
      </c>
      <c r="J9" s="85">
        <f>SUM(I$5:I9)-(L9*G9)</f>
        <v>-9194.6153846153902</v>
      </c>
      <c r="K9" s="10">
        <f>SUM(I$5:I9)/G9</f>
        <v>21238</v>
      </c>
      <c r="L9" s="10">
        <f t="shared" si="1"/>
        <v>23076.923076923078</v>
      </c>
    </row>
    <row r="10" spans="2:22" ht="20.100000000000001" customHeight="1" x14ac:dyDescent="0.2">
      <c r="B10" s="89">
        <v>43166</v>
      </c>
      <c r="C10" s="27">
        <v>46862</v>
      </c>
      <c r="D10" s="85">
        <f>SUM(C$5:C10)-(F10*G10)</f>
        <v>-8935.5384615384974</v>
      </c>
      <c r="E10" s="24">
        <f>SUM(C$5:C10)/G10</f>
        <v>46587.666666666664</v>
      </c>
      <c r="F10" s="30">
        <f t="shared" si="0"/>
        <v>48076.923076923078</v>
      </c>
      <c r="G10" s="20">
        <v>6</v>
      </c>
      <c r="H10" s="89">
        <v>43166</v>
      </c>
      <c r="I10" s="22">
        <v>23972</v>
      </c>
      <c r="J10" s="85">
        <f>SUM(I$5:I10)-(L10*G10)</f>
        <v>-8299.5384615384683</v>
      </c>
      <c r="K10" s="10">
        <f>SUM(I$5:I10)/G10</f>
        <v>21693.666666666668</v>
      </c>
      <c r="L10" s="10">
        <f t="shared" si="1"/>
        <v>23076.923076923078</v>
      </c>
    </row>
    <row r="11" spans="2:22" ht="20.100000000000001" customHeight="1" x14ac:dyDescent="0.2">
      <c r="B11" s="89">
        <v>43167</v>
      </c>
      <c r="C11" s="24">
        <v>27051</v>
      </c>
      <c r="D11" s="85">
        <f>SUM(C$5:C11)-(F11*G11)</f>
        <v>-29961.461538461561</v>
      </c>
      <c r="E11" s="24">
        <f>SUM(C$5:C11)/G11</f>
        <v>43796.714285714283</v>
      </c>
      <c r="F11" s="30">
        <f t="shared" si="0"/>
        <v>48076.923076923078</v>
      </c>
      <c r="G11" s="20">
        <v>7</v>
      </c>
      <c r="H11" s="89">
        <v>43167</v>
      </c>
      <c r="I11" s="21">
        <v>23643</v>
      </c>
      <c r="J11" s="85">
        <f>SUM(I$5:I11)-(L11*G11)</f>
        <v>-7733.4615384615608</v>
      </c>
      <c r="K11" s="10">
        <f>SUM(I$5:I11)/G11</f>
        <v>21972.142857142859</v>
      </c>
      <c r="L11" s="10">
        <f t="shared" si="1"/>
        <v>23076.923076923078</v>
      </c>
    </row>
    <row r="12" spans="2:22" ht="20.100000000000001" customHeight="1" x14ac:dyDescent="0.2">
      <c r="B12" s="89">
        <v>43168</v>
      </c>
      <c r="C12" s="24">
        <v>40878</v>
      </c>
      <c r="D12" s="85">
        <f>SUM(C$5:C12)-(F12*G12)</f>
        <v>-37160.384615384624</v>
      </c>
      <c r="E12" s="24">
        <f>SUM(C$5:C12)/G12</f>
        <v>43431.875</v>
      </c>
      <c r="F12" s="30">
        <f t="shared" si="0"/>
        <v>48076.923076923078</v>
      </c>
      <c r="G12" s="20">
        <v>8</v>
      </c>
      <c r="H12" s="89">
        <v>43168</v>
      </c>
      <c r="I12" s="21">
        <v>33706</v>
      </c>
      <c r="J12" s="85">
        <f>SUM(I$5:I12)-(L12*G12)</f>
        <v>2895.6153846153757</v>
      </c>
      <c r="K12" s="10">
        <f>SUM(I$5:I12)/G12</f>
        <v>23438.875</v>
      </c>
      <c r="L12" s="10">
        <f t="shared" si="1"/>
        <v>23076.923076923078</v>
      </c>
    </row>
    <row r="13" spans="2:22" ht="20.100000000000001" customHeight="1" x14ac:dyDescent="0.2">
      <c r="B13" s="89">
        <v>43169</v>
      </c>
      <c r="C13" s="29">
        <v>48035</v>
      </c>
      <c r="D13" s="85">
        <f>SUM(C$5:C13)-(F13*G13)</f>
        <v>-37202.307692307688</v>
      </c>
      <c r="E13" s="24">
        <f>SUM(C$5:C13)/G13</f>
        <v>43943.333333333336</v>
      </c>
      <c r="F13" s="30">
        <f t="shared" si="0"/>
        <v>48076.923076923078</v>
      </c>
      <c r="G13" s="20">
        <v>9</v>
      </c>
      <c r="H13" s="89">
        <v>43169</v>
      </c>
      <c r="I13" s="13">
        <v>28062</v>
      </c>
      <c r="J13" s="85">
        <f>SUM(I$5:I13)-(L13*G13)</f>
        <v>7880.6923076923122</v>
      </c>
      <c r="K13" s="10">
        <f>SUM(I$5:I13)/G13</f>
        <v>23952.555555555555</v>
      </c>
      <c r="L13" s="10">
        <f t="shared" si="1"/>
        <v>23076.923076923078</v>
      </c>
    </row>
    <row r="14" spans="2:22" ht="20.100000000000001" customHeight="1" x14ac:dyDescent="0.2">
      <c r="B14" s="89">
        <v>43171</v>
      </c>
      <c r="C14" s="29">
        <v>33119</v>
      </c>
      <c r="D14" s="85">
        <f>SUM(C$5:C14)-(F14*G14)</f>
        <v>-52160.230769230751</v>
      </c>
      <c r="E14" s="24">
        <f>SUM(C$5:C14)/G14</f>
        <v>42860.9</v>
      </c>
      <c r="F14" s="30">
        <f t="shared" si="0"/>
        <v>48076.923076923078</v>
      </c>
      <c r="G14" s="20">
        <v>10</v>
      </c>
      <c r="H14" s="89">
        <v>43171</v>
      </c>
      <c r="I14" s="13">
        <v>10600</v>
      </c>
      <c r="J14" s="85">
        <f>SUM(I$5:I14)-(L14*G14)</f>
        <v>-4596.2307692307804</v>
      </c>
      <c r="K14" s="10">
        <f>SUM(I$5:I14)/G14</f>
        <v>22617.3</v>
      </c>
      <c r="L14" s="10">
        <f t="shared" si="1"/>
        <v>23076.923076923078</v>
      </c>
    </row>
    <row r="15" spans="2:22" ht="20.100000000000001" customHeight="1" x14ac:dyDescent="0.2">
      <c r="B15" s="89">
        <v>43172</v>
      </c>
      <c r="C15" s="29">
        <v>51330</v>
      </c>
      <c r="D15" s="85">
        <f>SUM(C$5:C15)-(F15*G15)</f>
        <v>-48907.153846153873</v>
      </c>
      <c r="E15" s="24">
        <f>SUM(C$5:C15)/G15</f>
        <v>43630.818181818184</v>
      </c>
      <c r="F15" s="30">
        <f t="shared" si="0"/>
        <v>48076.923076923078</v>
      </c>
      <c r="G15" s="20">
        <v>11</v>
      </c>
      <c r="H15" s="89">
        <v>43172</v>
      </c>
      <c r="I15" s="13">
        <v>12687</v>
      </c>
      <c r="J15" s="85">
        <f>SUM(I$5:I15)-(L15*G15)</f>
        <v>-14986.153846153873</v>
      </c>
      <c r="K15" s="10">
        <f>SUM(I$5:I15)/G15</f>
        <v>21714.545454545456</v>
      </c>
      <c r="L15" s="10">
        <f t="shared" si="1"/>
        <v>23076.923076923078</v>
      </c>
    </row>
    <row r="16" spans="2:22" ht="19.5" customHeight="1" x14ac:dyDescent="0.2">
      <c r="B16" s="89">
        <v>43173</v>
      </c>
      <c r="C16" s="29">
        <v>41019</v>
      </c>
      <c r="D16" s="85">
        <f>SUM(C$5:C16)-(F16*G16)</f>
        <v>-55965.076923076995</v>
      </c>
      <c r="E16" s="24">
        <f>SUM(C$5:C16)/G16</f>
        <v>43413.166666666664</v>
      </c>
      <c r="F16" s="30">
        <f t="shared" si="0"/>
        <v>48076.923076923078</v>
      </c>
      <c r="G16" s="20">
        <v>12</v>
      </c>
      <c r="H16" s="89">
        <v>43173</v>
      </c>
      <c r="I16" s="13">
        <v>9558</v>
      </c>
      <c r="J16" s="85">
        <f>SUM(I$5:I16)-(L16*G16)</f>
        <v>-28505.076923076937</v>
      </c>
      <c r="K16" s="10">
        <f>SUM(I$5:I16)/G16</f>
        <v>20701.5</v>
      </c>
      <c r="L16" s="10">
        <f t="shared" si="1"/>
        <v>23076.923076923078</v>
      </c>
    </row>
    <row r="17" spans="2:12" ht="20.100000000000001" customHeight="1" x14ac:dyDescent="0.2">
      <c r="B17" s="89">
        <v>43174</v>
      </c>
      <c r="C17" s="29">
        <v>16945</v>
      </c>
      <c r="D17" s="85">
        <f>SUM(C$5:C17)-(F17*G17)</f>
        <v>-87097</v>
      </c>
      <c r="E17" s="24">
        <f>SUM(C$5:C17)/G17</f>
        <v>41377.153846153844</v>
      </c>
      <c r="F17" s="30">
        <f t="shared" si="0"/>
        <v>48076.923076923078</v>
      </c>
      <c r="G17" s="20">
        <v>13</v>
      </c>
      <c r="H17" s="89">
        <v>43174</v>
      </c>
      <c r="I17" s="13">
        <v>13917</v>
      </c>
      <c r="J17" s="85">
        <f>SUM(I$5:I17)-(L17*G17)</f>
        <v>-37665</v>
      </c>
      <c r="K17" s="10">
        <f>SUM(I$5:I17)/G17</f>
        <v>20179.615384615383</v>
      </c>
      <c r="L17" s="10">
        <f t="shared" si="1"/>
        <v>23076.923076923078</v>
      </c>
    </row>
    <row r="18" spans="2:12" ht="20.100000000000001" customHeight="1" x14ac:dyDescent="0.2">
      <c r="B18" s="89">
        <v>43175</v>
      </c>
      <c r="C18" s="29">
        <v>68626</v>
      </c>
      <c r="D18" s="85">
        <f>SUM(C$5:C18)-(F18*G18)</f>
        <v>-66547.923076923122</v>
      </c>
      <c r="E18" s="24">
        <f>SUM(C$5:C18)/G18</f>
        <v>43323.5</v>
      </c>
      <c r="F18" s="30">
        <f t="shared" si="0"/>
        <v>48076.923076923078</v>
      </c>
      <c r="G18" s="20">
        <v>14</v>
      </c>
      <c r="H18" s="89">
        <v>43175</v>
      </c>
      <c r="I18" s="13">
        <v>26740</v>
      </c>
      <c r="J18" s="85">
        <f>SUM(I$5:I18)-(L18*G18)</f>
        <v>-34001.923076923122</v>
      </c>
      <c r="K18" s="10">
        <f>SUM(I$5:I18)/G18</f>
        <v>20648.214285714286</v>
      </c>
      <c r="L18" s="10">
        <f t="shared" si="1"/>
        <v>23076.923076923078</v>
      </c>
    </row>
    <row r="19" spans="2:12" ht="20.100000000000001" customHeight="1" x14ac:dyDescent="0.2">
      <c r="B19" s="89">
        <v>43176</v>
      </c>
      <c r="C19" s="24">
        <v>53848</v>
      </c>
      <c r="D19" s="85">
        <f>SUM(C$5:C19)-(F19*G19)</f>
        <v>-60776.846153846127</v>
      </c>
      <c r="E19" s="24">
        <f>SUM(C$5:C19)/G19</f>
        <v>44025.133333333331</v>
      </c>
      <c r="F19" s="30">
        <f t="shared" si="0"/>
        <v>48076.923076923078</v>
      </c>
      <c r="G19" s="20">
        <v>15</v>
      </c>
      <c r="H19" s="89">
        <v>43176</v>
      </c>
      <c r="I19" s="21">
        <v>16369</v>
      </c>
      <c r="J19" s="85">
        <f>SUM(I$5:I19)-(L19*G19)</f>
        <v>-40709.846153846185</v>
      </c>
      <c r="K19" s="10">
        <f>SUM(I$5:I19)/G19</f>
        <v>20362.933333333334</v>
      </c>
      <c r="L19" s="10">
        <f t="shared" si="1"/>
        <v>23076.923076923078</v>
      </c>
    </row>
    <row r="20" spans="2:12" ht="20.100000000000001" customHeight="1" x14ac:dyDescent="0.2">
      <c r="B20" s="89">
        <v>43178</v>
      </c>
      <c r="C20" s="29">
        <v>26654</v>
      </c>
      <c r="D20" s="85">
        <f>SUM(C$5:C20)-(F20*G20)</f>
        <v>-82199.769230769249</v>
      </c>
      <c r="E20" s="24">
        <f>SUM(C$5:C20)/G20</f>
        <v>42939.4375</v>
      </c>
      <c r="F20" s="30">
        <f t="shared" si="0"/>
        <v>48076.923076923078</v>
      </c>
      <c r="G20" s="20">
        <v>16</v>
      </c>
      <c r="H20" s="89">
        <v>43178</v>
      </c>
      <c r="I20" s="13">
        <v>19982</v>
      </c>
      <c r="J20" s="85">
        <f>SUM(I$5:I20)-(L20*G20)</f>
        <v>-43804.769230769249</v>
      </c>
      <c r="K20" s="10">
        <f>SUM(I$5:I20)/G20</f>
        <v>20339.125</v>
      </c>
      <c r="L20" s="10">
        <f t="shared" si="1"/>
        <v>23076.923076923078</v>
      </c>
    </row>
    <row r="21" spans="2:12" ht="20.100000000000001" customHeight="1" x14ac:dyDescent="0.2">
      <c r="B21" s="89">
        <v>43179</v>
      </c>
      <c r="C21" s="29">
        <v>54964</v>
      </c>
      <c r="D21" s="85">
        <f>SUM(C$5:C21)-(F21*G21)</f>
        <v>-75312.69230769237</v>
      </c>
      <c r="E21" s="24">
        <f>SUM(C$5:C21)/G21</f>
        <v>43646.76470588235</v>
      </c>
      <c r="F21" s="30">
        <f t="shared" si="0"/>
        <v>48076.923076923078</v>
      </c>
      <c r="G21" s="20">
        <v>17</v>
      </c>
      <c r="H21" s="89">
        <v>43179</v>
      </c>
      <c r="I21" s="12">
        <v>8141</v>
      </c>
      <c r="J21" s="85">
        <f>SUM(I$5:I21)-(L21*G21)</f>
        <v>-58740.692307692312</v>
      </c>
      <c r="K21" s="10">
        <f>SUM(I$5:I21)/G21</f>
        <v>19621.588235294119</v>
      </c>
      <c r="L21" s="10">
        <f t="shared" si="1"/>
        <v>23076.923076923078</v>
      </c>
    </row>
    <row r="22" spans="2:12" ht="20.100000000000001" customHeight="1" x14ac:dyDescent="0.2">
      <c r="B22" s="89">
        <v>43180</v>
      </c>
      <c r="C22" s="29">
        <v>62930</v>
      </c>
      <c r="D22" s="85">
        <f>SUM(C$5:C22)-(F22*G22)</f>
        <v>-60459.615384615376</v>
      </c>
      <c r="E22" s="24">
        <f>SUM(C$5:C22)/G22</f>
        <v>44718.055555555555</v>
      </c>
      <c r="F22" s="30">
        <f t="shared" si="0"/>
        <v>48076.923076923078</v>
      </c>
      <c r="G22" s="20">
        <v>18</v>
      </c>
      <c r="H22" s="89">
        <v>43180</v>
      </c>
      <c r="I22" s="12">
        <v>19071</v>
      </c>
      <c r="J22" s="85">
        <f>SUM(I$5:I22)-(L22*G22)</f>
        <v>-62746.615384615376</v>
      </c>
      <c r="K22" s="10">
        <f>SUM(I$5:I22)/G22</f>
        <v>19591</v>
      </c>
      <c r="L22" s="10">
        <f t="shared" si="1"/>
        <v>23076.923076923078</v>
      </c>
    </row>
    <row r="23" spans="2:12" ht="20.100000000000001" customHeight="1" x14ac:dyDescent="0.2">
      <c r="B23" s="89">
        <v>43181</v>
      </c>
      <c r="C23" s="29">
        <v>55213</v>
      </c>
      <c r="D23" s="85">
        <f>SUM(C$5:C23)-(F23*G23)</f>
        <v>-53323.538461538497</v>
      </c>
      <c r="E23" s="24">
        <f>SUM(C$5:C23)/G23</f>
        <v>45270.42105263158</v>
      </c>
      <c r="F23" s="30">
        <f t="shared" si="0"/>
        <v>48076.923076923078</v>
      </c>
      <c r="G23" s="20">
        <v>19</v>
      </c>
      <c r="H23" s="89">
        <v>43181</v>
      </c>
      <c r="I23" s="12">
        <v>9664</v>
      </c>
      <c r="J23" s="85">
        <f>SUM(I$5:I23)-(L23*G23)</f>
        <v>-76159.538461538497</v>
      </c>
      <c r="K23" s="10">
        <f>SUM(I$5:I23)/G23</f>
        <v>19068.526315789473</v>
      </c>
      <c r="L23" s="10">
        <f t="shared" si="1"/>
        <v>23076.923076923078</v>
      </c>
    </row>
    <row r="24" spans="2:12" ht="20.100000000000001" customHeight="1" x14ac:dyDescent="0.2">
      <c r="B24" s="89">
        <v>43182</v>
      </c>
      <c r="C24" s="29">
        <v>14573</v>
      </c>
      <c r="D24" s="85">
        <f>SUM(C$5:C24)-(F24*G24)</f>
        <v>-86827.461538461503</v>
      </c>
      <c r="E24" s="24">
        <f>SUM(C$5:C24)/G24</f>
        <v>43735.55</v>
      </c>
      <c r="F24" s="30">
        <f t="shared" si="0"/>
        <v>48076.923076923078</v>
      </c>
      <c r="G24" s="20">
        <v>20</v>
      </c>
      <c r="H24" s="89">
        <v>43182</v>
      </c>
      <c r="I24" s="12">
        <v>6067</v>
      </c>
      <c r="J24" s="85">
        <f>SUM(I$5:I24)-(L24*G24)</f>
        <v>-93169.461538461561</v>
      </c>
      <c r="K24" s="10">
        <f>SUM(I$5:I24)/G24</f>
        <v>18418.45</v>
      </c>
      <c r="L24" s="10">
        <f t="shared" si="1"/>
        <v>23076.923076923078</v>
      </c>
    </row>
    <row r="25" spans="2:12" ht="20.100000000000001" customHeight="1" x14ac:dyDescent="0.2">
      <c r="B25" s="89">
        <v>43183</v>
      </c>
      <c r="C25" s="29">
        <v>69752</v>
      </c>
      <c r="D25" s="85">
        <f>SUM(C$5:C25)-(F25*G25)</f>
        <v>-65152.384615384624</v>
      </c>
      <c r="E25" s="24">
        <f>SUM(C$5:C25)/G25</f>
        <v>44974.428571428572</v>
      </c>
      <c r="F25" s="30">
        <f t="shared" si="0"/>
        <v>48076.923076923078</v>
      </c>
      <c r="G25" s="20">
        <v>21</v>
      </c>
      <c r="H25" s="89">
        <v>43183</v>
      </c>
      <c r="I25" s="12">
        <v>15592</v>
      </c>
      <c r="J25" s="85">
        <f>SUM(I$5:I25)-(L25*G25)</f>
        <v>-100654.38461538462</v>
      </c>
      <c r="K25" s="10">
        <f>SUM(I$5:I25)/G25</f>
        <v>18283.857142857141</v>
      </c>
      <c r="L25" s="10">
        <f t="shared" si="1"/>
        <v>23076.923076923078</v>
      </c>
    </row>
    <row r="26" spans="2:12" ht="20.100000000000001" customHeight="1" x14ac:dyDescent="0.2">
      <c r="B26" s="89">
        <v>43185</v>
      </c>
      <c r="C26" s="29">
        <v>55288</v>
      </c>
      <c r="D26" s="85">
        <f>SUM(C$5:C26)-(F26*G26)</f>
        <v>-57941.307692307746</v>
      </c>
      <c r="E26" s="24">
        <f>SUM(C$5:C26)/G26</f>
        <v>45443.227272727272</v>
      </c>
      <c r="F26" s="30">
        <f t="shared" si="0"/>
        <v>48076.923076923078</v>
      </c>
      <c r="G26" s="20">
        <v>22</v>
      </c>
      <c r="H26" s="89">
        <v>43185</v>
      </c>
      <c r="I26" s="12">
        <v>58524</v>
      </c>
      <c r="J26" s="85">
        <f>SUM(I$5:I26)-(L26*G26)</f>
        <v>-65207.307692307746</v>
      </c>
      <c r="K26" s="10">
        <f>SUM(I$5:I26)/G26</f>
        <v>20112.954545454544</v>
      </c>
      <c r="L26" s="10">
        <f t="shared" si="1"/>
        <v>23076.923076923078</v>
      </c>
    </row>
    <row r="27" spans="2:12" ht="20.100000000000001" customHeight="1" x14ac:dyDescent="0.2">
      <c r="B27" s="89">
        <v>43186</v>
      </c>
      <c r="C27" s="29">
        <v>40613</v>
      </c>
      <c r="D27" s="85">
        <f>SUM(C$5:C27)-(F27*G27)</f>
        <v>-65405.230769230751</v>
      </c>
      <c r="E27" s="24">
        <f>SUM(C$5:C27)/G27</f>
        <v>45233.217391304344</v>
      </c>
      <c r="F27" s="30">
        <f t="shared" si="0"/>
        <v>48076.923076923078</v>
      </c>
      <c r="G27" s="20">
        <v>23</v>
      </c>
      <c r="H27" s="89">
        <v>43186</v>
      </c>
      <c r="I27" s="12">
        <v>27564</v>
      </c>
      <c r="J27" s="85">
        <f>SUM(I$5:I27)-(L27*G27)</f>
        <v>-60720.230769230751</v>
      </c>
      <c r="K27" s="10">
        <f>SUM(I$5:I27)/G27</f>
        <v>20436.91304347826</v>
      </c>
      <c r="L27" s="10">
        <f t="shared" si="1"/>
        <v>23076.923076923078</v>
      </c>
    </row>
    <row r="28" spans="2:12" ht="20.100000000000001" customHeight="1" x14ac:dyDescent="0.2">
      <c r="B28" s="89">
        <v>43187</v>
      </c>
      <c r="C28" s="29">
        <v>50115</v>
      </c>
      <c r="D28" s="85">
        <f>SUM(C$5:C28)-(F28*G28)</f>
        <v>-63367.153846153989</v>
      </c>
      <c r="E28" s="24">
        <f>SUM(C$5:C28)/G28</f>
        <v>45436.625</v>
      </c>
      <c r="F28" s="30">
        <f t="shared" si="0"/>
        <v>48076.923076923078</v>
      </c>
      <c r="G28" s="20">
        <v>24</v>
      </c>
      <c r="H28" s="89">
        <v>43187</v>
      </c>
      <c r="I28" s="12">
        <v>33048</v>
      </c>
      <c r="J28" s="85">
        <f>SUM(I$5:I28)-(L28*G28)</f>
        <v>-50749.153846153873</v>
      </c>
      <c r="K28" s="10">
        <f>SUM(I$5:I28)/G28</f>
        <v>20962.375</v>
      </c>
      <c r="L28" s="10">
        <f t="shared" si="1"/>
        <v>23076.923076923078</v>
      </c>
    </row>
    <row r="29" spans="2:12" ht="20.100000000000001" customHeight="1" x14ac:dyDescent="0.2">
      <c r="B29" s="89">
        <v>43188</v>
      </c>
      <c r="C29" s="29">
        <v>26316</v>
      </c>
      <c r="D29" s="85">
        <f>SUM(C$5:C29)-(F29*G29)</f>
        <v>-85128.076923076995</v>
      </c>
      <c r="E29" s="24">
        <f>SUM(C$5:C29)/G29</f>
        <v>44671.8</v>
      </c>
      <c r="F29" s="30">
        <f t="shared" si="0"/>
        <v>48076.923076923078</v>
      </c>
      <c r="G29" s="20">
        <v>25</v>
      </c>
      <c r="H29" s="89">
        <v>43188</v>
      </c>
      <c r="I29" s="12">
        <v>17979</v>
      </c>
      <c r="J29" s="85">
        <f>SUM(I$5:I29)-(L29*G29)</f>
        <v>-55847.076923076995</v>
      </c>
      <c r="K29" s="10">
        <f>SUM(I$5:I29)/G29</f>
        <v>20843.04</v>
      </c>
      <c r="L29" s="10">
        <f t="shared" si="1"/>
        <v>23076.923076923078</v>
      </c>
    </row>
    <row r="30" spans="2:12" ht="20.100000000000001" customHeight="1" x14ac:dyDescent="0.2">
      <c r="B30" s="89">
        <v>43189</v>
      </c>
      <c r="C30" s="29">
        <v>43309</v>
      </c>
      <c r="D30" s="85">
        <f>SUM(C$5:C30)-(F30*G30)</f>
        <v>-89896</v>
      </c>
      <c r="E30" s="24">
        <f>SUM(C$5:C30)/G30</f>
        <v>44619.384615384617</v>
      </c>
      <c r="F30" s="30">
        <f t="shared" si="0"/>
        <v>48076.923076923078</v>
      </c>
      <c r="G30" s="20">
        <v>26</v>
      </c>
      <c r="H30" s="89">
        <v>43189</v>
      </c>
      <c r="I30" s="12">
        <v>20203</v>
      </c>
      <c r="J30" s="85">
        <f>SUM(I$5:I30)-(L30*G30)</f>
        <v>-58721</v>
      </c>
      <c r="K30" s="10">
        <f>SUM(I$5:I30)/G30</f>
        <v>20818.423076923078</v>
      </c>
      <c r="L30" s="10">
        <f t="shared" si="1"/>
        <v>23076.923076923078</v>
      </c>
    </row>
    <row r="31" spans="2:12" ht="20.100000000000001" customHeight="1" x14ac:dyDescent="0.2">
      <c r="B31" s="19" t="s">
        <v>8</v>
      </c>
      <c r="C31" s="12">
        <f>SUM(C5:C30)</f>
        <v>1160104</v>
      </c>
      <c r="D31" s="86"/>
      <c r="E31" s="23"/>
      <c r="F31" s="30">
        <v>1250000</v>
      </c>
      <c r="G31" s="18"/>
      <c r="H31" s="11" t="s">
        <v>8</v>
      </c>
      <c r="I31" s="12">
        <f>SUM(I5:I30)</f>
        <v>541279</v>
      </c>
      <c r="J31" s="8"/>
      <c r="K31" s="8"/>
      <c r="L31" s="10">
        <v>600000</v>
      </c>
    </row>
    <row r="32" spans="2:12" ht="19.5" customHeight="1" x14ac:dyDescent="0.2"/>
    <row r="33" spans="1:12" ht="19.5" customHeight="1" x14ac:dyDescent="0.2"/>
    <row r="35" spans="1:12" x14ac:dyDescent="0.2">
      <c r="A35" s="156"/>
      <c r="B35" s="156"/>
      <c r="C35" s="156"/>
      <c r="D35" s="156"/>
      <c r="I35" s="34"/>
      <c r="J35" s="32"/>
    </row>
    <row r="36" spans="1:12" x14ac:dyDescent="0.2">
      <c r="L36" s="33"/>
    </row>
  </sheetData>
  <mergeCells count="5">
    <mergeCell ref="B1:F2"/>
    <mergeCell ref="H1:L2"/>
    <mergeCell ref="B3:F3"/>
    <mergeCell ref="H3:L3"/>
    <mergeCell ref="A35:D35"/>
  </mergeCells>
  <conditionalFormatting sqref="J5:J12 D6:D12 J18:J22 D18:D22 J30:J31 D29:D30">
    <cfRule type="cellIs" dxfId="396" priority="14" stopIfTrue="1" operator="lessThan">
      <formula>0</formula>
    </cfRule>
  </conditionalFormatting>
  <conditionalFormatting sqref="D5">
    <cfRule type="cellIs" dxfId="395" priority="13" stopIfTrue="1" operator="lessThan">
      <formula>0</formula>
    </cfRule>
  </conditionalFormatting>
  <conditionalFormatting sqref="D17 J17">
    <cfRule type="cellIs" dxfId="394" priority="12" stopIfTrue="1" operator="lessThan">
      <formula>0</formula>
    </cfRule>
  </conditionalFormatting>
  <conditionalFormatting sqref="D16 J16">
    <cfRule type="cellIs" dxfId="393" priority="11" stopIfTrue="1" operator="lessThan">
      <formula>0</formula>
    </cfRule>
  </conditionalFormatting>
  <conditionalFormatting sqref="D15 J15">
    <cfRule type="cellIs" dxfId="392" priority="10" stopIfTrue="1" operator="lessThan">
      <formula>0</formula>
    </cfRule>
  </conditionalFormatting>
  <conditionalFormatting sqref="D14 J14">
    <cfRule type="cellIs" dxfId="391" priority="9" stopIfTrue="1" operator="lessThan">
      <formula>0</formula>
    </cfRule>
  </conditionalFormatting>
  <conditionalFormatting sqref="D13 J13">
    <cfRule type="cellIs" dxfId="390" priority="8" stopIfTrue="1" operator="lessThan">
      <formula>0</formula>
    </cfRule>
  </conditionalFormatting>
  <conditionalFormatting sqref="D23 J23">
    <cfRule type="cellIs" dxfId="389" priority="7" stopIfTrue="1" operator="lessThan">
      <formula>0</formula>
    </cfRule>
  </conditionalFormatting>
  <conditionalFormatting sqref="D24 J24">
    <cfRule type="cellIs" dxfId="388" priority="6" stopIfTrue="1" operator="lessThan">
      <formula>0</formula>
    </cfRule>
  </conditionalFormatting>
  <conditionalFormatting sqref="D25 J25">
    <cfRule type="cellIs" dxfId="387" priority="5" stopIfTrue="1" operator="lessThan">
      <formula>0</formula>
    </cfRule>
  </conditionalFormatting>
  <conditionalFormatting sqref="J29">
    <cfRule type="cellIs" dxfId="386" priority="4" stopIfTrue="1" operator="lessThan">
      <formula>0</formula>
    </cfRule>
  </conditionalFormatting>
  <conditionalFormatting sqref="D28 J28">
    <cfRule type="cellIs" dxfId="385" priority="3" stopIfTrue="1" operator="lessThan">
      <formula>0</formula>
    </cfRule>
  </conditionalFormatting>
  <conditionalFormatting sqref="D26 J26">
    <cfRule type="cellIs" dxfId="384" priority="2" stopIfTrue="1" operator="lessThan">
      <formula>0</formula>
    </cfRule>
  </conditionalFormatting>
  <conditionalFormatting sqref="D27 J27">
    <cfRule type="cellIs" dxfId="383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Plan164">
    <tabColor rgb="FF92D050"/>
  </sheetPr>
  <dimension ref="A1:V35"/>
  <sheetViews>
    <sheetView zoomScale="80" zoomScaleNormal="80" workbookViewId="0">
      <selection activeCell="Q21" sqref="Q21"/>
    </sheetView>
  </sheetViews>
  <sheetFormatPr defaultColWidth="9.140625" defaultRowHeight="12.75" x14ac:dyDescent="0.2"/>
  <cols>
    <col min="1" max="1" width="3.140625" style="6" customWidth="1"/>
    <col min="2" max="2" width="12.140625" style="6" customWidth="1"/>
    <col min="3" max="3" width="18" style="9" bestFit="1" customWidth="1"/>
    <col min="4" max="4" width="15.28515625" style="87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2.28515625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22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</row>
    <row r="2" spans="2:2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</row>
    <row r="3" spans="2:2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</row>
    <row r="4" spans="2:22" s="18" customFormat="1" ht="20.100000000000001" customHeight="1" x14ac:dyDescent="0.25">
      <c r="B4" s="14" t="s">
        <v>9</v>
      </c>
      <c r="C4" s="15" t="s">
        <v>10</v>
      </c>
      <c r="D4" s="84" t="s">
        <v>11</v>
      </c>
      <c r="E4" s="15" t="s">
        <v>12</v>
      </c>
      <c r="F4" s="15" t="s">
        <v>13</v>
      </c>
      <c r="G4" s="17"/>
      <c r="H4" s="14" t="s">
        <v>9</v>
      </c>
      <c r="I4" s="15" t="s">
        <v>10</v>
      </c>
      <c r="J4" s="16" t="s">
        <v>11</v>
      </c>
      <c r="K4" s="16" t="s">
        <v>12</v>
      </c>
      <c r="L4" s="16" t="s">
        <v>13</v>
      </c>
      <c r="Q4" s="6"/>
      <c r="R4" s="6"/>
      <c r="S4" s="6"/>
      <c r="T4" s="6"/>
      <c r="U4" s="6"/>
      <c r="V4" s="6"/>
    </row>
    <row r="5" spans="2:22" ht="20.100000000000001" customHeight="1" x14ac:dyDescent="0.2">
      <c r="B5" s="89">
        <v>43192</v>
      </c>
      <c r="C5" s="24">
        <v>37657</v>
      </c>
      <c r="D5" s="85">
        <f>SUM(C5:C5)-(F5*1)</f>
        <v>-2343</v>
      </c>
      <c r="E5" s="24">
        <f>C5/1</f>
        <v>37657</v>
      </c>
      <c r="F5" s="30">
        <f t="shared" ref="F5:F29" si="0">$F$30/$G$29</f>
        <v>40000</v>
      </c>
      <c r="G5" s="20">
        <v>1</v>
      </c>
      <c r="H5" s="89">
        <v>43192</v>
      </c>
      <c r="I5" s="12">
        <v>26221</v>
      </c>
      <c r="J5" s="10">
        <f>SUM(I5:I5)-(L5*G5)</f>
        <v>2221</v>
      </c>
      <c r="K5" s="10">
        <f>I5/1</f>
        <v>26221</v>
      </c>
      <c r="L5" s="10">
        <f t="shared" ref="L5:L29" si="1">$L$30/$G$29</f>
        <v>24000</v>
      </c>
    </row>
    <row r="6" spans="2:22" ht="20.100000000000001" customHeight="1" x14ac:dyDescent="0.2">
      <c r="B6" s="89">
        <v>43193</v>
      </c>
      <c r="C6" s="26">
        <v>43201</v>
      </c>
      <c r="D6" s="85">
        <f>SUM(C$5:C6)-(F6*G6)</f>
        <v>858</v>
      </c>
      <c r="E6" s="24">
        <f>SUM(C$5:C6)/G6</f>
        <v>40429</v>
      </c>
      <c r="F6" s="30">
        <f t="shared" si="0"/>
        <v>40000</v>
      </c>
      <c r="G6" s="20">
        <v>2</v>
      </c>
      <c r="H6" s="89">
        <v>43193</v>
      </c>
      <c r="I6" s="21">
        <v>23342</v>
      </c>
      <c r="J6" s="85">
        <f>SUM(I$5:I6)-(L6*G6)</f>
        <v>1563</v>
      </c>
      <c r="K6" s="10">
        <f>SUM(I$5:I6)/G6</f>
        <v>24781.5</v>
      </c>
      <c r="L6" s="10">
        <f t="shared" si="1"/>
        <v>24000</v>
      </c>
    </row>
    <row r="7" spans="2:22" ht="20.100000000000001" customHeight="1" x14ac:dyDescent="0.2">
      <c r="B7" s="89">
        <v>43194</v>
      </c>
      <c r="C7" s="24">
        <v>39726</v>
      </c>
      <c r="D7" s="85">
        <f>SUM(C$5:C7)-(F7*G7)</f>
        <v>584</v>
      </c>
      <c r="E7" s="24">
        <f>SUM(C$5:C7)/G7</f>
        <v>40194.666666666664</v>
      </c>
      <c r="F7" s="30">
        <f t="shared" si="0"/>
        <v>40000</v>
      </c>
      <c r="G7" s="20">
        <v>3</v>
      </c>
      <c r="H7" s="89">
        <v>43194</v>
      </c>
      <c r="I7" s="21">
        <v>34111</v>
      </c>
      <c r="J7" s="85">
        <f>SUM(I$5:I7)-(L7*G7)</f>
        <v>11674</v>
      </c>
      <c r="K7" s="10">
        <f>SUM(I$5:I7)/G7</f>
        <v>27891.333333333332</v>
      </c>
      <c r="L7" s="10">
        <f t="shared" si="1"/>
        <v>24000</v>
      </c>
    </row>
    <row r="8" spans="2:22" ht="19.5" customHeight="1" x14ac:dyDescent="0.2">
      <c r="B8" s="89">
        <v>43195</v>
      </c>
      <c r="C8" s="24">
        <v>44805</v>
      </c>
      <c r="D8" s="85">
        <f>SUM(C$5:C8)-(F8*G8)</f>
        <v>5389</v>
      </c>
      <c r="E8" s="24">
        <f>SUM(C$5:C8)/G8</f>
        <v>41347.25</v>
      </c>
      <c r="F8" s="30">
        <f t="shared" si="0"/>
        <v>40000</v>
      </c>
      <c r="G8" s="20">
        <v>4</v>
      </c>
      <c r="H8" s="89">
        <v>43195</v>
      </c>
      <c r="I8" s="21">
        <v>41293</v>
      </c>
      <c r="J8" s="85">
        <f>SUM(I$5:I8)-(L8*G8)</f>
        <v>28967</v>
      </c>
      <c r="K8" s="10">
        <f>SUM(I$5:I8)/G8</f>
        <v>31241.75</v>
      </c>
      <c r="L8" s="10">
        <f t="shared" si="1"/>
        <v>24000</v>
      </c>
    </row>
    <row r="9" spans="2:22" ht="20.100000000000001" customHeight="1" x14ac:dyDescent="0.2">
      <c r="B9" s="89">
        <v>43196</v>
      </c>
      <c r="C9" s="27">
        <v>38428</v>
      </c>
      <c r="D9" s="85">
        <f>SUM(C$5:C9)-(F9*G9)</f>
        <v>3817</v>
      </c>
      <c r="E9" s="24">
        <f>SUM(C$5:C9)/G9</f>
        <v>40763.4</v>
      </c>
      <c r="F9" s="30">
        <f t="shared" si="0"/>
        <v>40000</v>
      </c>
      <c r="G9" s="20">
        <v>5</v>
      </c>
      <c r="H9" s="89">
        <v>43196</v>
      </c>
      <c r="I9" s="22">
        <v>27303</v>
      </c>
      <c r="J9" s="85">
        <f>SUM(I$5:I9)-(L9*G9)</f>
        <v>32270</v>
      </c>
      <c r="K9" s="10">
        <f>SUM(I$5:I9)/G9</f>
        <v>30454</v>
      </c>
      <c r="L9" s="10">
        <f t="shared" si="1"/>
        <v>24000</v>
      </c>
    </row>
    <row r="10" spans="2:22" ht="20.100000000000001" customHeight="1" x14ac:dyDescent="0.2">
      <c r="B10" s="89">
        <v>43197</v>
      </c>
      <c r="C10" s="27">
        <v>42145</v>
      </c>
      <c r="D10" s="85">
        <f>SUM(C$5:C10)-(F10*G10)</f>
        <v>5962</v>
      </c>
      <c r="E10" s="24">
        <f>SUM(C$5:C10)/G10</f>
        <v>40993.666666666664</v>
      </c>
      <c r="F10" s="30">
        <f t="shared" si="0"/>
        <v>40000</v>
      </c>
      <c r="G10" s="20">
        <v>6</v>
      </c>
      <c r="H10" s="89">
        <v>43197</v>
      </c>
      <c r="I10" s="22">
        <v>30445</v>
      </c>
      <c r="J10" s="85">
        <f>SUM(I$5:I10)-(L10*G10)</f>
        <v>38715</v>
      </c>
      <c r="K10" s="10">
        <f>SUM(I$5:I10)/G10</f>
        <v>30452.5</v>
      </c>
      <c r="L10" s="10">
        <f t="shared" si="1"/>
        <v>24000</v>
      </c>
    </row>
    <row r="11" spans="2:22" ht="20.100000000000001" customHeight="1" x14ac:dyDescent="0.2">
      <c r="B11" s="89">
        <v>43199</v>
      </c>
      <c r="C11" s="24">
        <v>21936</v>
      </c>
      <c r="D11" s="85">
        <f>SUM(C$5:C11)-(F11*G11)</f>
        <v>-12102</v>
      </c>
      <c r="E11" s="24">
        <f>SUM(C$5:C11)/G11</f>
        <v>38271.142857142855</v>
      </c>
      <c r="F11" s="30">
        <f t="shared" si="0"/>
        <v>40000</v>
      </c>
      <c r="G11" s="20">
        <v>7</v>
      </c>
      <c r="H11" s="89">
        <v>43199</v>
      </c>
      <c r="I11" s="21">
        <v>37524</v>
      </c>
      <c r="J11" s="85">
        <f>SUM(I$5:I11)-(L11*G11)</f>
        <v>52239</v>
      </c>
      <c r="K11" s="10">
        <f>SUM(I$5:I11)/G11</f>
        <v>31462.714285714286</v>
      </c>
      <c r="L11" s="10">
        <f t="shared" si="1"/>
        <v>24000</v>
      </c>
    </row>
    <row r="12" spans="2:22" ht="20.100000000000001" customHeight="1" x14ac:dyDescent="0.2">
      <c r="B12" s="89">
        <v>43200</v>
      </c>
      <c r="C12" s="24">
        <v>45283</v>
      </c>
      <c r="D12" s="85">
        <f>SUM(C$5:C12)-(F12*G12)</f>
        <v>-6819</v>
      </c>
      <c r="E12" s="24">
        <f>SUM(C$5:C12)/G12</f>
        <v>39147.625</v>
      </c>
      <c r="F12" s="30">
        <f t="shared" si="0"/>
        <v>40000</v>
      </c>
      <c r="G12" s="20">
        <v>8</v>
      </c>
      <c r="H12" s="89">
        <v>43200</v>
      </c>
      <c r="I12" s="21">
        <v>13408</v>
      </c>
      <c r="J12" s="85">
        <f>SUM(I$5:I12)-(L12*G12)</f>
        <v>41647</v>
      </c>
      <c r="K12" s="10">
        <f>SUM(I$5:I12)/G12</f>
        <v>29205.875</v>
      </c>
      <c r="L12" s="10">
        <f t="shared" si="1"/>
        <v>24000</v>
      </c>
    </row>
    <row r="13" spans="2:22" ht="20.100000000000001" customHeight="1" x14ac:dyDescent="0.2">
      <c r="B13" s="89">
        <v>43201</v>
      </c>
      <c r="C13" s="29">
        <v>39470</v>
      </c>
      <c r="D13" s="85">
        <f>SUM(C$5:C13)-(F13*G13)</f>
        <v>-7349</v>
      </c>
      <c r="E13" s="24">
        <f>SUM(C$5:C13)/G13</f>
        <v>39183.444444444445</v>
      </c>
      <c r="F13" s="30">
        <f t="shared" si="0"/>
        <v>40000</v>
      </c>
      <c r="G13" s="20">
        <v>9</v>
      </c>
      <c r="H13" s="89">
        <v>43201</v>
      </c>
      <c r="I13" s="13">
        <v>6720</v>
      </c>
      <c r="J13" s="85">
        <f>SUM(I$5:I13)-(L13*G13)</f>
        <v>24367</v>
      </c>
      <c r="K13" s="10">
        <f>SUM(I$5:I13)/G13</f>
        <v>26707.444444444445</v>
      </c>
      <c r="L13" s="10">
        <f t="shared" si="1"/>
        <v>24000</v>
      </c>
    </row>
    <row r="14" spans="2:22" ht="20.100000000000001" customHeight="1" x14ac:dyDescent="0.2">
      <c r="B14" s="89">
        <v>43202</v>
      </c>
      <c r="C14" s="29">
        <v>33846</v>
      </c>
      <c r="D14" s="85">
        <f>SUM(C$5:C14)-(F14*G14)</f>
        <v>-13503</v>
      </c>
      <c r="E14" s="24">
        <f>SUM(C$5:C14)/G14</f>
        <v>38649.699999999997</v>
      </c>
      <c r="F14" s="30">
        <f t="shared" si="0"/>
        <v>40000</v>
      </c>
      <c r="G14" s="20">
        <v>10</v>
      </c>
      <c r="H14" s="89">
        <v>43202</v>
      </c>
      <c r="I14" s="13">
        <v>25435</v>
      </c>
      <c r="J14" s="85">
        <f>SUM(I$5:I14)-(L14*G14)</f>
        <v>25802</v>
      </c>
      <c r="K14" s="10">
        <f>SUM(I$5:I14)/G14</f>
        <v>26580.2</v>
      </c>
      <c r="L14" s="10">
        <f t="shared" si="1"/>
        <v>24000</v>
      </c>
    </row>
    <row r="15" spans="2:22" ht="20.100000000000001" customHeight="1" x14ac:dyDescent="0.2">
      <c r="B15" s="89">
        <v>43203</v>
      </c>
      <c r="C15" s="29">
        <v>0</v>
      </c>
      <c r="D15" s="85">
        <f>SUM(C$5:C15)-(F15*G15)</f>
        <v>-53503</v>
      </c>
      <c r="E15" s="24">
        <f>SUM(C$5:C15)/G15</f>
        <v>35136.090909090912</v>
      </c>
      <c r="F15" s="30">
        <f t="shared" si="0"/>
        <v>40000</v>
      </c>
      <c r="G15" s="20">
        <v>11</v>
      </c>
      <c r="H15" s="89">
        <v>43203</v>
      </c>
      <c r="I15" s="13">
        <v>0</v>
      </c>
      <c r="J15" s="85">
        <f>SUM(I$5:I15)-(L15*G15)</f>
        <v>1802</v>
      </c>
      <c r="K15" s="10">
        <f>SUM(I$5:I15)/G15</f>
        <v>24163.81818181818</v>
      </c>
      <c r="L15" s="10">
        <f t="shared" si="1"/>
        <v>24000</v>
      </c>
    </row>
    <row r="16" spans="2:22" ht="19.5" customHeight="1" x14ac:dyDescent="0.2">
      <c r="B16" s="89">
        <v>43204</v>
      </c>
      <c r="C16" s="29">
        <v>0</v>
      </c>
      <c r="D16" s="85">
        <f>SUM(C$5:C16)-(F16*G16)</f>
        <v>-93503</v>
      </c>
      <c r="E16" s="24">
        <f>SUM(C$5:C16)/G16</f>
        <v>32208.083333333332</v>
      </c>
      <c r="F16" s="30">
        <f t="shared" si="0"/>
        <v>40000</v>
      </c>
      <c r="G16" s="20">
        <v>12</v>
      </c>
      <c r="H16" s="89">
        <v>43204</v>
      </c>
      <c r="I16" s="13">
        <v>0</v>
      </c>
      <c r="J16" s="85">
        <f>SUM(I$5:I16)-(L16*G16)</f>
        <v>-22198</v>
      </c>
      <c r="K16" s="10">
        <f>SUM(I$5:I16)/G16</f>
        <v>22150.166666666668</v>
      </c>
      <c r="L16" s="10">
        <f t="shared" si="1"/>
        <v>24000</v>
      </c>
    </row>
    <row r="17" spans="2:12" ht="20.100000000000001" customHeight="1" x14ac:dyDescent="0.2">
      <c r="B17" s="89">
        <v>43206</v>
      </c>
      <c r="C17" s="29">
        <v>0</v>
      </c>
      <c r="D17" s="85">
        <f>SUM(C$5:C17)-(F17*G17)</f>
        <v>-133503</v>
      </c>
      <c r="E17" s="24">
        <f>SUM(C$5:C17)/G17</f>
        <v>29730.538461538461</v>
      </c>
      <c r="F17" s="30">
        <f t="shared" si="0"/>
        <v>40000</v>
      </c>
      <c r="G17" s="20">
        <v>13</v>
      </c>
      <c r="H17" s="89">
        <v>43206</v>
      </c>
      <c r="I17" s="13">
        <v>0</v>
      </c>
      <c r="J17" s="85">
        <f>SUM(I$5:I17)-(L17*G17)</f>
        <v>-46198</v>
      </c>
      <c r="K17" s="10">
        <f>SUM(I$5:I17)/G17</f>
        <v>20446.307692307691</v>
      </c>
      <c r="L17" s="10">
        <f t="shared" si="1"/>
        <v>24000</v>
      </c>
    </row>
    <row r="18" spans="2:12" ht="20.100000000000001" customHeight="1" x14ac:dyDescent="0.2">
      <c r="B18" s="89">
        <v>43207</v>
      </c>
      <c r="C18" s="29">
        <v>0</v>
      </c>
      <c r="D18" s="85">
        <f>SUM(C$5:C18)-(F18*G18)</f>
        <v>-173503</v>
      </c>
      <c r="E18" s="24">
        <f>SUM(C$5:C18)/G18</f>
        <v>27606.928571428572</v>
      </c>
      <c r="F18" s="30">
        <f t="shared" si="0"/>
        <v>40000</v>
      </c>
      <c r="G18" s="20">
        <v>14</v>
      </c>
      <c r="H18" s="89">
        <v>43207</v>
      </c>
      <c r="I18" s="13">
        <v>0</v>
      </c>
      <c r="J18" s="85">
        <f>SUM(I$5:I18)-(L18*G18)</f>
        <v>-70198</v>
      </c>
      <c r="K18" s="10">
        <f>SUM(I$5:I18)/G18</f>
        <v>18985.857142857141</v>
      </c>
      <c r="L18" s="10">
        <f t="shared" si="1"/>
        <v>24000</v>
      </c>
    </row>
    <row r="19" spans="2:12" ht="20.100000000000001" customHeight="1" x14ac:dyDescent="0.2">
      <c r="B19" s="89">
        <v>43208</v>
      </c>
      <c r="C19" s="24">
        <v>0</v>
      </c>
      <c r="D19" s="85">
        <f>SUM(C$5:C19)-(F19*G19)</f>
        <v>-213503</v>
      </c>
      <c r="E19" s="24">
        <f>SUM(C$5:C19)/G19</f>
        <v>25766.466666666667</v>
      </c>
      <c r="F19" s="30">
        <f t="shared" si="0"/>
        <v>40000</v>
      </c>
      <c r="G19" s="20">
        <v>15</v>
      </c>
      <c r="H19" s="89">
        <v>43208</v>
      </c>
      <c r="I19" s="21">
        <v>0</v>
      </c>
      <c r="J19" s="85">
        <f>SUM(I$5:I19)-(L19*G19)</f>
        <v>-94198</v>
      </c>
      <c r="K19" s="10">
        <f>SUM(I$5:I19)/G19</f>
        <v>17720.133333333335</v>
      </c>
      <c r="L19" s="10">
        <f t="shared" si="1"/>
        <v>24000</v>
      </c>
    </row>
    <row r="20" spans="2:12" ht="20.100000000000001" customHeight="1" x14ac:dyDescent="0.2">
      <c r="B20" s="89">
        <v>43209</v>
      </c>
      <c r="C20" s="29">
        <v>0</v>
      </c>
      <c r="D20" s="85">
        <f>SUM(C$5:C20)-(F20*G20)</f>
        <v>-253503</v>
      </c>
      <c r="E20" s="24">
        <f>SUM(C$5:C20)/G20</f>
        <v>24156.0625</v>
      </c>
      <c r="F20" s="30">
        <f t="shared" si="0"/>
        <v>40000</v>
      </c>
      <c r="G20" s="20">
        <v>16</v>
      </c>
      <c r="H20" s="89">
        <v>43209</v>
      </c>
      <c r="I20" s="13">
        <v>0</v>
      </c>
      <c r="J20" s="85">
        <f>SUM(I$5:I20)-(L20*G20)</f>
        <v>-118198</v>
      </c>
      <c r="K20" s="10">
        <f>SUM(I$5:I20)/G20</f>
        <v>16612.625</v>
      </c>
      <c r="L20" s="10">
        <f t="shared" si="1"/>
        <v>24000</v>
      </c>
    </row>
    <row r="21" spans="2:12" ht="20.100000000000001" customHeight="1" x14ac:dyDescent="0.2">
      <c r="B21" s="89">
        <v>43210</v>
      </c>
      <c r="C21" s="29">
        <v>0</v>
      </c>
      <c r="D21" s="85">
        <f>SUM(C$5:C21)-(F21*G21)</f>
        <v>-293503</v>
      </c>
      <c r="E21" s="24">
        <f>SUM(C$5:C21)/G21</f>
        <v>22735.117647058825</v>
      </c>
      <c r="F21" s="30">
        <f t="shared" si="0"/>
        <v>40000</v>
      </c>
      <c r="G21" s="20">
        <v>17</v>
      </c>
      <c r="H21" s="89">
        <v>43210</v>
      </c>
      <c r="I21" s="12">
        <v>0</v>
      </c>
      <c r="J21" s="85">
        <f>SUM(I$5:I21)-(L21*G21)</f>
        <v>-142198</v>
      </c>
      <c r="K21" s="10">
        <f>SUM(I$5:I21)/G21</f>
        <v>15635.411764705883</v>
      </c>
      <c r="L21" s="10">
        <f t="shared" si="1"/>
        <v>24000</v>
      </c>
    </row>
    <row r="22" spans="2:12" ht="20.100000000000001" customHeight="1" x14ac:dyDescent="0.2">
      <c r="B22" s="89">
        <v>43211</v>
      </c>
      <c r="C22" s="29">
        <v>257425</v>
      </c>
      <c r="D22" s="85">
        <f>SUM(C$5:C22)-(F22*G22)</f>
        <v>-76078</v>
      </c>
      <c r="E22" s="24">
        <f>SUM(C$5:C22)/G22</f>
        <v>35773.444444444445</v>
      </c>
      <c r="F22" s="30">
        <f t="shared" si="0"/>
        <v>40000</v>
      </c>
      <c r="G22" s="20">
        <v>18</v>
      </c>
      <c r="H22" s="89">
        <v>43211</v>
      </c>
      <c r="I22" s="12">
        <v>178407</v>
      </c>
      <c r="J22" s="85">
        <f>SUM(I$5:I22)-(L22*G22)</f>
        <v>12209</v>
      </c>
      <c r="K22" s="10">
        <f>SUM(I$5:I22)/G22</f>
        <v>24678.277777777777</v>
      </c>
      <c r="L22" s="10">
        <f t="shared" si="1"/>
        <v>24000</v>
      </c>
    </row>
    <row r="23" spans="2:12" ht="20.100000000000001" customHeight="1" x14ac:dyDescent="0.2">
      <c r="B23" s="89">
        <v>43213</v>
      </c>
      <c r="C23" s="29">
        <v>29129</v>
      </c>
      <c r="D23" s="85">
        <f>SUM(C$5:C23)-(F23*G23)</f>
        <v>-86949</v>
      </c>
      <c r="E23" s="24">
        <f>SUM(C$5:C23)/G23</f>
        <v>35423.73684210526</v>
      </c>
      <c r="F23" s="30">
        <f t="shared" si="0"/>
        <v>40000</v>
      </c>
      <c r="G23" s="20">
        <v>19</v>
      </c>
      <c r="H23" s="89">
        <v>43213</v>
      </c>
      <c r="I23" s="12">
        <v>19622</v>
      </c>
      <c r="J23" s="85">
        <f>SUM(I$5:I23)-(L23*G23)</f>
        <v>7831</v>
      </c>
      <c r="K23" s="10">
        <f>SUM(I$5:I23)/G23</f>
        <v>24412.157894736843</v>
      </c>
      <c r="L23" s="10">
        <f t="shared" si="1"/>
        <v>24000</v>
      </c>
    </row>
    <row r="24" spans="2:12" ht="20.100000000000001" customHeight="1" x14ac:dyDescent="0.2">
      <c r="B24" s="89">
        <v>43214</v>
      </c>
      <c r="C24" s="29">
        <v>40308</v>
      </c>
      <c r="D24" s="85">
        <f>SUM(C$5:C24)-(F24*G24)</f>
        <v>-86641</v>
      </c>
      <c r="E24" s="24">
        <f>SUM(C$5:C24)/G24</f>
        <v>35667.949999999997</v>
      </c>
      <c r="F24" s="30">
        <f t="shared" si="0"/>
        <v>40000</v>
      </c>
      <c r="G24" s="20">
        <v>20</v>
      </c>
      <c r="H24" s="89">
        <v>43214</v>
      </c>
      <c r="I24" s="12">
        <v>33465</v>
      </c>
      <c r="J24" s="85">
        <f>SUM(I$5:I24)-(L24*G24)</f>
        <v>17296</v>
      </c>
      <c r="K24" s="10">
        <f>SUM(I$5:I24)/G24</f>
        <v>24864.799999999999</v>
      </c>
      <c r="L24" s="10">
        <f t="shared" si="1"/>
        <v>24000</v>
      </c>
    </row>
    <row r="25" spans="2:12" ht="20.100000000000001" customHeight="1" x14ac:dyDescent="0.2">
      <c r="B25" s="89">
        <v>43215</v>
      </c>
      <c r="C25" s="29">
        <v>41528</v>
      </c>
      <c r="D25" s="85">
        <f>SUM(C$5:C25)-(F25*G25)</f>
        <v>-85113</v>
      </c>
      <c r="E25" s="24">
        <f>SUM(C$5:C25)/G25</f>
        <v>35947</v>
      </c>
      <c r="F25" s="30">
        <f t="shared" si="0"/>
        <v>40000</v>
      </c>
      <c r="G25" s="20">
        <v>21</v>
      </c>
      <c r="H25" s="89">
        <v>43215</v>
      </c>
      <c r="I25" s="12">
        <v>31022</v>
      </c>
      <c r="J25" s="85">
        <f>SUM(I$5:I25)-(L25*G25)</f>
        <v>24318</v>
      </c>
      <c r="K25" s="10">
        <f>SUM(I$5:I25)/G25</f>
        <v>25158</v>
      </c>
      <c r="L25" s="10">
        <f t="shared" si="1"/>
        <v>24000</v>
      </c>
    </row>
    <row r="26" spans="2:12" ht="20.100000000000001" customHeight="1" x14ac:dyDescent="0.2">
      <c r="B26" s="89">
        <v>43216</v>
      </c>
      <c r="C26" s="29">
        <v>52671</v>
      </c>
      <c r="D26" s="85">
        <f>SUM(C$5:C26)-(F26*G26)</f>
        <v>-72442</v>
      </c>
      <c r="E26" s="24">
        <f>SUM(C$5:C26)/G26</f>
        <v>36707.181818181816</v>
      </c>
      <c r="F26" s="30">
        <f t="shared" si="0"/>
        <v>40000</v>
      </c>
      <c r="G26" s="20">
        <v>22</v>
      </c>
      <c r="H26" s="89">
        <v>43216</v>
      </c>
      <c r="I26" s="12">
        <v>65310</v>
      </c>
      <c r="J26" s="85">
        <f>SUM(I$5:I26)-(L26*G26)</f>
        <v>65628</v>
      </c>
      <c r="K26" s="10">
        <f>SUM(I$5:I26)/G26</f>
        <v>26983.090909090908</v>
      </c>
      <c r="L26" s="10">
        <f t="shared" si="1"/>
        <v>24000</v>
      </c>
    </row>
    <row r="27" spans="2:12" ht="20.100000000000001" customHeight="1" x14ac:dyDescent="0.2">
      <c r="B27" s="89">
        <v>43217</v>
      </c>
      <c r="C27" s="29">
        <v>18895</v>
      </c>
      <c r="D27" s="85">
        <f>SUM(C$5:C27)-(F27*G27)</f>
        <v>-93547</v>
      </c>
      <c r="E27" s="24">
        <f>SUM(C$5:C27)/G27</f>
        <v>35932.739130434784</v>
      </c>
      <c r="F27" s="30">
        <f t="shared" si="0"/>
        <v>40000</v>
      </c>
      <c r="G27" s="20">
        <v>23</v>
      </c>
      <c r="H27" s="89">
        <v>43217</v>
      </c>
      <c r="I27" s="12">
        <v>15977</v>
      </c>
      <c r="J27" s="85">
        <f>SUM(I$5:I27)-(L27*G27)</f>
        <v>57605</v>
      </c>
      <c r="K27" s="10">
        <f>SUM(I$5:I27)/G27</f>
        <v>26504.565217391304</v>
      </c>
      <c r="L27" s="10">
        <f t="shared" si="1"/>
        <v>24000</v>
      </c>
    </row>
    <row r="28" spans="2:12" ht="20.100000000000001" customHeight="1" x14ac:dyDescent="0.2">
      <c r="B28" s="89">
        <v>43218</v>
      </c>
      <c r="C28" s="29">
        <v>50683</v>
      </c>
      <c r="D28" s="85">
        <f>SUM(C$5:C28)-(F28*G28)</f>
        <v>-82864</v>
      </c>
      <c r="E28" s="24">
        <f>SUM(C$5:C28)/G28</f>
        <v>36547.333333333336</v>
      </c>
      <c r="F28" s="30">
        <f t="shared" si="0"/>
        <v>40000</v>
      </c>
      <c r="G28" s="20">
        <v>24</v>
      </c>
      <c r="H28" s="89">
        <v>43218</v>
      </c>
      <c r="I28" s="12">
        <v>54810</v>
      </c>
      <c r="J28" s="85">
        <f>SUM(I$5:I28)-(L28*G28)</f>
        <v>88415</v>
      </c>
      <c r="K28" s="10">
        <f>SUM(I$5:I28)/G28</f>
        <v>27683.958333333332</v>
      </c>
      <c r="L28" s="10">
        <f t="shared" si="1"/>
        <v>24000</v>
      </c>
    </row>
    <row r="29" spans="2:12" ht="20.100000000000001" customHeight="1" x14ac:dyDescent="0.2">
      <c r="B29" s="89">
        <v>43220</v>
      </c>
      <c r="C29" s="29">
        <v>56813</v>
      </c>
      <c r="D29" s="85">
        <f>SUM(C$5:C29)-(F29*G29)</f>
        <v>-66051</v>
      </c>
      <c r="E29" s="24">
        <f>SUM(C$5:C29)/G29</f>
        <v>37357.96</v>
      </c>
      <c r="F29" s="30">
        <f t="shared" si="0"/>
        <v>40000</v>
      </c>
      <c r="G29" s="20">
        <v>25</v>
      </c>
      <c r="H29" s="89">
        <v>43220</v>
      </c>
      <c r="I29" s="12">
        <v>36080</v>
      </c>
      <c r="J29" s="85">
        <f>SUM(I$5:I29)-(L29*G29)</f>
        <v>100495</v>
      </c>
      <c r="K29" s="10">
        <f>SUM(I$5:I29)/G29</f>
        <v>28019.8</v>
      </c>
      <c r="L29" s="10">
        <f t="shared" si="1"/>
        <v>24000</v>
      </c>
    </row>
    <row r="30" spans="2:12" ht="20.100000000000001" customHeight="1" x14ac:dyDescent="0.2">
      <c r="B30" s="19" t="s">
        <v>8</v>
      </c>
      <c r="C30" s="12">
        <f>SUM(C5:C29)</f>
        <v>933949</v>
      </c>
      <c r="D30" s="86"/>
      <c r="E30" s="23"/>
      <c r="F30" s="30">
        <v>1000000</v>
      </c>
      <c r="G30" s="18"/>
      <c r="H30" s="11" t="s">
        <v>8</v>
      </c>
      <c r="I30" s="12">
        <f>SUM(I5:I29)</f>
        <v>700495</v>
      </c>
      <c r="J30" s="8"/>
      <c r="K30" s="8"/>
      <c r="L30" s="10">
        <v>600000</v>
      </c>
    </row>
    <row r="31" spans="2:12" ht="19.5" customHeight="1" x14ac:dyDescent="0.2"/>
    <row r="32" spans="2:12" ht="19.5" customHeight="1" x14ac:dyDescent="0.2"/>
    <row r="34" spans="1:12" x14ac:dyDescent="0.2">
      <c r="A34" s="156"/>
      <c r="B34" s="156"/>
      <c r="C34" s="156"/>
      <c r="D34" s="156"/>
      <c r="I34" s="34"/>
      <c r="J34" s="32"/>
    </row>
    <row r="35" spans="1:12" x14ac:dyDescent="0.2">
      <c r="L35" s="33"/>
    </row>
  </sheetData>
  <mergeCells count="5">
    <mergeCell ref="B1:F2"/>
    <mergeCell ref="H1:L2"/>
    <mergeCell ref="B3:F3"/>
    <mergeCell ref="H3:L3"/>
    <mergeCell ref="A34:D34"/>
  </mergeCells>
  <conditionalFormatting sqref="J5:J12 D6:D12 J18:J22 D18:D22 J29:J30 D29">
    <cfRule type="cellIs" dxfId="382" priority="13" stopIfTrue="1" operator="lessThan">
      <formula>0</formula>
    </cfRule>
  </conditionalFormatting>
  <conditionalFormatting sqref="D5">
    <cfRule type="cellIs" dxfId="381" priority="12" stopIfTrue="1" operator="lessThan">
      <formula>0</formula>
    </cfRule>
  </conditionalFormatting>
  <conditionalFormatting sqref="D17 J17">
    <cfRule type="cellIs" dxfId="380" priority="11" stopIfTrue="1" operator="lessThan">
      <formula>0</formula>
    </cfRule>
  </conditionalFormatting>
  <conditionalFormatting sqref="D16 J16">
    <cfRule type="cellIs" dxfId="379" priority="10" stopIfTrue="1" operator="lessThan">
      <formula>0</formula>
    </cfRule>
  </conditionalFormatting>
  <conditionalFormatting sqref="D15 J15">
    <cfRule type="cellIs" dxfId="378" priority="9" stopIfTrue="1" operator="lessThan">
      <formula>0</formula>
    </cfRule>
  </conditionalFormatting>
  <conditionalFormatting sqref="D14 J14">
    <cfRule type="cellIs" dxfId="377" priority="8" stopIfTrue="1" operator="lessThan">
      <formula>0</formula>
    </cfRule>
  </conditionalFormatting>
  <conditionalFormatting sqref="D13 J13">
    <cfRule type="cellIs" dxfId="376" priority="7" stopIfTrue="1" operator="lessThan">
      <formula>0</formula>
    </cfRule>
  </conditionalFormatting>
  <conditionalFormatting sqref="D23 J23">
    <cfRule type="cellIs" dxfId="375" priority="6" stopIfTrue="1" operator="lessThan">
      <formula>0</formula>
    </cfRule>
  </conditionalFormatting>
  <conditionalFormatting sqref="D24 J24">
    <cfRule type="cellIs" dxfId="374" priority="5" stopIfTrue="1" operator="lessThan">
      <formula>0</formula>
    </cfRule>
  </conditionalFormatting>
  <conditionalFormatting sqref="D25 J25">
    <cfRule type="cellIs" dxfId="373" priority="4" stopIfTrue="1" operator="lessThan">
      <formula>0</formula>
    </cfRule>
  </conditionalFormatting>
  <conditionalFormatting sqref="D28 J28">
    <cfRule type="cellIs" dxfId="372" priority="3" stopIfTrue="1" operator="lessThan">
      <formula>0</formula>
    </cfRule>
  </conditionalFormatting>
  <conditionalFormatting sqref="D26 J26">
    <cfRule type="cellIs" dxfId="371" priority="2" stopIfTrue="1" operator="lessThan">
      <formula>0</formula>
    </cfRule>
  </conditionalFormatting>
  <conditionalFormatting sqref="D27 J27">
    <cfRule type="cellIs" dxfId="370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38">
    <tabColor rgb="FF92D050"/>
  </sheetPr>
  <dimension ref="B1:L31"/>
  <sheetViews>
    <sheetView topLeftCell="A11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41276</v>
      </c>
      <c r="C4" s="24">
        <v>84282</v>
      </c>
      <c r="D4" s="25">
        <f>(SUM(C4:C4)-(F4*1))</f>
        <v>38827.454545454544</v>
      </c>
      <c r="E4" s="24">
        <f>C4/1</f>
        <v>84282</v>
      </c>
      <c r="F4" s="30">
        <f t="shared" ref="F4:F25" si="0">$F$26/$G$25</f>
        <v>45454.545454545456</v>
      </c>
      <c r="G4" s="20">
        <v>1</v>
      </c>
      <c r="H4" s="19">
        <v>41276</v>
      </c>
      <c r="I4" s="12">
        <v>29850</v>
      </c>
      <c r="J4" s="10">
        <f>(SUM(I4:I4)-(L4*1))</f>
        <v>-5150</v>
      </c>
      <c r="K4" s="10">
        <f>I4/1</f>
        <v>29850</v>
      </c>
      <c r="L4" s="10">
        <f t="shared" ref="L4:L25" si="1">$L$26/$G$25</f>
        <v>35000</v>
      </c>
    </row>
    <row r="5" spans="2:12" ht="20.100000000000001" customHeight="1" x14ac:dyDescent="0.2">
      <c r="B5" s="19">
        <v>41277</v>
      </c>
      <c r="C5" s="26">
        <v>35386</v>
      </c>
      <c r="D5" s="25">
        <f>(SUM(C$4:C5)-(F5*G5))</f>
        <v>28758.909090909088</v>
      </c>
      <c r="E5" s="24">
        <f>SUM(C$4:C5)/G5</f>
        <v>59834</v>
      </c>
      <c r="F5" s="30">
        <f t="shared" si="0"/>
        <v>45454.545454545456</v>
      </c>
      <c r="G5" s="20">
        <f>G4+1</f>
        <v>2</v>
      </c>
      <c r="H5" s="19">
        <v>41277</v>
      </c>
      <c r="I5" s="21">
        <v>45387</v>
      </c>
      <c r="J5" s="10">
        <f>SUM(I$4:I5)-(L5*G5)</f>
        <v>5237</v>
      </c>
      <c r="K5" s="10">
        <f>SUM(I$4:I5)/G5</f>
        <v>37618.5</v>
      </c>
      <c r="L5" s="10">
        <f t="shared" si="1"/>
        <v>35000</v>
      </c>
    </row>
    <row r="6" spans="2:12" ht="20.100000000000001" customHeight="1" x14ac:dyDescent="0.2">
      <c r="B6" s="19">
        <v>41278</v>
      </c>
      <c r="C6" s="24">
        <v>76247</v>
      </c>
      <c r="D6" s="25">
        <f>(SUM(C$4:C6)-(F6*G6))</f>
        <v>59551.363636363647</v>
      </c>
      <c r="E6" s="24">
        <f>SUM(C$4:C6)/G6</f>
        <v>65305</v>
      </c>
      <c r="F6" s="30">
        <f t="shared" si="0"/>
        <v>45454.545454545456</v>
      </c>
      <c r="G6" s="20">
        <f t="shared" ref="G6:G18" si="2">G5+1</f>
        <v>3</v>
      </c>
      <c r="H6" s="19">
        <v>41278</v>
      </c>
      <c r="I6" s="21">
        <v>37377</v>
      </c>
      <c r="J6" s="10">
        <f>SUM(I$4:I6)-(L6*G6)</f>
        <v>7614</v>
      </c>
      <c r="K6" s="10">
        <f>SUM(I$4:I6)/G6</f>
        <v>37538</v>
      </c>
      <c r="L6" s="10">
        <f t="shared" si="1"/>
        <v>35000</v>
      </c>
    </row>
    <row r="7" spans="2:12" ht="20.100000000000001" customHeight="1" x14ac:dyDescent="0.2">
      <c r="B7" s="19">
        <v>41281</v>
      </c>
      <c r="C7" s="24">
        <v>62136</v>
      </c>
      <c r="D7" s="25">
        <f>(SUM(C$4:C7)-(F7*G7))</f>
        <v>76232.818181818177</v>
      </c>
      <c r="E7" s="24">
        <f>SUM(C$4:C7)/G7</f>
        <v>64512.75</v>
      </c>
      <c r="F7" s="30">
        <f t="shared" si="0"/>
        <v>45454.545454545456</v>
      </c>
      <c r="G7" s="20">
        <v>4</v>
      </c>
      <c r="H7" s="19">
        <v>41281</v>
      </c>
      <c r="I7" s="21">
        <v>38374</v>
      </c>
      <c r="J7" s="10">
        <f>SUM(I$4:I7)-(L7*G7)</f>
        <v>10988</v>
      </c>
      <c r="K7" s="10">
        <f>SUM(I$4:I7)/G7</f>
        <v>37747</v>
      </c>
      <c r="L7" s="10">
        <f t="shared" si="1"/>
        <v>35000</v>
      </c>
    </row>
    <row r="8" spans="2:12" ht="20.100000000000001" customHeight="1" x14ac:dyDescent="0.2">
      <c r="B8" s="19">
        <v>41282</v>
      </c>
      <c r="C8" s="24">
        <v>52212</v>
      </c>
      <c r="D8" s="25">
        <f>(SUM(C$4:C8)-(F8*G8))</f>
        <v>82990.272727272706</v>
      </c>
      <c r="E8" s="24">
        <f>SUM(C$4:C8)/G8</f>
        <v>62052.6</v>
      </c>
      <c r="F8" s="30">
        <f t="shared" si="0"/>
        <v>45454.545454545456</v>
      </c>
      <c r="G8" s="20">
        <v>5</v>
      </c>
      <c r="H8" s="19">
        <v>41282</v>
      </c>
      <c r="I8" s="21">
        <v>31576</v>
      </c>
      <c r="J8" s="10">
        <f>SUM(I$4:I8)-(L8*G8)</f>
        <v>7564</v>
      </c>
      <c r="K8" s="10">
        <f>SUM(I$4:I8)/G8</f>
        <v>36512.800000000003</v>
      </c>
      <c r="L8" s="10">
        <f t="shared" si="1"/>
        <v>35000</v>
      </c>
    </row>
    <row r="9" spans="2:12" ht="19.5" customHeight="1" x14ac:dyDescent="0.2">
      <c r="B9" s="19">
        <v>41283</v>
      </c>
      <c r="C9" s="24">
        <v>15081</v>
      </c>
      <c r="D9" s="25">
        <f>(SUM(C$4:C9)-(F9*G9))</f>
        <v>52616.727272727294</v>
      </c>
      <c r="E9" s="24">
        <f>SUM(C$4:C9)/G9</f>
        <v>54224</v>
      </c>
      <c r="F9" s="30">
        <f t="shared" si="0"/>
        <v>45454.545454545456</v>
      </c>
      <c r="G9" s="20">
        <f t="shared" si="2"/>
        <v>6</v>
      </c>
      <c r="H9" s="19">
        <v>41283</v>
      </c>
      <c r="I9" s="21">
        <v>14972</v>
      </c>
      <c r="J9" s="10">
        <f>SUM(I$4:I9)-(L9*G9)</f>
        <v>-12464</v>
      </c>
      <c r="K9" s="10">
        <f>SUM(I$4:I9)/G9</f>
        <v>32922.666666666664</v>
      </c>
      <c r="L9" s="10">
        <f t="shared" si="1"/>
        <v>35000</v>
      </c>
    </row>
    <row r="10" spans="2:12" ht="20.100000000000001" customHeight="1" x14ac:dyDescent="0.2">
      <c r="B10" s="19">
        <v>41284</v>
      </c>
      <c r="C10" s="27">
        <v>32693</v>
      </c>
      <c r="D10" s="25">
        <f>(SUM(C$4:C10)-(F10*G10))</f>
        <v>39855.181818181823</v>
      </c>
      <c r="E10" s="24">
        <f>SUM(C$4:C10)/G10</f>
        <v>51148.142857142855</v>
      </c>
      <c r="F10" s="30">
        <f t="shared" si="0"/>
        <v>45454.545454545456</v>
      </c>
      <c r="G10" s="20">
        <f t="shared" si="2"/>
        <v>7</v>
      </c>
      <c r="H10" s="19">
        <v>41284</v>
      </c>
      <c r="I10" s="22">
        <v>31146</v>
      </c>
      <c r="J10" s="10">
        <f>SUM(I$4:I10)-(L10*G10)</f>
        <v>-16318</v>
      </c>
      <c r="K10" s="10">
        <f>SUM(I$4:I10)/G10</f>
        <v>32668.857142857141</v>
      </c>
      <c r="L10" s="10">
        <f t="shared" si="1"/>
        <v>35000</v>
      </c>
    </row>
    <row r="11" spans="2:12" ht="20.100000000000001" customHeight="1" x14ac:dyDescent="0.2">
      <c r="B11" s="19">
        <v>41285</v>
      </c>
      <c r="C11" s="27">
        <v>40010</v>
      </c>
      <c r="D11" s="25">
        <f>(SUM(C$4:C11)-(F11*G11))</f>
        <v>34410.636363636353</v>
      </c>
      <c r="E11" s="24">
        <f>SUM(C$4:C11)/G11</f>
        <v>49755.875</v>
      </c>
      <c r="F11" s="30">
        <f t="shared" si="0"/>
        <v>45454.545454545456</v>
      </c>
      <c r="G11" s="20">
        <f t="shared" si="2"/>
        <v>8</v>
      </c>
      <c r="H11" s="19">
        <v>41285</v>
      </c>
      <c r="I11" s="22">
        <v>48799</v>
      </c>
      <c r="J11" s="10">
        <f>SUM(I$4:I11)-(L11*G11)</f>
        <v>-2519</v>
      </c>
      <c r="K11" s="10">
        <f>SUM(I$4:I11)/G11</f>
        <v>34685.125</v>
      </c>
      <c r="L11" s="10">
        <f t="shared" si="1"/>
        <v>35000</v>
      </c>
    </row>
    <row r="12" spans="2:12" ht="20.100000000000001" customHeight="1" x14ac:dyDescent="0.2">
      <c r="B12" s="19">
        <v>41288</v>
      </c>
      <c r="C12" s="24">
        <v>37225</v>
      </c>
      <c r="D12" s="25">
        <f>(SUM(C$4:C12)-(F12*G12))</f>
        <v>26181.090909090883</v>
      </c>
      <c r="E12" s="24">
        <f>SUM(C$4:C12)/G12</f>
        <v>48363.555555555555</v>
      </c>
      <c r="F12" s="30">
        <f t="shared" si="0"/>
        <v>45454.545454545456</v>
      </c>
      <c r="G12" s="20">
        <v>9</v>
      </c>
      <c r="H12" s="19">
        <v>41288</v>
      </c>
      <c r="I12" s="21">
        <v>17135</v>
      </c>
      <c r="J12" s="10">
        <f>SUM(I$4:I12)-(L12*G12)</f>
        <v>-20384</v>
      </c>
      <c r="K12" s="10">
        <f>SUM(I$4:I12)/G12</f>
        <v>32735.111111111109</v>
      </c>
      <c r="L12" s="10">
        <f t="shared" si="1"/>
        <v>35000</v>
      </c>
    </row>
    <row r="13" spans="2:12" ht="20.100000000000001" customHeight="1" x14ac:dyDescent="0.2">
      <c r="B13" s="19">
        <v>41289</v>
      </c>
      <c r="C13" s="24">
        <v>27636</v>
      </c>
      <c r="D13" s="25">
        <f>(SUM(C$4:C13)-(F13*G13))</f>
        <v>8362.5454545454122</v>
      </c>
      <c r="E13" s="24">
        <f>SUM(C$4:C13)/G13</f>
        <v>46290.8</v>
      </c>
      <c r="F13" s="30">
        <f t="shared" si="0"/>
        <v>45454.545454545456</v>
      </c>
      <c r="G13" s="20">
        <f t="shared" si="2"/>
        <v>10</v>
      </c>
      <c r="H13" s="19">
        <v>41289</v>
      </c>
      <c r="I13" s="21">
        <v>46724</v>
      </c>
      <c r="J13" s="10">
        <f>SUM(I$4:I13)-(L13*G13)</f>
        <v>-8660</v>
      </c>
      <c r="K13" s="10">
        <f>SUM(I$4:I13)/G13</f>
        <v>34134</v>
      </c>
      <c r="L13" s="10">
        <f t="shared" si="1"/>
        <v>35000</v>
      </c>
    </row>
    <row r="14" spans="2:12" ht="20.100000000000001" customHeight="1" x14ac:dyDescent="0.2">
      <c r="B14" s="19">
        <v>41290</v>
      </c>
      <c r="C14" s="28">
        <v>17312</v>
      </c>
      <c r="D14" s="25">
        <f>(SUM(C$4:C14)-(F14*G14))</f>
        <v>-19780</v>
      </c>
      <c r="E14" s="24">
        <f>SUM(C$4:C14)/G14</f>
        <v>43656.36363636364</v>
      </c>
      <c r="F14" s="30">
        <f t="shared" si="0"/>
        <v>45454.545454545456</v>
      </c>
      <c r="G14" s="20">
        <f t="shared" si="2"/>
        <v>11</v>
      </c>
      <c r="H14" s="19">
        <v>41290</v>
      </c>
      <c r="I14" s="13">
        <v>17227</v>
      </c>
      <c r="J14" s="10">
        <f>SUM(I$4:I14)-(L14*G14)</f>
        <v>-26433</v>
      </c>
      <c r="K14" s="10">
        <f>SUM(I$4:I14)/G14</f>
        <v>32597</v>
      </c>
      <c r="L14" s="10">
        <f t="shared" si="1"/>
        <v>35000</v>
      </c>
    </row>
    <row r="15" spans="2:12" ht="20.100000000000001" customHeight="1" x14ac:dyDescent="0.2">
      <c r="B15" s="19">
        <v>41291</v>
      </c>
      <c r="C15" s="29">
        <v>32629</v>
      </c>
      <c r="D15" s="25">
        <f>(SUM(C$4:C15)-(F15*G15))</f>
        <v>-32605.545454545412</v>
      </c>
      <c r="E15" s="24">
        <f>SUM(C$4:C15)/G15</f>
        <v>42737.416666666664</v>
      </c>
      <c r="F15" s="30">
        <f t="shared" si="0"/>
        <v>45454.545454545456</v>
      </c>
      <c r="G15" s="20">
        <f t="shared" si="2"/>
        <v>12</v>
      </c>
      <c r="H15" s="19">
        <v>41291</v>
      </c>
      <c r="I15" s="21">
        <v>20093</v>
      </c>
      <c r="J15" s="10">
        <f>SUM(I$4:I15)-(L15*G15)</f>
        <v>-41340</v>
      </c>
      <c r="K15" s="10">
        <f>SUM(I$4:I15)/G15</f>
        <v>31555</v>
      </c>
      <c r="L15" s="10">
        <f t="shared" si="1"/>
        <v>35000</v>
      </c>
    </row>
    <row r="16" spans="2:12" ht="20.100000000000001" customHeight="1" x14ac:dyDescent="0.2">
      <c r="B16" s="19">
        <v>41292</v>
      </c>
      <c r="C16" s="29">
        <v>36559</v>
      </c>
      <c r="D16" s="25">
        <f>(SUM(C$4:C16)-(F16*G16))</f>
        <v>-41501.090909090941</v>
      </c>
      <c r="E16" s="24">
        <f>SUM(C$4:C16)/G16</f>
        <v>42262.153846153844</v>
      </c>
      <c r="F16" s="30">
        <f t="shared" si="0"/>
        <v>45454.545454545456</v>
      </c>
      <c r="G16" s="20">
        <f t="shared" si="2"/>
        <v>13</v>
      </c>
      <c r="H16" s="19">
        <v>41292</v>
      </c>
      <c r="I16" s="12">
        <v>13006</v>
      </c>
      <c r="J16" s="10">
        <f>SUM(I$4:I16)-(L16*G16)</f>
        <v>-63334</v>
      </c>
      <c r="K16" s="10">
        <f>SUM(I$4:I16)/G16</f>
        <v>30128.153846153848</v>
      </c>
      <c r="L16" s="10">
        <f t="shared" si="1"/>
        <v>35000</v>
      </c>
    </row>
    <row r="17" spans="2:12" ht="20.100000000000001" customHeight="1" x14ac:dyDescent="0.2">
      <c r="B17" s="19">
        <v>41295</v>
      </c>
      <c r="C17" s="29">
        <v>50479</v>
      </c>
      <c r="D17" s="25">
        <f>(SUM(C$4:C17)-(F17*G17))</f>
        <v>-36476.636363636353</v>
      </c>
      <c r="E17" s="24">
        <f>SUM(C$4:C17)/G17</f>
        <v>42849.071428571428</v>
      </c>
      <c r="F17" s="30">
        <f t="shared" si="0"/>
        <v>45454.545454545456</v>
      </c>
      <c r="G17" s="20">
        <f t="shared" si="2"/>
        <v>14</v>
      </c>
      <c r="H17" s="19">
        <v>41295</v>
      </c>
      <c r="I17" s="13">
        <v>32391</v>
      </c>
      <c r="J17" s="10">
        <f>SUM(I$4:I17)-(L17*G17)</f>
        <v>-65943</v>
      </c>
      <c r="K17" s="10">
        <f>SUM(I$4:I17)/G17</f>
        <v>30289.785714285714</v>
      </c>
      <c r="L17" s="10">
        <f t="shared" si="1"/>
        <v>35000</v>
      </c>
    </row>
    <row r="18" spans="2:12" ht="20.100000000000001" customHeight="1" x14ac:dyDescent="0.2">
      <c r="B18" s="19">
        <v>41296</v>
      </c>
      <c r="C18" s="29">
        <v>48412</v>
      </c>
      <c r="D18" s="25">
        <f>(SUM(C$4:C18)-(F18*G18))</f>
        <v>-33519.181818181882</v>
      </c>
      <c r="E18" s="24">
        <f>SUM(C$4:C18)/G18</f>
        <v>43219.933333333334</v>
      </c>
      <c r="F18" s="30">
        <f t="shared" si="0"/>
        <v>45454.545454545456</v>
      </c>
      <c r="G18" s="20">
        <f t="shared" si="2"/>
        <v>15</v>
      </c>
      <c r="H18" s="19">
        <v>41296</v>
      </c>
      <c r="I18" s="13">
        <v>37694</v>
      </c>
      <c r="J18" s="10">
        <f>SUM(I$4:I18)-(L18*G18)</f>
        <v>-63249</v>
      </c>
      <c r="K18" s="10">
        <f>SUM(I$4:I18)/G18</f>
        <v>30783.4</v>
      </c>
      <c r="L18" s="10">
        <f t="shared" si="1"/>
        <v>35000</v>
      </c>
    </row>
    <row r="19" spans="2:12" ht="20.100000000000001" customHeight="1" x14ac:dyDescent="0.2">
      <c r="B19" s="19">
        <v>41297</v>
      </c>
      <c r="C19" s="29">
        <v>37127</v>
      </c>
      <c r="D19" s="25">
        <f>(SUM(C$4:C19)-(F19*G19))</f>
        <v>-41846.727272727294</v>
      </c>
      <c r="E19" s="24">
        <f>SUM(C$4:C19)/G19</f>
        <v>42839.125</v>
      </c>
      <c r="F19" s="30">
        <f t="shared" si="0"/>
        <v>45454.545454545456</v>
      </c>
      <c r="G19" s="20">
        <v>16</v>
      </c>
      <c r="H19" s="19">
        <v>41297</v>
      </c>
      <c r="I19" s="12">
        <v>32697</v>
      </c>
      <c r="J19" s="10">
        <f>SUM(I$4:I19)-(L19*G19)</f>
        <v>-65552</v>
      </c>
      <c r="K19" s="10">
        <f>SUM(I$4:I19)/G19</f>
        <v>30903</v>
      </c>
      <c r="L19" s="10">
        <f t="shared" si="1"/>
        <v>35000</v>
      </c>
    </row>
    <row r="20" spans="2:12" ht="20.100000000000001" customHeight="1" x14ac:dyDescent="0.2">
      <c r="B20" s="19">
        <v>41298</v>
      </c>
      <c r="C20" s="29">
        <v>25594</v>
      </c>
      <c r="D20" s="25">
        <f>(SUM(C$4:C20)-(F20*G20))</f>
        <v>-61707.272727272706</v>
      </c>
      <c r="E20" s="24">
        <f>SUM(C$4:C20)/G20</f>
        <v>41824.705882352944</v>
      </c>
      <c r="F20" s="30">
        <f t="shared" si="0"/>
        <v>45454.545454545456</v>
      </c>
      <c r="G20" s="20">
        <v>17</v>
      </c>
      <c r="H20" s="19">
        <v>41298</v>
      </c>
      <c r="I20" s="12">
        <v>23659</v>
      </c>
      <c r="J20" s="10">
        <f>SUM(I$4:I20)-(L20*G20)</f>
        <v>-76893</v>
      </c>
      <c r="K20" s="10">
        <f>SUM(I$4:I20)/G20</f>
        <v>30476.882352941175</v>
      </c>
      <c r="L20" s="10">
        <f t="shared" si="1"/>
        <v>35000</v>
      </c>
    </row>
    <row r="21" spans="2:12" ht="20.100000000000001" customHeight="1" x14ac:dyDescent="0.2">
      <c r="B21" s="19">
        <v>41299</v>
      </c>
      <c r="C21" s="29">
        <v>53012</v>
      </c>
      <c r="D21" s="25">
        <f>(SUM(C$4:C21)-(F21*G21))</f>
        <v>-54149.818181818235</v>
      </c>
      <c r="E21" s="24">
        <f>SUM(C$4:C21)/G21</f>
        <v>42446.222222222219</v>
      </c>
      <c r="F21" s="30">
        <f t="shared" si="0"/>
        <v>45454.545454545456</v>
      </c>
      <c r="G21" s="20">
        <v>18</v>
      </c>
      <c r="H21" s="19">
        <v>41299</v>
      </c>
      <c r="I21" s="12">
        <v>30147</v>
      </c>
      <c r="J21" s="10">
        <f>SUM(I$4:I21)-(L21*G21)</f>
        <v>-81746</v>
      </c>
      <c r="K21" s="10">
        <f>SUM(I$4:I21)/G21</f>
        <v>30458.555555555555</v>
      </c>
      <c r="L21" s="10">
        <f t="shared" si="1"/>
        <v>35000</v>
      </c>
    </row>
    <row r="22" spans="2:12" ht="20.100000000000001" customHeight="1" x14ac:dyDescent="0.2">
      <c r="B22" s="19">
        <v>41302</v>
      </c>
      <c r="C22" s="29">
        <v>38099</v>
      </c>
      <c r="D22" s="25">
        <f>(SUM(C$4:C22)-(F22*G22))</f>
        <v>-61505.363636363647</v>
      </c>
      <c r="E22" s="24">
        <f>SUM(C$4:C22)/G22</f>
        <v>42217.42105263158</v>
      </c>
      <c r="F22" s="30">
        <f t="shared" si="0"/>
        <v>45454.545454545456</v>
      </c>
      <c r="G22" s="20">
        <v>19</v>
      </c>
      <c r="H22" s="19">
        <v>41302</v>
      </c>
      <c r="I22" s="12">
        <v>29712</v>
      </c>
      <c r="J22" s="10">
        <f>SUM(I$4:I22)-(L22*G22)</f>
        <v>-87034</v>
      </c>
      <c r="K22" s="10">
        <f>SUM(I$4:I22)/G22</f>
        <v>30419.263157894737</v>
      </c>
      <c r="L22" s="10">
        <f t="shared" si="1"/>
        <v>35000</v>
      </c>
    </row>
    <row r="23" spans="2:12" ht="20.100000000000001" customHeight="1" x14ac:dyDescent="0.2">
      <c r="B23" s="19">
        <v>41303</v>
      </c>
      <c r="C23" s="29">
        <v>39901</v>
      </c>
      <c r="D23" s="25">
        <f>(SUM(C$4:C23)-(F23*G23))</f>
        <v>-67058.909090909176</v>
      </c>
      <c r="E23" s="24">
        <f>SUM(C$4:C23)/G23</f>
        <v>42101.599999999999</v>
      </c>
      <c r="F23" s="30">
        <f t="shared" si="0"/>
        <v>45454.545454545456</v>
      </c>
      <c r="G23" s="20">
        <v>20</v>
      </c>
      <c r="H23" s="19">
        <v>41303</v>
      </c>
      <c r="I23" s="12">
        <v>30778</v>
      </c>
      <c r="J23" s="10">
        <f>SUM(I$4:I23)-(L23*G23)</f>
        <v>-91256</v>
      </c>
      <c r="K23" s="10">
        <f>SUM(I$4:I23)/G23</f>
        <v>30437.200000000001</v>
      </c>
      <c r="L23" s="10">
        <f t="shared" si="1"/>
        <v>35000</v>
      </c>
    </row>
    <row r="24" spans="2:12" ht="20.100000000000001" customHeight="1" x14ac:dyDescent="0.2">
      <c r="B24" s="19">
        <v>41304</v>
      </c>
      <c r="C24" s="29">
        <v>46675</v>
      </c>
      <c r="D24" s="25">
        <f>(SUM(C$4:C24)-(F24*G24))</f>
        <v>-65838.454545454588</v>
      </c>
      <c r="E24" s="24">
        <f>SUM(C$4:C24)/G24</f>
        <v>42319.380952380954</v>
      </c>
      <c r="F24" s="30">
        <f t="shared" si="0"/>
        <v>45454.545454545456</v>
      </c>
      <c r="G24" s="20">
        <v>21</v>
      </c>
      <c r="H24" s="19">
        <v>41304</v>
      </c>
      <c r="I24" s="12">
        <v>20678</v>
      </c>
      <c r="J24" s="10">
        <f>SUM(I$4:I24)-(L24*G24)</f>
        <v>-105578</v>
      </c>
      <c r="K24" s="10">
        <f>SUM(I$4:I24)/G24</f>
        <v>29972.476190476191</v>
      </c>
      <c r="L24" s="10">
        <f t="shared" si="1"/>
        <v>35000</v>
      </c>
    </row>
    <row r="25" spans="2:12" ht="20.100000000000001" customHeight="1" x14ac:dyDescent="0.2">
      <c r="B25" s="19">
        <v>41305</v>
      </c>
      <c r="C25" s="29">
        <v>11981</v>
      </c>
      <c r="D25" s="25">
        <f>(SUM(C$4:C25)-(F25*G25))</f>
        <v>-99312</v>
      </c>
      <c r="E25" s="24">
        <f>SUM(C$4:C25)/G25</f>
        <v>40940.36363636364</v>
      </c>
      <c r="F25" s="30">
        <f t="shared" si="0"/>
        <v>45454.545454545456</v>
      </c>
      <c r="G25" s="20">
        <v>22</v>
      </c>
      <c r="H25" s="19">
        <v>41305</v>
      </c>
      <c r="I25" s="12">
        <v>12720</v>
      </c>
      <c r="J25" s="10">
        <f>SUM(I$4:I25)-(L25*G25)</f>
        <v>-127858</v>
      </c>
      <c r="K25" s="10">
        <f>SUM(I$4:I25)/G25</f>
        <v>29188.272727272728</v>
      </c>
      <c r="L25" s="10">
        <f t="shared" si="1"/>
        <v>35000</v>
      </c>
    </row>
    <row r="26" spans="2:12" ht="20.100000000000001" customHeight="1" x14ac:dyDescent="0.2">
      <c r="B26" s="19" t="s">
        <v>8</v>
      </c>
      <c r="C26" s="12">
        <f>SUM(C4:C25)</f>
        <v>900688</v>
      </c>
      <c r="D26" s="23"/>
      <c r="E26" s="23"/>
      <c r="F26" s="30">
        <v>1000000</v>
      </c>
      <c r="G26" s="18"/>
      <c r="H26" s="11" t="s">
        <v>8</v>
      </c>
      <c r="I26" s="12">
        <f>SUM(I4:I25)</f>
        <v>642142</v>
      </c>
      <c r="J26" s="8"/>
      <c r="K26" s="8"/>
      <c r="L26" s="10">
        <v>770000</v>
      </c>
    </row>
    <row r="27" spans="2:12" ht="19.5" customHeight="1" x14ac:dyDescent="0.2"/>
    <row r="28" spans="2:12" ht="19.5" customHeight="1" x14ac:dyDescent="0.2"/>
    <row r="30" spans="2:12" x14ac:dyDescent="0.2">
      <c r="I30" s="34"/>
      <c r="J30" s="32"/>
    </row>
    <row r="31" spans="2:12" x14ac:dyDescent="0.2">
      <c r="L31" s="33"/>
    </row>
  </sheetData>
  <mergeCells count="4">
    <mergeCell ref="B1:F1"/>
    <mergeCell ref="H1:L1"/>
    <mergeCell ref="B2:F2"/>
    <mergeCell ref="H2:L2"/>
  </mergeCells>
  <conditionalFormatting sqref="D4:D25 J4:J26">
    <cfRule type="cellIs" dxfId="323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ACB8-4F76-4F61-9913-1B03DF8AA3EF}">
  <sheetPr codeName="Planilha65">
    <tabColor rgb="FF92D050"/>
  </sheetPr>
  <dimension ref="A1:AG42"/>
  <sheetViews>
    <sheetView zoomScale="90" zoomScaleNormal="90" zoomScaleSheetLayoutView="80" workbookViewId="0">
      <pane xSplit="15" ySplit="4" topLeftCell="P15" activePane="bottomRight" state="frozen"/>
      <selection activeCell="A31" sqref="A31"/>
      <selection pane="topRight" activeCell="A31" sqref="A31"/>
      <selection pane="bottomLeft" activeCell="A31" sqref="A31"/>
      <selection pane="bottomRight" activeCell="A31" sqref="A31"/>
    </sheetView>
  </sheetViews>
  <sheetFormatPr defaultColWidth="9.140625" defaultRowHeight="12.75" x14ac:dyDescent="0.2"/>
  <cols>
    <col min="1" max="1" width="2.28515625" style="6" customWidth="1"/>
    <col min="2" max="2" width="14.28515625" style="6" customWidth="1"/>
    <col min="3" max="3" width="14.42578125" style="9" bestFit="1" customWidth="1"/>
    <col min="4" max="4" width="14.42578125" style="87" customWidth="1"/>
    <col min="5" max="5" width="16.28515625" style="9" customWidth="1"/>
    <col min="6" max="6" width="13.28515625" style="9" customWidth="1"/>
    <col min="7" max="7" width="4.28515625" style="6" customWidth="1"/>
    <col min="8" max="8" width="13" style="6" customWidth="1"/>
    <col min="9" max="9" width="16.85546875" style="9" customWidth="1"/>
    <col min="10" max="10" width="14" style="9" customWidth="1"/>
    <col min="11" max="11" width="13.7109375" style="9" customWidth="1"/>
    <col min="12" max="12" width="12.85546875" style="9" customWidth="1"/>
    <col min="13" max="13" width="16.28515625" style="9" customWidth="1"/>
    <col min="14" max="14" width="18.42578125" style="99" customWidth="1"/>
    <col min="15" max="15" width="14.7109375" style="6" customWidth="1"/>
    <col min="16" max="16" width="10.85546875" style="6" bestFit="1" customWidth="1"/>
    <col min="17" max="18" width="9.140625" style="6"/>
    <col min="19" max="19" width="10.85546875" style="6" bestFit="1" customWidth="1"/>
    <col min="20" max="16384" width="9.140625" style="6"/>
  </cols>
  <sheetData>
    <row r="1" spans="2:33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  <c r="M1" s="184"/>
    </row>
    <row r="2" spans="2:33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  <c r="M2" s="185"/>
      <c r="P2" s="114"/>
      <c r="S2" s="114">
        <f ca="1">TODAY()</f>
        <v>45554</v>
      </c>
    </row>
    <row r="3" spans="2:33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  <c r="M3" s="123"/>
    </row>
    <row r="4" spans="2:33" s="18" customFormat="1" ht="20.100000000000001" customHeight="1" x14ac:dyDescent="0.25">
      <c r="B4" s="14" t="s">
        <v>0</v>
      </c>
      <c r="C4" s="15" t="s">
        <v>1</v>
      </c>
      <c r="D4" s="84" t="s">
        <v>2</v>
      </c>
      <c r="E4" s="15" t="s">
        <v>49</v>
      </c>
      <c r="F4" s="15" t="s">
        <v>50</v>
      </c>
      <c r="G4" s="17"/>
      <c r="H4" s="14" t="s">
        <v>0</v>
      </c>
      <c r="I4" s="15" t="s">
        <v>51</v>
      </c>
      <c r="J4" s="100" t="s">
        <v>1</v>
      </c>
      <c r="K4" s="15" t="s">
        <v>52</v>
      </c>
      <c r="L4" s="15" t="s">
        <v>49</v>
      </c>
      <c r="M4" s="15" t="s">
        <v>50</v>
      </c>
      <c r="N4" s="100" t="s">
        <v>53</v>
      </c>
    </row>
    <row r="5" spans="2:33" ht="20.100000000000001" customHeight="1" x14ac:dyDescent="0.2">
      <c r="B5" s="89">
        <v>45446</v>
      </c>
      <c r="C5" s="24">
        <v>34434</v>
      </c>
      <c r="D5" s="85">
        <f>SUM(C5:C5)-(F5*1)</f>
        <v>-17649.333333333336</v>
      </c>
      <c r="E5" s="24">
        <f>C5/1</f>
        <v>34434</v>
      </c>
      <c r="F5" s="30">
        <f>$F$29/G28</f>
        <v>52083.333333333336</v>
      </c>
      <c r="G5" s="20">
        <v>1</v>
      </c>
      <c r="H5" s="89">
        <v>45446</v>
      </c>
      <c r="I5" s="12"/>
      <c r="J5" s="12">
        <v>10386</v>
      </c>
      <c r="K5" s="85">
        <f>J5-I5</f>
        <v>10386</v>
      </c>
      <c r="L5" s="10">
        <f>J5/1</f>
        <v>10386</v>
      </c>
      <c r="M5" s="10">
        <f>$M$29/G28</f>
        <v>29166.666666666668</v>
      </c>
      <c r="N5" s="105">
        <f>SUM(J$5:J5)-(M5)</f>
        <v>-18780.666666666668</v>
      </c>
      <c r="O5" s="101">
        <f>IF(C5&gt;1,1,0)</f>
        <v>1</v>
      </c>
      <c r="P5" s="112">
        <f ca="1">S5-1</f>
        <v>45553</v>
      </c>
      <c r="Q5" s="113" t="s">
        <v>56</v>
      </c>
      <c r="R5" s="111" t="s">
        <v>2</v>
      </c>
      <c r="S5" s="112">
        <f ca="1">S2</f>
        <v>45554</v>
      </c>
      <c r="T5" s="113" t="s">
        <v>56</v>
      </c>
      <c r="U5" s="111" t="s">
        <v>2</v>
      </c>
      <c r="V5" s="112">
        <f ca="1">S5+1</f>
        <v>45555</v>
      </c>
      <c r="W5" s="113" t="s">
        <v>56</v>
      </c>
      <c r="X5" s="111" t="s">
        <v>2</v>
      </c>
      <c r="Y5" s="112">
        <f ca="1">V5+1</f>
        <v>45556</v>
      </c>
      <c r="Z5" s="113" t="s">
        <v>56</v>
      </c>
      <c r="AA5" s="111" t="s">
        <v>2</v>
      </c>
      <c r="AB5" s="112">
        <f ca="1">Y5+2</f>
        <v>45558</v>
      </c>
      <c r="AC5" s="113" t="s">
        <v>56</v>
      </c>
      <c r="AD5" s="111" t="s">
        <v>2</v>
      </c>
      <c r="AE5" s="112">
        <f ca="1">AB5+1</f>
        <v>45559</v>
      </c>
      <c r="AF5" s="113" t="s">
        <v>56</v>
      </c>
      <c r="AG5" s="111" t="s">
        <v>2</v>
      </c>
    </row>
    <row r="6" spans="2:33" ht="20.100000000000001" customHeight="1" x14ac:dyDescent="0.2">
      <c r="B6" s="89">
        <v>45447</v>
      </c>
      <c r="C6" s="24">
        <v>46797</v>
      </c>
      <c r="D6" s="85">
        <f>SUM(C$5:C6)-($F$5*G6)</f>
        <v>-22935.666666666672</v>
      </c>
      <c r="E6" s="24">
        <f>SUM(C$5:C6)/G6</f>
        <v>40615.5</v>
      </c>
      <c r="F6" s="24">
        <f>($F$29-$C$29)/G27</f>
        <v>7515.95652173913</v>
      </c>
      <c r="G6" s="20">
        <v>2</v>
      </c>
      <c r="H6" s="89">
        <v>45447</v>
      </c>
      <c r="I6" s="21"/>
      <c r="J6" s="21">
        <v>10976</v>
      </c>
      <c r="K6" s="85">
        <f>SUM(J$5:J6)-SUM(I$5:I6)</f>
        <v>21362</v>
      </c>
      <c r="L6" s="10">
        <f>SUM(J$5:J6)/G6</f>
        <v>10681</v>
      </c>
      <c r="M6" s="24">
        <f>($M$29-$J$29)/G27</f>
        <v>1355.4347826086957</v>
      </c>
      <c r="N6" s="105">
        <f>SUM(J$5:J6)-(M$5)*G6</f>
        <v>-36971.333333333336</v>
      </c>
      <c r="O6" s="116" t="s">
        <v>54</v>
      </c>
      <c r="P6" s="18"/>
      <c r="Q6" s="20"/>
      <c r="R6" s="18">
        <f>Q6-P6</f>
        <v>0</v>
      </c>
      <c r="S6" s="18"/>
      <c r="T6" s="20"/>
      <c r="U6" s="18">
        <f>S6-T6</f>
        <v>0</v>
      </c>
      <c r="V6" s="18"/>
      <c r="W6" s="20"/>
      <c r="X6" s="18">
        <f>V6-W6</f>
        <v>0</v>
      </c>
      <c r="Y6" s="18"/>
      <c r="Z6" s="20"/>
      <c r="AA6" s="18">
        <f>Y6-Z6</f>
        <v>0</v>
      </c>
      <c r="AB6" s="18"/>
      <c r="AC6" s="20"/>
      <c r="AD6" s="18">
        <f>AB6-AC6</f>
        <v>0</v>
      </c>
      <c r="AE6" s="18"/>
      <c r="AF6" s="20"/>
      <c r="AG6" s="18">
        <f>AE6-AF6</f>
        <v>0</v>
      </c>
    </row>
    <row r="7" spans="2:33" ht="19.5" customHeight="1" x14ac:dyDescent="0.2">
      <c r="B7" s="89">
        <v>45448</v>
      </c>
      <c r="C7" s="24">
        <v>57975</v>
      </c>
      <c r="D7" s="85">
        <f>SUM(C$5:C7)-($F$5*G7)</f>
        <v>-17044</v>
      </c>
      <c r="E7" s="24">
        <f>SUM(C$5:C7)/G7</f>
        <v>46402</v>
      </c>
      <c r="F7" s="24">
        <f>($F$29-$C$29)/G26</f>
        <v>7857.590909090909</v>
      </c>
      <c r="G7" s="20">
        <v>3</v>
      </c>
      <c r="H7" s="89">
        <v>45448</v>
      </c>
      <c r="I7" s="21"/>
      <c r="J7" s="21">
        <v>16444</v>
      </c>
      <c r="K7" s="85">
        <f>SUM(J$5:J7)-SUM(I$5:I7)</f>
        <v>37806</v>
      </c>
      <c r="L7" s="10">
        <f>SUM(J$5:J7)/G7</f>
        <v>12602</v>
      </c>
      <c r="M7" s="10">
        <f>($M$29-$J$29)/G26</f>
        <v>1417.0454545454545</v>
      </c>
      <c r="N7" s="105">
        <f>SUM(J$5:J7)-(M$5)*G7</f>
        <v>-49694</v>
      </c>
      <c r="O7" s="116" t="s">
        <v>55</v>
      </c>
      <c r="P7" s="18"/>
      <c r="Q7" s="20"/>
      <c r="R7" s="18">
        <f>Q7-P7</f>
        <v>0</v>
      </c>
      <c r="S7" s="18"/>
      <c r="T7" s="20"/>
      <c r="U7" s="18">
        <f>S7-T7</f>
        <v>0</v>
      </c>
      <c r="V7" s="18"/>
      <c r="W7" s="20"/>
      <c r="X7" s="18">
        <f>V7-W7</f>
        <v>0</v>
      </c>
      <c r="Y7" s="18"/>
      <c r="Z7" s="20"/>
      <c r="AA7" s="18">
        <f>Y7-Z7</f>
        <v>0</v>
      </c>
      <c r="AB7" s="18"/>
      <c r="AC7" s="20"/>
      <c r="AD7" s="18">
        <f>AB7-AC7</f>
        <v>0</v>
      </c>
      <c r="AE7" s="18"/>
      <c r="AF7" s="20"/>
      <c r="AG7" s="18">
        <f>AE7-AF7</f>
        <v>0</v>
      </c>
    </row>
    <row r="8" spans="2:33" ht="20.100000000000001" customHeight="1" x14ac:dyDescent="0.2">
      <c r="B8" s="89">
        <v>45449</v>
      </c>
      <c r="C8" s="24">
        <v>37047</v>
      </c>
      <c r="D8" s="85">
        <f>SUM(C$5:C8)-($F$5*G8)</f>
        <v>-32080.333333333343</v>
      </c>
      <c r="E8" s="24">
        <f>SUM(C$5:C8)/G8</f>
        <v>44063.25</v>
      </c>
      <c r="F8" s="24">
        <f>($F$29-$C$29)/G25</f>
        <v>8231.7619047619046</v>
      </c>
      <c r="G8" s="20">
        <v>4</v>
      </c>
      <c r="H8" s="89">
        <v>45449</v>
      </c>
      <c r="I8" s="22"/>
      <c r="J8" s="21">
        <v>8549</v>
      </c>
      <c r="K8" s="85">
        <f>SUM(J$5:J8)-SUM(I$5:I8)</f>
        <v>46355</v>
      </c>
      <c r="L8" s="10">
        <f>SUM(J$5:J8)/G8</f>
        <v>11588.75</v>
      </c>
      <c r="M8" s="10">
        <f>($M$29-$J$29)/G25</f>
        <v>1484.5238095238096</v>
      </c>
      <c r="N8" s="105">
        <f>SUM(J$5:J8)-(M$5)*G8</f>
        <v>-70311.666666666672</v>
      </c>
      <c r="O8" s="101"/>
    </row>
    <row r="9" spans="2:33" ht="20.100000000000001" customHeight="1" x14ac:dyDescent="0.2">
      <c r="B9" s="89">
        <v>45450</v>
      </c>
      <c r="C9" s="24">
        <v>51324</v>
      </c>
      <c r="D9" s="85">
        <f>SUM(C$5:C9)-($F$5*G9)</f>
        <v>-32839.666666666686</v>
      </c>
      <c r="E9" s="24">
        <f>SUM(C$5:C9)/G9</f>
        <v>45515.4</v>
      </c>
      <c r="F9" s="24">
        <f>($F$29-$C$29)/G24</f>
        <v>8643.35</v>
      </c>
      <c r="G9" s="20">
        <v>5</v>
      </c>
      <c r="H9" s="89">
        <v>45450</v>
      </c>
      <c r="I9" s="22"/>
      <c r="J9" s="22">
        <v>10473</v>
      </c>
      <c r="K9" s="85">
        <f>SUM(J$5:J9)-SUM(I$5:I9)</f>
        <v>56828</v>
      </c>
      <c r="L9" s="10">
        <f>SUM(J$5:J9)/G9</f>
        <v>11365.6</v>
      </c>
      <c r="M9" s="10">
        <f>($M$29-$J$29)/G24</f>
        <v>1558.75</v>
      </c>
      <c r="N9" s="105">
        <f>SUM(J$5:J9)-(M$5)*G9</f>
        <v>-89005.333333333343</v>
      </c>
      <c r="O9" s="101"/>
    </row>
    <row r="10" spans="2:33" ht="20.100000000000001" customHeight="1" x14ac:dyDescent="0.2">
      <c r="B10" s="89">
        <v>45451</v>
      </c>
      <c r="C10" s="24">
        <v>40748</v>
      </c>
      <c r="D10" s="85">
        <f>SUM(C$5:C10)-($F$5*G10)</f>
        <v>-44175</v>
      </c>
      <c r="E10" s="24">
        <f>SUM(C$5:C10)/G10</f>
        <v>44720.833333333336</v>
      </c>
      <c r="F10" s="24">
        <f>($F$29-$C$29)/G23</f>
        <v>9098.2631578947367</v>
      </c>
      <c r="G10" s="20">
        <v>6</v>
      </c>
      <c r="H10" s="89">
        <v>45451</v>
      </c>
      <c r="I10" s="21"/>
      <c r="J10" s="22">
        <v>37620</v>
      </c>
      <c r="K10" s="85">
        <f>SUM(J$5:J10)-SUM(I$5:I10)</f>
        <v>94448</v>
      </c>
      <c r="L10" s="10">
        <f>SUM(J$5:J10)/G10</f>
        <v>15741.333333333334</v>
      </c>
      <c r="M10" s="10">
        <f>($M$29-$J$29)/G23</f>
        <v>1640.7894736842106</v>
      </c>
      <c r="N10" s="105">
        <f>SUM(J$5:J10)-(M$5)*G10</f>
        <v>-80552</v>
      </c>
      <c r="O10" s="101"/>
    </row>
    <row r="11" spans="2:33" ht="20.100000000000001" customHeight="1" x14ac:dyDescent="0.2">
      <c r="B11" s="89">
        <v>45453</v>
      </c>
      <c r="C11" s="24">
        <v>46320</v>
      </c>
      <c r="D11" s="85">
        <f>SUM(C$5:C11)-($F$5*G11)</f>
        <v>-49938.333333333372</v>
      </c>
      <c r="E11" s="24">
        <f>SUM(C$5:C11)/G11</f>
        <v>44949.285714285717</v>
      </c>
      <c r="F11" s="24">
        <f>($F$29-$C$29)/G22</f>
        <v>9603.7222222222226</v>
      </c>
      <c r="G11" s="20">
        <v>7</v>
      </c>
      <c r="H11" s="89">
        <v>45453</v>
      </c>
      <c r="I11" s="13"/>
      <c r="J11" s="22">
        <v>40952</v>
      </c>
      <c r="K11" s="85">
        <f>SUM(J$5:J11)-SUM(I$5:I11)</f>
        <v>135400</v>
      </c>
      <c r="L11" s="10">
        <f>SUM(J$5:J11)/G11</f>
        <v>19342.857142857141</v>
      </c>
      <c r="M11" s="10">
        <f>($M$29-$J$29)/G22</f>
        <v>1731.9444444444443</v>
      </c>
      <c r="N11" s="105">
        <f>SUM(J$5:J11)-(M$5)*G11</f>
        <v>-68766.666666666686</v>
      </c>
      <c r="O11" s="101"/>
    </row>
    <row r="12" spans="2:33" ht="20.100000000000001" customHeight="1" x14ac:dyDescent="0.2">
      <c r="B12" s="89">
        <v>45454</v>
      </c>
      <c r="C12" s="12">
        <v>29304</v>
      </c>
      <c r="D12" s="85">
        <f>SUM(C$5:C12)-($F$5*G12)</f>
        <v>-72717.666666666686</v>
      </c>
      <c r="E12" s="24">
        <f>SUM(C$5:C12)/G12</f>
        <v>42993.625</v>
      </c>
      <c r="F12" s="24">
        <f>($F$29-$C$29)/G21</f>
        <v>10168.64705882353</v>
      </c>
      <c r="G12" s="20">
        <v>8</v>
      </c>
      <c r="H12" s="89">
        <v>45454</v>
      </c>
      <c r="I12" s="13"/>
      <c r="J12" s="12">
        <v>26469</v>
      </c>
      <c r="K12" s="85">
        <f>SUM(J$5:J12)-SUM(I$5:I12)</f>
        <v>161869</v>
      </c>
      <c r="L12" s="10">
        <f>SUM(J$5:J12)/G12</f>
        <v>20233.625</v>
      </c>
      <c r="M12" s="10">
        <f>($M$29-$J$29)/G21</f>
        <v>1833.8235294117646</v>
      </c>
      <c r="N12" s="105">
        <f>SUM(J$5:J12)-(M$5)*G12</f>
        <v>-71464.333333333343</v>
      </c>
    </row>
    <row r="13" spans="2:33" ht="20.100000000000001" customHeight="1" x14ac:dyDescent="0.25">
      <c r="B13" s="89">
        <v>45455</v>
      </c>
      <c r="C13" s="109">
        <v>31737</v>
      </c>
      <c r="D13" s="85">
        <f>SUM(C$5:C13)-($F$5*G13)</f>
        <v>-93064</v>
      </c>
      <c r="E13" s="24">
        <f>SUM(C$5:C13)/G13</f>
        <v>41742.888888888891</v>
      </c>
      <c r="F13" s="24">
        <f>($F$29-$C$29)/G20</f>
        <v>10804.1875</v>
      </c>
      <c r="G13" s="20">
        <v>9</v>
      </c>
      <c r="H13" s="89">
        <v>45455</v>
      </c>
      <c r="I13" s="13"/>
      <c r="J13" s="13">
        <v>41295</v>
      </c>
      <c r="K13" s="85">
        <f>SUM(J$5:J13)-SUM(I$5:I13)</f>
        <v>203164</v>
      </c>
      <c r="L13" s="10">
        <f>SUM(J$5:J13)/G13</f>
        <v>22573.777777777777</v>
      </c>
      <c r="M13" s="10">
        <f>($M$29-$J$29)/G20</f>
        <v>1948.4375</v>
      </c>
      <c r="N13" s="105">
        <f>SUM(J$5:J13)-(M$5)*G13</f>
        <v>-59336</v>
      </c>
      <c r="O13" s="98"/>
    </row>
    <row r="14" spans="2:33" ht="19.5" customHeight="1" x14ac:dyDescent="0.25">
      <c r="B14" s="89">
        <v>45456</v>
      </c>
      <c r="C14" s="109">
        <v>33630</v>
      </c>
      <c r="D14" s="85">
        <f>SUM(C$5:C14)-($F$5*G14)</f>
        <v>-111517.33333333337</v>
      </c>
      <c r="E14" s="24">
        <f>SUM(C$5:C14)/G14</f>
        <v>40931.599999999999</v>
      </c>
      <c r="F14" s="24">
        <f>($F$29-$C$29)/G19</f>
        <v>11524.466666666667</v>
      </c>
      <c r="G14" s="20">
        <v>10</v>
      </c>
      <c r="H14" s="89">
        <v>45456</v>
      </c>
      <c r="I14" s="13"/>
      <c r="J14" s="13">
        <v>39652</v>
      </c>
      <c r="K14" s="85">
        <f>SUM(J$5:J14)-SUM(I$5:I14)</f>
        <v>242816</v>
      </c>
      <c r="L14" s="10">
        <f>SUM(J$5:J14)/G14</f>
        <v>24281.599999999999</v>
      </c>
      <c r="M14" s="10">
        <f>($M$29-$J$29)/G19</f>
        <v>2078.3333333333335</v>
      </c>
      <c r="N14" s="105">
        <f>SUM(J$5:J14)-(M$5)*G14</f>
        <v>-48850.666666666686</v>
      </c>
      <c r="O14" s="98"/>
    </row>
    <row r="15" spans="2:33" ht="20.100000000000001" customHeight="1" x14ac:dyDescent="0.2">
      <c r="B15" s="89">
        <v>45457</v>
      </c>
      <c r="C15" s="24">
        <v>45812</v>
      </c>
      <c r="D15" s="85">
        <f>SUM(C$5:C15)-($F$5*G15)</f>
        <v>-117788.66666666674</v>
      </c>
      <c r="E15" s="24">
        <f>SUM(C$5:C15)/G15</f>
        <v>41375.272727272728</v>
      </c>
      <c r="F15" s="24">
        <f>($F$29-$C$29)/G18</f>
        <v>12347.642857142857</v>
      </c>
      <c r="G15" s="20">
        <v>11</v>
      </c>
      <c r="H15" s="89">
        <v>45457</v>
      </c>
      <c r="I15" s="21"/>
      <c r="J15" s="12">
        <v>50077</v>
      </c>
      <c r="K15" s="85">
        <f>SUM(J$5:J15)-SUM(I$5:I15)</f>
        <v>292893</v>
      </c>
      <c r="L15" s="10">
        <f>SUM(J$5:J15)/G15</f>
        <v>26626.636363636364</v>
      </c>
      <c r="M15" s="10">
        <f>($M$29-$J$29)/G18</f>
        <v>2226.7857142857142</v>
      </c>
      <c r="N15" s="105">
        <f>SUM(J$5:J15)-(M$5)*G15</f>
        <v>-27940.333333333372</v>
      </c>
      <c r="O15" s="101">
        <f t="shared" ref="O15:O28" si="0">IF(C15&gt;1,1,0)</f>
        <v>1</v>
      </c>
    </row>
    <row r="16" spans="2:33" ht="20.100000000000001" customHeight="1" x14ac:dyDescent="0.2">
      <c r="B16" s="89">
        <v>45458</v>
      </c>
      <c r="C16" s="24">
        <v>38241</v>
      </c>
      <c r="D16" s="85">
        <f>SUM(C$5:C16)-($F$5*G16)</f>
        <v>-131631</v>
      </c>
      <c r="E16" s="24">
        <f>SUM(C$5:C16)/G16</f>
        <v>41114.083333333336</v>
      </c>
      <c r="F16" s="24">
        <f>($F$29-$C$29)/G17</f>
        <v>13297.461538461539</v>
      </c>
      <c r="G16" s="20">
        <v>12</v>
      </c>
      <c r="H16" s="89">
        <v>45458</v>
      </c>
      <c r="I16" s="21"/>
      <c r="J16" s="12">
        <v>25465</v>
      </c>
      <c r="K16" s="85">
        <f>SUM(J$5:J16)-SUM(I$5:I16)</f>
        <v>318358</v>
      </c>
      <c r="L16" s="10">
        <f>SUM(J$5:J16)/G16</f>
        <v>26529.833333333332</v>
      </c>
      <c r="M16" s="10">
        <f>($M$29-$J$29)/G17</f>
        <v>2398.0769230769229</v>
      </c>
      <c r="N16" s="105">
        <f>SUM(J$5:J16)-(M$5)*G16</f>
        <v>-31642</v>
      </c>
      <c r="O16" s="82" t="s">
        <v>57</v>
      </c>
    </row>
    <row r="17" spans="1:33" ht="20.100000000000001" customHeight="1" x14ac:dyDescent="0.2">
      <c r="B17" s="89">
        <v>45460</v>
      </c>
      <c r="C17" s="24">
        <v>53924</v>
      </c>
      <c r="D17" s="85">
        <f>SUM(C$5:C17)-($F$5*G17)</f>
        <v>-129790.33333333337</v>
      </c>
      <c r="E17" s="24">
        <f>SUM(C$5:C17)/G17</f>
        <v>42099.461538461539</v>
      </c>
      <c r="F17" s="24">
        <f>($F$29-$C$29)/G16</f>
        <v>14405.583333333334</v>
      </c>
      <c r="G17" s="20">
        <v>13</v>
      </c>
      <c r="H17" s="89">
        <v>45460</v>
      </c>
      <c r="I17" s="21"/>
      <c r="J17" s="12">
        <v>43494</v>
      </c>
      <c r="K17" s="85">
        <f>SUM(J$5:J17)-SUM(I$5:I17)</f>
        <v>361852</v>
      </c>
      <c r="L17" s="10">
        <f>SUM(J$5:J17)/G17</f>
        <v>27834.76923076923</v>
      </c>
      <c r="M17" s="10">
        <f>($M$29-$J$29)/G16</f>
        <v>2597.9166666666665</v>
      </c>
      <c r="N17" s="105">
        <f>SUM(J$5:J17)-(M$5)*G17</f>
        <v>-17314.666666666686</v>
      </c>
      <c r="O17" s="82" t="s">
        <v>58</v>
      </c>
    </row>
    <row r="18" spans="1:33" ht="20.100000000000001" customHeight="1" x14ac:dyDescent="0.2">
      <c r="B18" s="89">
        <v>45461</v>
      </c>
      <c r="C18" s="24">
        <v>24472</v>
      </c>
      <c r="D18" s="85">
        <f>SUM(C$5:C18)-($F$5*G18)</f>
        <v>-157401.66666666674</v>
      </c>
      <c r="E18" s="24">
        <f>SUM(C$5:C18)/G18</f>
        <v>40840.357142857145</v>
      </c>
      <c r="F18" s="24">
        <f>($F$29-$C$29)/G15</f>
        <v>15715.181818181818</v>
      </c>
      <c r="G18" s="20">
        <v>14</v>
      </c>
      <c r="H18" s="89">
        <v>45461</v>
      </c>
      <c r="I18" s="12"/>
      <c r="J18" s="12">
        <v>21022</v>
      </c>
      <c r="K18" s="85">
        <f>SUM(J$5:J18)-SUM(I$5:I18)</f>
        <v>382874</v>
      </c>
      <c r="L18" s="10">
        <f>SUM(J$5:J18)/G18</f>
        <v>27348.142857142859</v>
      </c>
      <c r="M18" s="10">
        <f>($M$29-$J$29)/G15</f>
        <v>2834.090909090909</v>
      </c>
      <c r="N18" s="105">
        <f>SUM(J$5:J18)-(M$5)*G18</f>
        <v>-25459.333333333372</v>
      </c>
      <c r="O18" s="101">
        <f t="shared" si="0"/>
        <v>1</v>
      </c>
    </row>
    <row r="19" spans="1:33" ht="20.100000000000001" customHeight="1" x14ac:dyDescent="0.2">
      <c r="B19" s="89">
        <v>45462</v>
      </c>
      <c r="C19" s="24">
        <v>35999</v>
      </c>
      <c r="D19" s="85">
        <f>SUM(C$5:C19)-($F$5*G19)</f>
        <v>-173486</v>
      </c>
      <c r="E19" s="24">
        <f>SUM(C$5:C19)/G19</f>
        <v>40517.599999999999</v>
      </c>
      <c r="F19" s="24">
        <f>($F$29-$C$29)/G14</f>
        <v>17286.7</v>
      </c>
      <c r="G19" s="20">
        <v>15</v>
      </c>
      <c r="H19" s="89">
        <v>45462</v>
      </c>
      <c r="I19" s="12"/>
      <c r="J19" s="12">
        <v>18718</v>
      </c>
      <c r="K19" s="85">
        <f>SUM(J$5:J18)-SUM(I$5:I19)</f>
        <v>382874</v>
      </c>
      <c r="L19" s="10">
        <f>SUM(J$5:J18)/G19</f>
        <v>25524.933333333334</v>
      </c>
      <c r="M19" s="10">
        <f>($M$29-$J$29)/G14</f>
        <v>3117.5</v>
      </c>
      <c r="N19" s="105">
        <f>SUM(J$5:J18)-(M$5)*G19</f>
        <v>-54626</v>
      </c>
      <c r="O19" s="101">
        <f t="shared" si="0"/>
        <v>1</v>
      </c>
    </row>
    <row r="20" spans="1:33" ht="20.100000000000001" customHeight="1" x14ac:dyDescent="0.2">
      <c r="B20" s="89">
        <v>45463</v>
      </c>
      <c r="C20" s="24">
        <v>47688</v>
      </c>
      <c r="D20" s="85">
        <f>SUM(C$5:C20)-($F$5*G20)</f>
        <v>-177881.33333333337</v>
      </c>
      <c r="E20" s="24">
        <f>SUM(C$5:C20)/G20</f>
        <v>40965.75</v>
      </c>
      <c r="F20" s="24">
        <f>($F$29-$C$29)/G13</f>
        <v>19207.444444444445</v>
      </c>
      <c r="G20" s="20">
        <v>16</v>
      </c>
      <c r="H20" s="89">
        <v>45463</v>
      </c>
      <c r="I20" s="13"/>
      <c r="J20" s="12">
        <v>22522</v>
      </c>
      <c r="K20" s="85">
        <f>SUM(J$5:J20)-SUM(I$5:I20)</f>
        <v>424114</v>
      </c>
      <c r="L20" s="10">
        <f>SUM(J$5:J20)/G20</f>
        <v>26507.125</v>
      </c>
      <c r="M20" s="10">
        <f>($M$29-$J$29)/G13</f>
        <v>3463.8888888888887</v>
      </c>
      <c r="N20" s="105">
        <f>SUM(J$5:J20)-(M$5)*G20</f>
        <v>-42552.666666666686</v>
      </c>
      <c r="O20" s="101">
        <f t="shared" si="0"/>
        <v>1</v>
      </c>
    </row>
    <row r="21" spans="1:33" ht="20.100000000000001" customHeight="1" x14ac:dyDescent="0.25">
      <c r="B21" s="89">
        <v>45464</v>
      </c>
      <c r="C21" s="106">
        <v>65039</v>
      </c>
      <c r="D21" s="85">
        <f>SUM(C$5:C21)-($F$5*G21)</f>
        <v>-164925.66666666674</v>
      </c>
      <c r="E21" s="24">
        <f>SUM(C$5:C21)/G21</f>
        <v>42381.823529411762</v>
      </c>
      <c r="F21" s="24">
        <f>($F$29-$C$29)/G12</f>
        <v>21608.375</v>
      </c>
      <c r="G21" s="20">
        <v>17</v>
      </c>
      <c r="H21" s="89">
        <v>45464</v>
      </c>
      <c r="I21" s="13"/>
      <c r="J21" s="12">
        <v>15584</v>
      </c>
      <c r="K21" s="85">
        <f>SUM(J$5:J21)-SUM(I$5:I21)</f>
        <v>439698</v>
      </c>
      <c r="L21" s="10">
        <f>SUM(J$5:J21)/G21</f>
        <v>25864.588235294119</v>
      </c>
      <c r="M21" s="10">
        <f>($M$29-$J$29)/G12</f>
        <v>3896.875</v>
      </c>
      <c r="N21" s="105">
        <f>SUM(J$5:J21)-(M$5)*G21</f>
        <v>-56135.333333333372</v>
      </c>
      <c r="O21" s="101">
        <f t="shared" si="0"/>
        <v>1</v>
      </c>
    </row>
    <row r="22" spans="1:33" ht="20.100000000000001" customHeight="1" x14ac:dyDescent="0.25">
      <c r="B22" s="89">
        <v>45465</v>
      </c>
      <c r="C22" s="107">
        <v>64371</v>
      </c>
      <c r="D22" s="85">
        <f>SUM(C$5:C22)-($F$5*G22)</f>
        <v>-152638</v>
      </c>
      <c r="E22" s="24">
        <f>SUM(C$5:C22)/G22</f>
        <v>43603.444444444445</v>
      </c>
      <c r="F22" s="24">
        <f>($F$29-$C$29)/G11</f>
        <v>24695.285714285714</v>
      </c>
      <c r="G22" s="20">
        <v>18</v>
      </c>
      <c r="H22" s="89">
        <v>45465</v>
      </c>
      <c r="I22" s="12"/>
      <c r="J22" s="12">
        <v>13783</v>
      </c>
      <c r="K22" s="85">
        <f>SUM(J$5:J22)-SUM(I$5:I22)</f>
        <v>453481</v>
      </c>
      <c r="L22" s="10">
        <f>SUM(J$5:J22)/G22</f>
        <v>25193.388888888891</v>
      </c>
      <c r="M22" s="10">
        <f>($M$29-$J$29)/G11</f>
        <v>4453.5714285714284</v>
      </c>
      <c r="N22" s="105">
        <f>SUM(J$5:J22)-(M$5)*G22</f>
        <v>-71519</v>
      </c>
      <c r="O22" s="101">
        <f t="shared" si="0"/>
        <v>1</v>
      </c>
    </row>
    <row r="23" spans="1:33" ht="20.100000000000001" customHeight="1" x14ac:dyDescent="0.2">
      <c r="B23" s="89">
        <v>45467</v>
      </c>
      <c r="C23" s="24">
        <v>82346</v>
      </c>
      <c r="D23" s="85">
        <f>SUM(C$5:C23)-($F$5*G23)</f>
        <v>-122375.33333333337</v>
      </c>
      <c r="E23" s="24">
        <f>SUM(C$5:C23)/G23</f>
        <v>45642.526315789473</v>
      </c>
      <c r="F23" s="24">
        <f>($F$29-$C$29)/G10</f>
        <v>28811.166666666668</v>
      </c>
      <c r="G23" s="20">
        <v>19</v>
      </c>
      <c r="H23" s="89">
        <v>45467</v>
      </c>
      <c r="I23" s="12"/>
      <c r="J23" s="12">
        <v>34438</v>
      </c>
      <c r="K23" s="85">
        <f>SUM(J$5:J23)-SUM(I$5:I23)</f>
        <v>487919</v>
      </c>
      <c r="L23" s="10">
        <f>SUM(J$5:J23)/G23</f>
        <v>25679.947368421053</v>
      </c>
      <c r="M23" s="10">
        <f>($M$29-$J$29)/G10</f>
        <v>5195.833333333333</v>
      </c>
      <c r="N23" s="105">
        <f>SUM(J$5:J23)-(M$5)*G23</f>
        <v>-66247.666666666744</v>
      </c>
      <c r="O23" s="101">
        <f t="shared" si="0"/>
        <v>1</v>
      </c>
    </row>
    <row r="24" spans="1:33" ht="20.100000000000001" customHeight="1" x14ac:dyDescent="0.2">
      <c r="B24" s="89">
        <v>45468</v>
      </c>
      <c r="C24" s="24">
        <v>40025</v>
      </c>
      <c r="D24" s="85">
        <f>SUM(C$5:C24)-($F$5*G24)</f>
        <v>-134433.66666666674</v>
      </c>
      <c r="E24" s="24">
        <f>SUM(C$5:C24)/G24</f>
        <v>45361.65</v>
      </c>
      <c r="F24" s="24">
        <f>($F$29-$C$29)/G9</f>
        <v>34573.4</v>
      </c>
      <c r="G24" s="20">
        <v>20</v>
      </c>
      <c r="H24" s="89">
        <v>45468</v>
      </c>
      <c r="I24" s="12"/>
      <c r="J24" s="12">
        <v>32704</v>
      </c>
      <c r="K24" s="85">
        <f>SUM(J$5:J24)-SUM(I$5:I24)</f>
        <v>520623</v>
      </c>
      <c r="L24" s="10">
        <f>SUM(J$5:J24)/G24</f>
        <v>26031.15</v>
      </c>
      <c r="M24" s="10">
        <f>($M$29-$J$29)/G9</f>
        <v>6235</v>
      </c>
      <c r="N24" s="105">
        <f>SUM(J$5:J24)-(M$5)*G24</f>
        <v>-62710.333333333372</v>
      </c>
      <c r="O24" s="101">
        <f t="shared" si="0"/>
        <v>1</v>
      </c>
    </row>
    <row r="25" spans="1:33" ht="20.100000000000001" customHeight="1" x14ac:dyDescent="0.2">
      <c r="B25" s="89">
        <v>45469</v>
      </c>
      <c r="C25" s="24">
        <v>41399</v>
      </c>
      <c r="D25" s="85">
        <f>SUM(C$5:C25)-($F$5*G25)</f>
        <v>-145118</v>
      </c>
      <c r="E25" s="24">
        <f>SUM(C$5:C25)/G25</f>
        <v>45172.952380952382</v>
      </c>
      <c r="F25" s="24">
        <f>($F$29-$C$29)/G8</f>
        <v>43216.75</v>
      </c>
      <c r="G25" s="20">
        <v>21</v>
      </c>
      <c r="H25" s="89">
        <v>45469</v>
      </c>
      <c r="I25" s="12"/>
      <c r="J25" s="12">
        <v>35246</v>
      </c>
      <c r="K25" s="85">
        <f>SUM(J$5:J25)-SUM(I$5:I25)</f>
        <v>555869</v>
      </c>
      <c r="L25" s="10">
        <f>SUM(J$5:J25)/G25</f>
        <v>26469.952380952382</v>
      </c>
      <c r="M25" s="10">
        <f>($M$29-$J$29)/G8</f>
        <v>7793.75</v>
      </c>
      <c r="N25" s="105">
        <f>SUM(J$5:J25)-(M$5)*G25</f>
        <v>-56631</v>
      </c>
      <c r="O25" s="101">
        <f t="shared" si="0"/>
        <v>1</v>
      </c>
    </row>
    <row r="26" spans="1:33" ht="20.100000000000001" customHeight="1" x14ac:dyDescent="0.2">
      <c r="B26" s="89">
        <v>45470</v>
      </c>
      <c r="C26" s="24">
        <v>26230</v>
      </c>
      <c r="D26" s="85">
        <f>SUM(C$5:C26)-($F$5*G26)</f>
        <v>-170971.33333333349</v>
      </c>
      <c r="E26" s="24">
        <f>SUM(C$5:C26)/G26</f>
        <v>44311.909090909088</v>
      </c>
      <c r="F26" s="24">
        <f>($F$29-$C$29)/G7</f>
        <v>57622.333333333336</v>
      </c>
      <c r="G26" s="20">
        <v>22</v>
      </c>
      <c r="H26" s="89">
        <v>45470</v>
      </c>
      <c r="I26" s="12"/>
      <c r="J26" s="12">
        <v>45754</v>
      </c>
      <c r="K26" s="85">
        <f>SUM(J$5:J26)-SUM(I$5:I26)</f>
        <v>601623</v>
      </c>
      <c r="L26" s="10">
        <f>SUM(J$5:J26)/G26</f>
        <v>27346.5</v>
      </c>
      <c r="M26" s="10">
        <f>($M$29-$J$29)/G7</f>
        <v>10391.666666666666</v>
      </c>
      <c r="N26" s="105">
        <f>SUM(J$5:J26)-(M$5)*G26</f>
        <v>-40043.666666666744</v>
      </c>
      <c r="O26" s="101">
        <f t="shared" si="0"/>
        <v>1</v>
      </c>
    </row>
    <row r="27" spans="1:33" ht="20.100000000000001" customHeight="1" x14ac:dyDescent="0.2">
      <c r="B27" s="89">
        <v>45471</v>
      </c>
      <c r="C27" s="24">
        <v>43251</v>
      </c>
      <c r="D27" s="85">
        <f>SUM(C$5:C27)-($F$5*G27)</f>
        <v>-179803.66666666674</v>
      </c>
      <c r="E27" s="24">
        <f>SUM(C$5:C27)/G27</f>
        <v>44265.782608695656</v>
      </c>
      <c r="F27" s="24">
        <f>($F$29-$C$29)/G6</f>
        <v>86433.5</v>
      </c>
      <c r="G27" s="20">
        <v>23</v>
      </c>
      <c r="H27" s="89">
        <v>45471</v>
      </c>
      <c r="I27" s="12"/>
      <c r="J27" s="12">
        <v>35767</v>
      </c>
      <c r="K27" s="85">
        <f>SUM(J$5:J27)-SUM(I$5:I27)</f>
        <v>637390</v>
      </c>
      <c r="L27" s="10">
        <f>SUM(J$5:J27)/G27</f>
        <v>27712.608695652172</v>
      </c>
      <c r="M27" s="10">
        <f>($M$29-$J$29)/G6</f>
        <v>15587.5</v>
      </c>
      <c r="N27" s="105">
        <f>SUM(J$5:J27)-(M$5)*G27</f>
        <v>-33443.333333333372</v>
      </c>
      <c r="O27" s="101">
        <f t="shared" si="0"/>
        <v>1</v>
      </c>
    </row>
    <row r="28" spans="1:33" ht="20.100000000000001" customHeight="1" x14ac:dyDescent="0.2">
      <c r="B28" s="89">
        <v>45472</v>
      </c>
      <c r="C28" s="24">
        <v>59020</v>
      </c>
      <c r="D28" s="85">
        <f>SUM(C$5:C28)-($F$5*G28)</f>
        <v>-172867</v>
      </c>
      <c r="E28" s="24">
        <f>SUM(C$5:C28)/G28</f>
        <v>44880.541666666664</v>
      </c>
      <c r="F28" s="24">
        <f>($F$29-$C$29)/G5</f>
        <v>172867</v>
      </c>
      <c r="G28" s="20">
        <v>24</v>
      </c>
      <c r="H28" s="89">
        <v>45472</v>
      </c>
      <c r="I28" s="12"/>
      <c r="J28" s="12">
        <v>31435</v>
      </c>
      <c r="K28" s="85">
        <f>SUM(J$5:J28)-SUM(I$5:I28)</f>
        <v>668825</v>
      </c>
      <c r="L28" s="10">
        <f>SUM(J$5:J28)/G28</f>
        <v>27867.708333333332</v>
      </c>
      <c r="M28" s="10">
        <f>($M$29-$J$29)/G5</f>
        <v>31175</v>
      </c>
      <c r="N28" s="105">
        <f>SUM(J$5:J28)-(M$5)*G28</f>
        <v>-31175</v>
      </c>
      <c r="O28" s="101">
        <f t="shared" si="0"/>
        <v>1</v>
      </c>
    </row>
    <row r="29" spans="1:33" ht="20.100000000000001" customHeight="1" x14ac:dyDescent="0.2">
      <c r="B29" s="19" t="s">
        <v>8</v>
      </c>
      <c r="C29" s="12">
        <f>SUM(C5:C28)</f>
        <v>1077133</v>
      </c>
      <c r="D29" s="86"/>
      <c r="E29" s="23"/>
      <c r="F29" s="30">
        <v>1250000</v>
      </c>
      <c r="G29" s="18"/>
      <c r="H29" s="11" t="s">
        <v>8</v>
      </c>
      <c r="I29" s="12">
        <f>SUM(I5:I28)</f>
        <v>0</v>
      </c>
      <c r="J29" s="12">
        <f>SUM(J5:J28)</f>
        <v>668825</v>
      </c>
      <c r="K29" s="8"/>
      <c r="L29" s="8"/>
      <c r="M29" s="10">
        <v>700000</v>
      </c>
    </row>
    <row r="30" spans="1:33" ht="19.5" customHeight="1" x14ac:dyDescent="0.25">
      <c r="C30" s="110"/>
      <c r="F30" s="9">
        <f>E28*G28</f>
        <v>1077133</v>
      </c>
      <c r="J30" s="110"/>
      <c r="M30" s="9">
        <f>L28*G28</f>
        <v>668825</v>
      </c>
    </row>
    <row r="31" spans="1:33" s="99" customFormat="1" ht="19.5" customHeight="1" x14ac:dyDescent="0.25">
      <c r="A31" s="6"/>
      <c r="B31" s="6"/>
      <c r="C31" s="9"/>
      <c r="D31" s="104"/>
      <c r="E31" s="9"/>
      <c r="F31" s="9"/>
      <c r="G31" s="6"/>
      <c r="H31" s="6"/>
      <c r="I31" s="9"/>
      <c r="J31" s="9"/>
      <c r="K31" s="9"/>
      <c r="L31" s="9"/>
      <c r="M31" s="9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" x14ac:dyDescent="0.25">
      <c r="L32" s="103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</row>
    <row r="33" spans="1:33" s="99" customFormat="1" x14ac:dyDescent="0.2">
      <c r="A33" s="156"/>
      <c r="B33" s="156"/>
      <c r="C33" s="156"/>
      <c r="D33" s="156"/>
      <c r="E33" s="9"/>
      <c r="F33" s="9"/>
      <c r="G33" s="6"/>
      <c r="H33" s="6"/>
      <c r="I33" s="34"/>
      <c r="J33" s="34"/>
      <c r="K33" s="32"/>
      <c r="L33" s="9"/>
      <c r="M33" s="9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s="99" customFormat="1" x14ac:dyDescent="0.2">
      <c r="A34" s="6"/>
      <c r="B34" s="6"/>
      <c r="C34" s="9"/>
      <c r="D34" s="87"/>
      <c r="E34" s="9"/>
      <c r="F34" s="9"/>
      <c r="G34" s="6"/>
      <c r="H34" s="6"/>
      <c r="I34" s="9"/>
      <c r="J34" s="9"/>
      <c r="K34" s="9"/>
      <c r="L34" s="9"/>
      <c r="M34" s="33"/>
      <c r="O34" s="6"/>
    </row>
    <row r="35" spans="1:33" x14ac:dyDescent="0.2"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</row>
    <row r="37" spans="1:33" x14ac:dyDescent="0.2">
      <c r="B37" s="98"/>
      <c r="C37" s="6"/>
    </row>
    <row r="38" spans="1:33" x14ac:dyDescent="0.2">
      <c r="B38" s="98"/>
      <c r="C38" s="97"/>
    </row>
    <row r="39" spans="1:33" x14ac:dyDescent="0.2">
      <c r="B39" s="98"/>
    </row>
    <row r="40" spans="1:33" s="9" customFormat="1" x14ac:dyDescent="0.2">
      <c r="A40" s="6"/>
      <c r="B40" s="102"/>
      <c r="D40" s="87"/>
      <c r="G40" s="6"/>
      <c r="H40" s="6"/>
      <c r="N40" s="99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s="9" customFormat="1" x14ac:dyDescent="0.2">
      <c r="A41" s="6"/>
      <c r="B41" s="102"/>
      <c r="D41" s="87"/>
      <c r="G41" s="6"/>
      <c r="H41" s="6"/>
      <c r="N41" s="99"/>
      <c r="O41" s="6"/>
    </row>
    <row r="42" spans="1:33" x14ac:dyDescent="0.2"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</sheetData>
  <mergeCells count="5">
    <mergeCell ref="B1:F2"/>
    <mergeCell ref="H1:M2"/>
    <mergeCell ref="B3:F3"/>
    <mergeCell ref="H3:M3"/>
    <mergeCell ref="A33:D33"/>
  </mergeCells>
  <conditionalFormatting sqref="K29 K21 N21 D21 D6:D19 N6:N19 K5:K19">
    <cfRule type="cellIs" dxfId="369" priority="18" stopIfTrue="1" operator="lessThan">
      <formula>0</formula>
    </cfRule>
  </conditionalFormatting>
  <conditionalFormatting sqref="D5">
    <cfRule type="cellIs" dxfId="368" priority="17" stopIfTrue="1" operator="lessThan">
      <formula>0</formula>
    </cfRule>
  </conditionalFormatting>
  <conditionalFormatting sqref="N5">
    <cfRule type="cellIs" dxfId="367" priority="16" stopIfTrue="1" operator="lessThan">
      <formula>0</formula>
    </cfRule>
  </conditionalFormatting>
  <conditionalFormatting sqref="K20 N20 D20">
    <cfRule type="cellIs" dxfId="366" priority="15" stopIfTrue="1" operator="lessThan">
      <formula>0</formula>
    </cfRule>
  </conditionalFormatting>
  <conditionalFormatting sqref="D27 N27">
    <cfRule type="cellIs" dxfId="365" priority="14" stopIfTrue="1" operator="lessThan">
      <formula>0</formula>
    </cfRule>
  </conditionalFormatting>
  <conditionalFormatting sqref="K27">
    <cfRule type="cellIs" dxfId="364" priority="13" stopIfTrue="1" operator="lessThan">
      <formula>0</formula>
    </cfRule>
  </conditionalFormatting>
  <conditionalFormatting sqref="D22 N22">
    <cfRule type="cellIs" dxfId="363" priority="12" stopIfTrue="1" operator="lessThan">
      <formula>0</formula>
    </cfRule>
  </conditionalFormatting>
  <conditionalFormatting sqref="K22">
    <cfRule type="cellIs" dxfId="362" priority="11" stopIfTrue="1" operator="lessThan">
      <formula>0</formula>
    </cfRule>
  </conditionalFormatting>
  <conditionalFormatting sqref="D23 N23">
    <cfRule type="cellIs" dxfId="361" priority="10" stopIfTrue="1" operator="lessThan">
      <formula>0</formula>
    </cfRule>
  </conditionalFormatting>
  <conditionalFormatting sqref="K23">
    <cfRule type="cellIs" dxfId="360" priority="9" stopIfTrue="1" operator="lessThan">
      <formula>0</formula>
    </cfRule>
  </conditionalFormatting>
  <conditionalFormatting sqref="D24 N24">
    <cfRule type="cellIs" dxfId="359" priority="8" stopIfTrue="1" operator="lessThan">
      <formula>0</formula>
    </cfRule>
  </conditionalFormatting>
  <conditionalFormatting sqref="K24">
    <cfRule type="cellIs" dxfId="358" priority="7" stopIfTrue="1" operator="lessThan">
      <formula>0</formula>
    </cfRule>
  </conditionalFormatting>
  <conditionalFormatting sqref="D28 N28">
    <cfRule type="cellIs" dxfId="357" priority="6" stopIfTrue="1" operator="lessThan">
      <formula>0</formula>
    </cfRule>
  </conditionalFormatting>
  <conditionalFormatting sqref="K28">
    <cfRule type="cellIs" dxfId="356" priority="5" stopIfTrue="1" operator="lessThan">
      <formula>0</formula>
    </cfRule>
  </conditionalFormatting>
  <conditionalFormatting sqref="D26 N26">
    <cfRule type="cellIs" dxfId="355" priority="4" stopIfTrue="1" operator="lessThan">
      <formula>0</formula>
    </cfRule>
  </conditionalFormatting>
  <conditionalFormatting sqref="K26">
    <cfRule type="cellIs" dxfId="354" priority="3" stopIfTrue="1" operator="lessThan">
      <formula>0</formula>
    </cfRule>
  </conditionalFormatting>
  <conditionalFormatting sqref="D25 N25">
    <cfRule type="cellIs" dxfId="353" priority="2" stopIfTrue="1" operator="lessThan">
      <formula>0</formula>
    </cfRule>
  </conditionalFormatting>
  <conditionalFormatting sqref="K25">
    <cfRule type="cellIs" dxfId="352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78" orientation="landscape" r:id="rId1"/>
  <ignoredErrors>
    <ignoredError sqref="K19:L19 N19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0C14-4952-4FA7-AE25-298B0F7A428A}">
  <sheetPr codeName="Planilha67">
    <tabColor rgb="FF92D050"/>
  </sheetPr>
  <dimension ref="A1:AF42"/>
  <sheetViews>
    <sheetView zoomScale="90" zoomScaleNormal="90" zoomScaleSheetLayoutView="80" workbookViewId="0">
      <pane ySplit="4" topLeftCell="A21" activePane="bottomLeft" state="frozen"/>
      <selection activeCell="F40" sqref="F40:F41"/>
      <selection pane="bottomLeft" activeCell="M33" sqref="M33"/>
    </sheetView>
  </sheetViews>
  <sheetFormatPr defaultColWidth="9.140625" defaultRowHeight="12.75" x14ac:dyDescent="0.2"/>
  <cols>
    <col min="1" max="1" width="2.28515625" style="6" customWidth="1"/>
    <col min="2" max="2" width="14.28515625" style="6" customWidth="1"/>
    <col min="3" max="3" width="14.5703125" style="9" customWidth="1"/>
    <col min="4" max="4" width="14.42578125" style="87" customWidth="1"/>
    <col min="5" max="5" width="16.28515625" style="9" customWidth="1"/>
    <col min="6" max="6" width="13.28515625" style="9" customWidth="1"/>
    <col min="7" max="7" width="4.28515625" style="6" customWidth="1"/>
    <col min="8" max="8" width="13" style="6" customWidth="1"/>
    <col min="9" max="9" width="16.85546875" style="9" customWidth="1"/>
    <col min="10" max="10" width="14" style="9" customWidth="1"/>
    <col min="11" max="11" width="13.7109375" style="9" customWidth="1"/>
    <col min="12" max="12" width="12.85546875" style="9" customWidth="1"/>
    <col min="13" max="13" width="16.28515625" style="9" customWidth="1"/>
    <col min="14" max="14" width="18.42578125" style="99" bestFit="1" customWidth="1"/>
    <col min="15" max="15" width="10.85546875" style="6" bestFit="1" customWidth="1"/>
    <col min="16" max="17" width="9.140625" style="6"/>
    <col min="18" max="18" width="10.85546875" style="6" bestFit="1" customWidth="1"/>
    <col min="19" max="16384" width="9.140625" style="6"/>
  </cols>
  <sheetData>
    <row r="1" spans="2:32" ht="12.75" customHeight="1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  <c r="M1" s="184"/>
    </row>
    <row r="2" spans="2:32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  <c r="M2" s="185"/>
      <c r="O2" s="114"/>
      <c r="R2" s="114">
        <f ca="1">TODAY()</f>
        <v>45554</v>
      </c>
    </row>
    <row r="3" spans="2:32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  <c r="M3" s="123"/>
    </row>
    <row r="4" spans="2:32" s="18" customFormat="1" ht="20.100000000000001" customHeight="1" x14ac:dyDescent="0.25">
      <c r="B4" s="14" t="s">
        <v>0</v>
      </c>
      <c r="C4" s="15" t="s">
        <v>1</v>
      </c>
      <c r="D4" s="84" t="s">
        <v>2</v>
      </c>
      <c r="E4" s="15" t="s">
        <v>49</v>
      </c>
      <c r="F4" s="15" t="s">
        <v>50</v>
      </c>
      <c r="G4" s="17"/>
      <c r="H4" s="14" t="s">
        <v>0</v>
      </c>
      <c r="I4" s="15" t="s">
        <v>51</v>
      </c>
      <c r="J4" s="100" t="s">
        <v>1</v>
      </c>
      <c r="K4" s="15" t="s">
        <v>52</v>
      </c>
      <c r="L4" s="15" t="s">
        <v>49</v>
      </c>
      <c r="M4" s="15" t="s">
        <v>50</v>
      </c>
      <c r="N4" s="100" t="s">
        <v>53</v>
      </c>
    </row>
    <row r="5" spans="2:32" ht="20.100000000000001" customHeight="1" x14ac:dyDescent="0.2">
      <c r="B5" s="89">
        <v>45505</v>
      </c>
      <c r="C5" s="24">
        <v>45904</v>
      </c>
      <c r="D5" s="85">
        <f>SUM(C5:C5)-(F5*1)</f>
        <v>8866.9629629629635</v>
      </c>
      <c r="E5" s="24">
        <f>C5/1</f>
        <v>45904</v>
      </c>
      <c r="F5" s="30">
        <f>$F$32/G31</f>
        <v>37037.037037037036</v>
      </c>
      <c r="G5" s="20">
        <v>1</v>
      </c>
      <c r="H5" s="89">
        <v>45139</v>
      </c>
      <c r="I5" s="12"/>
      <c r="J5" s="12">
        <v>32456</v>
      </c>
      <c r="K5" s="85">
        <f>J5-I5</f>
        <v>32456</v>
      </c>
      <c r="L5" s="10">
        <f>J5/1</f>
        <v>32456</v>
      </c>
      <c r="M5" s="10">
        <f>$M$32/G31</f>
        <v>33333.333333333336</v>
      </c>
      <c r="N5" s="105">
        <f>SUM(J$5:J5)-(M5)</f>
        <v>-877.33333333333576</v>
      </c>
      <c r="O5" s="112">
        <f ca="1">R5-1</f>
        <v>45553</v>
      </c>
      <c r="P5" s="113" t="s">
        <v>56</v>
      </c>
      <c r="Q5" s="111" t="s">
        <v>2</v>
      </c>
      <c r="R5" s="112">
        <f ca="1">R2</f>
        <v>45554</v>
      </c>
      <c r="S5" s="113" t="s">
        <v>56</v>
      </c>
      <c r="T5" s="111" t="s">
        <v>2</v>
      </c>
      <c r="U5" s="112">
        <f ca="1">R5+1</f>
        <v>45555</v>
      </c>
      <c r="V5" s="113" t="s">
        <v>56</v>
      </c>
      <c r="W5" s="111" t="s">
        <v>2</v>
      </c>
      <c r="X5" s="112">
        <f ca="1">U5+1</f>
        <v>45556</v>
      </c>
      <c r="Y5" s="113" t="s">
        <v>56</v>
      </c>
      <c r="Z5" s="111" t="s">
        <v>2</v>
      </c>
      <c r="AA5" s="112">
        <f ca="1">X5+2</f>
        <v>45558</v>
      </c>
      <c r="AB5" s="113" t="s">
        <v>56</v>
      </c>
      <c r="AC5" s="111" t="s">
        <v>2</v>
      </c>
      <c r="AD5" s="112">
        <f ca="1">AA5+1</f>
        <v>45559</v>
      </c>
      <c r="AE5" s="113" t="s">
        <v>56</v>
      </c>
      <c r="AF5" s="111" t="s">
        <v>2</v>
      </c>
    </row>
    <row r="6" spans="2:32" ht="20.100000000000001" customHeight="1" x14ac:dyDescent="0.2">
      <c r="B6" s="89">
        <v>45506</v>
      </c>
      <c r="C6" s="24">
        <v>36017</v>
      </c>
      <c r="D6" s="85">
        <f>SUM(C$5:C6)-($F$5*G6)</f>
        <v>7846.925925925927</v>
      </c>
      <c r="E6" s="24">
        <f>SUM(C$5:C6)/G6</f>
        <v>40960.5</v>
      </c>
      <c r="F6" s="24">
        <f>($F$32-$C$32)/G30</f>
        <v>-4153.7692307692305</v>
      </c>
      <c r="G6" s="20">
        <v>2</v>
      </c>
      <c r="H6" s="89">
        <v>45140</v>
      </c>
      <c r="I6" s="21"/>
      <c r="J6" s="21">
        <v>32375</v>
      </c>
      <c r="K6" s="85">
        <f>SUM(J6:J$8)-SUM(I6:I$8)</f>
        <v>78072</v>
      </c>
      <c r="L6" s="10">
        <f>SUM(J$5:J6)/G6</f>
        <v>32415.5</v>
      </c>
      <c r="M6" s="24">
        <f>($M$32-$J$32)/G30</f>
        <v>5506.6153846153848</v>
      </c>
      <c r="N6" s="105">
        <f>SUM(J$5:J6)-(M$5)*G6</f>
        <v>-1835.6666666666715</v>
      </c>
      <c r="O6" s="18"/>
      <c r="P6" s="20"/>
      <c r="Q6" s="18">
        <f>P6-O6</f>
        <v>0</v>
      </c>
      <c r="R6" s="18"/>
      <c r="S6" s="20"/>
      <c r="T6" s="18">
        <f>R6-S6</f>
        <v>0</v>
      </c>
      <c r="U6" s="18"/>
      <c r="V6" s="20"/>
      <c r="W6" s="18">
        <f>U6-V6</f>
        <v>0</v>
      </c>
      <c r="X6" s="18"/>
      <c r="Y6" s="20"/>
      <c r="Z6" s="18">
        <f>X6-Y6</f>
        <v>0</v>
      </c>
      <c r="AA6" s="18"/>
      <c r="AB6" s="20"/>
      <c r="AC6" s="18">
        <f>AA6-AB6</f>
        <v>0</v>
      </c>
      <c r="AD6" s="18"/>
      <c r="AE6" s="20"/>
      <c r="AF6" s="18">
        <f>AD6-AE6</f>
        <v>0</v>
      </c>
    </row>
    <row r="7" spans="2:32" ht="19.5" customHeight="1" x14ac:dyDescent="0.2">
      <c r="B7" s="89">
        <v>45507</v>
      </c>
      <c r="C7" s="24">
        <v>12509</v>
      </c>
      <c r="D7" s="85">
        <f>SUM(C$5:C7)-($F$5*G7)</f>
        <v>-16681.111111111109</v>
      </c>
      <c r="E7" s="24">
        <f>SUM(C$5:C7)/G7</f>
        <v>31476.666666666668</v>
      </c>
      <c r="F7" s="24">
        <f>($F$32-$C$32)/G29</f>
        <v>-4319.92</v>
      </c>
      <c r="G7" s="20">
        <v>3</v>
      </c>
      <c r="H7" s="89">
        <v>45141</v>
      </c>
      <c r="I7" s="21"/>
      <c r="J7" s="21">
        <v>17481</v>
      </c>
      <c r="K7" s="85">
        <f>SUM(J7:J$8)-SUM(I7:I$8)</f>
        <v>45697</v>
      </c>
      <c r="L7" s="10">
        <f>SUM(J$5:J7)/G7</f>
        <v>27437.333333333332</v>
      </c>
      <c r="M7" s="10">
        <f>($M$32-$J$32)/G29</f>
        <v>5726.88</v>
      </c>
      <c r="N7" s="105">
        <f>SUM(J$5:J7)-(M$5)*G7</f>
        <v>-17688</v>
      </c>
      <c r="O7" s="18"/>
      <c r="P7" s="20"/>
      <c r="Q7" s="18">
        <f>P7-O7</f>
        <v>0</v>
      </c>
      <c r="R7" s="18"/>
      <c r="S7" s="20"/>
      <c r="T7" s="18">
        <f>R7-S7</f>
        <v>0</v>
      </c>
      <c r="U7" s="18"/>
      <c r="V7" s="20"/>
      <c r="W7" s="18">
        <f>U7-V7</f>
        <v>0</v>
      </c>
      <c r="X7" s="18"/>
      <c r="Y7" s="20"/>
      <c r="Z7" s="18">
        <f>X7-Y7</f>
        <v>0</v>
      </c>
      <c r="AA7" s="18"/>
      <c r="AB7" s="20"/>
      <c r="AC7" s="18">
        <f>AA7-AB7</f>
        <v>0</v>
      </c>
      <c r="AD7" s="18"/>
      <c r="AE7" s="20"/>
      <c r="AF7" s="18">
        <f>AD7-AE7</f>
        <v>0</v>
      </c>
    </row>
    <row r="8" spans="2:32" ht="20.100000000000001" customHeight="1" x14ac:dyDescent="0.2">
      <c r="B8" s="89">
        <v>45509</v>
      </c>
      <c r="C8" s="24">
        <v>42263</v>
      </c>
      <c r="D8" s="85">
        <f>SUM(C$5:C8)-($F$5*G8)</f>
        <v>-11455.148148148146</v>
      </c>
      <c r="E8" s="24">
        <f>SUM(C$5:C8)/G8</f>
        <v>34173.25</v>
      </c>
      <c r="F8" s="24">
        <f>($F$32-$C$32)/G28</f>
        <v>-4499.916666666667</v>
      </c>
      <c r="G8" s="20">
        <v>4</v>
      </c>
      <c r="H8" s="89">
        <v>45142</v>
      </c>
      <c r="I8" s="12"/>
      <c r="J8" s="12">
        <v>28216</v>
      </c>
      <c r="K8" s="85">
        <f>J8-I8</f>
        <v>28216</v>
      </c>
      <c r="L8" s="10">
        <f>SUM(J$5:J8)/G8</f>
        <v>27632</v>
      </c>
      <c r="M8" s="10">
        <f>($M$32-$J$32)/G28</f>
        <v>5965.5</v>
      </c>
      <c r="N8" s="105">
        <f>SUM(J$5:J8)-(M$5)*G8</f>
        <v>-22805.333333333343</v>
      </c>
    </row>
    <row r="9" spans="2:32" ht="20.100000000000001" customHeight="1" x14ac:dyDescent="0.2">
      <c r="B9" s="89">
        <v>45510</v>
      </c>
      <c r="C9" s="24">
        <v>23772</v>
      </c>
      <c r="D9" s="85">
        <f>SUM(C$5:C9)-($F$5*G9)</f>
        <v>-24720.185185185168</v>
      </c>
      <c r="E9" s="24">
        <f>SUM(C$5:C9)/G9</f>
        <v>32093</v>
      </c>
      <c r="F9" s="24">
        <f>($F$32-$C$32)/G27</f>
        <v>-4695.565217391304</v>
      </c>
      <c r="G9" s="20">
        <v>5</v>
      </c>
      <c r="H9" s="89">
        <v>45143</v>
      </c>
      <c r="I9" s="21"/>
      <c r="J9" s="21">
        <v>22235</v>
      </c>
      <c r="K9" s="85">
        <f>SUM(J$8:J9)-SUM(I$8:I9)</f>
        <v>50451</v>
      </c>
      <c r="L9" s="10">
        <f>SUM(J$5:J9)/G9</f>
        <v>26552.6</v>
      </c>
      <c r="M9" s="24">
        <f>($M$32-$J$32)/G27</f>
        <v>6224.869565217391</v>
      </c>
      <c r="N9" s="105">
        <f>SUM(J$5:J9)-(M$5)*G9</f>
        <v>-33903.666666666686</v>
      </c>
    </row>
    <row r="10" spans="2:32" ht="20.100000000000001" customHeight="1" x14ac:dyDescent="0.2">
      <c r="B10" s="89">
        <v>45511</v>
      </c>
      <c r="C10" s="24">
        <v>43277</v>
      </c>
      <c r="D10" s="85">
        <f>SUM(C$5:C10)-($F$5*G10)</f>
        <v>-18480.222222222219</v>
      </c>
      <c r="E10" s="24">
        <f>SUM(C$5:C10)/G10</f>
        <v>33957</v>
      </c>
      <c r="F10" s="24">
        <f>($F$32-$C$32)/G26</f>
        <v>-4909</v>
      </c>
      <c r="G10" s="20">
        <v>6</v>
      </c>
      <c r="H10" s="89">
        <v>45145</v>
      </c>
      <c r="I10" s="21"/>
      <c r="J10" s="21">
        <v>23138</v>
      </c>
      <c r="K10" s="85">
        <f>SUM(J$8:J10)-SUM(I$8:I10)</f>
        <v>73589</v>
      </c>
      <c r="L10" s="10">
        <f>SUM(J$5:J10)/G10</f>
        <v>25983.5</v>
      </c>
      <c r="M10" s="10">
        <f>($M$32-$J$32)/G26</f>
        <v>6507.818181818182</v>
      </c>
      <c r="N10" s="105">
        <f>SUM(J$5:J10)-(M$5)*G10</f>
        <v>-44099</v>
      </c>
    </row>
    <row r="11" spans="2:32" ht="20.100000000000001" customHeight="1" x14ac:dyDescent="0.2">
      <c r="B11" s="89">
        <v>45512</v>
      </c>
      <c r="C11" s="24">
        <v>32351</v>
      </c>
      <c r="D11" s="85">
        <f>SUM(C$5:C11)-($F$5*G11)</f>
        <v>-23166.25925925927</v>
      </c>
      <c r="E11" s="24">
        <f>SUM(C$5:C11)/G11</f>
        <v>33727.571428571428</v>
      </c>
      <c r="F11" s="24">
        <f>($F$32-$C$32)/G25</f>
        <v>-5142.7619047619046</v>
      </c>
      <c r="G11" s="20">
        <v>7</v>
      </c>
      <c r="H11" s="89">
        <v>45512</v>
      </c>
      <c r="I11" s="22"/>
      <c r="J11" s="21">
        <v>18302</v>
      </c>
      <c r="K11" s="85">
        <f>SUM(J$8:J11)-SUM(I$8:I11)</f>
        <v>91891</v>
      </c>
      <c r="L11" s="10">
        <f>SUM(J$5:J11)/G11</f>
        <v>24886.142857142859</v>
      </c>
      <c r="M11" s="10">
        <f>($M$32-$J$32)/G25</f>
        <v>6817.7142857142853</v>
      </c>
      <c r="N11" s="105">
        <f>SUM(J$5:J11)-(M$5)*G11</f>
        <v>-59130.333333333343</v>
      </c>
    </row>
    <row r="12" spans="2:32" ht="20.100000000000001" customHeight="1" x14ac:dyDescent="0.2">
      <c r="B12" s="89">
        <v>45513</v>
      </c>
      <c r="C12" s="24">
        <v>36796</v>
      </c>
      <c r="D12" s="85">
        <f>SUM(C$5:C12)-($F$5*G12)</f>
        <v>-23407.296296296292</v>
      </c>
      <c r="E12" s="24">
        <f>SUM(C$5:C12)/G12</f>
        <v>34111.125</v>
      </c>
      <c r="F12" s="24">
        <f>($F$32-$C$32)/G24</f>
        <v>-5399.9</v>
      </c>
      <c r="G12" s="20">
        <v>8</v>
      </c>
      <c r="H12" s="89">
        <v>45513</v>
      </c>
      <c r="I12" s="22"/>
      <c r="J12" s="22">
        <v>34607</v>
      </c>
      <c r="K12" s="85">
        <f>SUM(J$8:J12)-SUM(I$8:I12)</f>
        <v>126498</v>
      </c>
      <c r="L12" s="10">
        <f>SUM(J$5:J12)/G12</f>
        <v>26101.25</v>
      </c>
      <c r="M12" s="10">
        <f>($M$32-$J$32)/G24</f>
        <v>7158.6</v>
      </c>
      <c r="N12" s="105">
        <f>SUM(J$5:J12)-(M$5)*G12</f>
        <v>-57856.666666666686</v>
      </c>
    </row>
    <row r="13" spans="2:32" ht="20.100000000000001" customHeight="1" x14ac:dyDescent="0.2">
      <c r="B13" s="89">
        <v>45514</v>
      </c>
      <c r="C13" s="24">
        <v>25578</v>
      </c>
      <c r="D13" s="85">
        <f>SUM(C$5:C13)-($F$5*G13)</f>
        <v>-34866.333333333314</v>
      </c>
      <c r="E13" s="24">
        <f>SUM(C$5:C13)/G13</f>
        <v>33163</v>
      </c>
      <c r="F13" s="24">
        <f>($F$32-$C$32)/G23</f>
        <v>-5684.105263157895</v>
      </c>
      <c r="G13" s="20">
        <v>9</v>
      </c>
      <c r="H13" s="89">
        <v>45514</v>
      </c>
      <c r="I13" s="21"/>
      <c r="J13" s="22">
        <v>28028</v>
      </c>
      <c r="K13" s="85">
        <f>SUM(J$8:J13)-SUM(I$8:I13)</f>
        <v>154526</v>
      </c>
      <c r="L13" s="10">
        <f>SUM(J$5:J13)/G13</f>
        <v>26315.333333333332</v>
      </c>
      <c r="M13" s="10">
        <f>($M$32-$J$32)/G23</f>
        <v>7535.3684210526317</v>
      </c>
      <c r="N13" s="105">
        <f>SUM(J$5:J13)-(M$5)*G13</f>
        <v>-63162</v>
      </c>
    </row>
    <row r="14" spans="2:32" ht="20.100000000000001" customHeight="1" x14ac:dyDescent="0.2">
      <c r="B14" s="89">
        <v>45516</v>
      </c>
      <c r="C14" s="24">
        <v>56231</v>
      </c>
      <c r="D14" s="85">
        <f>SUM(C$5:C14)-($F$5*G14)</f>
        <v>-15672.370370370336</v>
      </c>
      <c r="E14" s="24">
        <f>SUM(C$5:C14)/G14</f>
        <v>35469.800000000003</v>
      </c>
      <c r="F14" s="24">
        <f>($F$32-$C$32)/G22</f>
        <v>-5999.8888888888887</v>
      </c>
      <c r="G14" s="20">
        <v>10</v>
      </c>
      <c r="H14" s="89">
        <v>45516</v>
      </c>
      <c r="I14" s="13"/>
      <c r="J14" s="22">
        <v>35455</v>
      </c>
      <c r="K14" s="85">
        <f>SUM(J$8:J14)-SUM(I$8:I14)</f>
        <v>189981</v>
      </c>
      <c r="L14" s="10">
        <f>SUM(J$5:J14)/G14</f>
        <v>27229.3</v>
      </c>
      <c r="M14" s="10">
        <f>($M$32-$J$32)/G22</f>
        <v>7954</v>
      </c>
      <c r="N14" s="105">
        <f>SUM(J$5:J14)-(M$5)*G14</f>
        <v>-61040.333333333372</v>
      </c>
    </row>
    <row r="15" spans="2:32" ht="19.5" customHeight="1" x14ac:dyDescent="0.2">
      <c r="B15" s="89">
        <v>45517</v>
      </c>
      <c r="C15" s="12">
        <v>46845</v>
      </c>
      <c r="D15" s="85">
        <f>SUM(C$5:C15)-($F$5*G15)</f>
        <v>-5864.407407407416</v>
      </c>
      <c r="E15" s="24">
        <f>SUM(C$5:C15)/G15</f>
        <v>36503.909090909088</v>
      </c>
      <c r="F15" s="24">
        <f>($F$32-$C$32)/G21</f>
        <v>-6352.8235294117649</v>
      </c>
      <c r="G15" s="20">
        <v>11</v>
      </c>
      <c r="H15" s="89">
        <v>45517</v>
      </c>
      <c r="I15" s="13"/>
      <c r="J15" s="12">
        <v>32622</v>
      </c>
      <c r="K15" s="85">
        <f>SUM(J$8:J15)-SUM(I$8:I15)</f>
        <v>222603</v>
      </c>
      <c r="L15" s="10">
        <f>SUM(J$5:J15)/G15</f>
        <v>27719.545454545456</v>
      </c>
      <c r="M15" s="10">
        <f>($M$32-$J$32)/G21</f>
        <v>8421.8823529411766</v>
      </c>
      <c r="N15" s="105">
        <f>SUM(J$5:J15)-(M$5)*G15</f>
        <v>-61751.666666666686</v>
      </c>
    </row>
    <row r="16" spans="2:32" ht="20.100000000000001" customHeight="1" x14ac:dyDescent="0.25">
      <c r="B16" s="89">
        <v>45518</v>
      </c>
      <c r="C16" s="109">
        <v>43094</v>
      </c>
      <c r="D16" s="85">
        <f>SUM(C$5:C16)-($F$5*G16)</f>
        <v>192.55555555556202</v>
      </c>
      <c r="E16" s="24">
        <f>SUM(C$5:C16)/G16</f>
        <v>37053.083333333336</v>
      </c>
      <c r="F16" s="24">
        <f>($F$32-$C$32)/G20</f>
        <v>-6749.875</v>
      </c>
      <c r="G16" s="20">
        <v>12</v>
      </c>
      <c r="H16" s="89">
        <v>45518</v>
      </c>
      <c r="I16" s="13"/>
      <c r="J16" s="13">
        <v>18722</v>
      </c>
      <c r="K16" s="85">
        <f>SUM(J$8:J16)-SUM(I$8:I16)</f>
        <v>241325</v>
      </c>
      <c r="L16" s="10">
        <f>SUM(J$5:J16)/G16</f>
        <v>26969.75</v>
      </c>
      <c r="M16" s="10">
        <f>($M$32-$J$32)/G20</f>
        <v>8948.25</v>
      </c>
      <c r="N16" s="105">
        <f>SUM(J$5:J16)-(M$5)*G16</f>
        <v>-76363</v>
      </c>
    </row>
    <row r="17" spans="2:32" ht="20.100000000000001" customHeight="1" x14ac:dyDescent="0.25">
      <c r="B17" s="89">
        <v>45519</v>
      </c>
      <c r="C17" s="109">
        <v>26071</v>
      </c>
      <c r="D17" s="85">
        <f>SUM(C$5:C17)-($F$5*G17)</f>
        <v>-10773.48148148146</v>
      </c>
      <c r="E17" s="24">
        <f>SUM(C$5:C17)/G17</f>
        <v>36208.307692307695</v>
      </c>
      <c r="F17" s="24">
        <f>($F$32-$C$32)/G19</f>
        <v>-7199.8666666666668</v>
      </c>
      <c r="G17" s="20">
        <v>13</v>
      </c>
      <c r="H17" s="89">
        <v>45519</v>
      </c>
      <c r="I17" s="13"/>
      <c r="J17" s="13">
        <v>33197</v>
      </c>
      <c r="K17" s="85">
        <f>SUM(J$8:J17)-SUM(I$8:I17)</f>
        <v>274522</v>
      </c>
      <c r="L17" s="10">
        <f>SUM(J$5:J17)/G17</f>
        <v>27448.76923076923</v>
      </c>
      <c r="M17" s="10">
        <f>($M$32-$J$32)/G19</f>
        <v>9544.7999999999993</v>
      </c>
      <c r="N17" s="105">
        <f>SUM(J$5:J17)-(M$5)*G17</f>
        <v>-76499.333333333372</v>
      </c>
    </row>
    <row r="18" spans="2:32" ht="20.100000000000001" customHeight="1" x14ac:dyDescent="0.2">
      <c r="B18" s="89">
        <v>45520</v>
      </c>
      <c r="C18" s="24">
        <v>30488</v>
      </c>
      <c r="D18" s="85">
        <f>SUM(C$5:C18)-($F$5*G18)</f>
        <v>-17322.51851851854</v>
      </c>
      <c r="E18" s="24">
        <f>SUM(C$5:C18)/G18</f>
        <v>35799.714285714283</v>
      </c>
      <c r="F18" s="24">
        <f>($F$32-$C$32)/G18</f>
        <v>-7714.1428571428569</v>
      </c>
      <c r="G18" s="20">
        <v>14</v>
      </c>
      <c r="H18" s="89">
        <v>45520</v>
      </c>
      <c r="I18" s="21"/>
      <c r="J18" s="12">
        <v>33764</v>
      </c>
      <c r="K18" s="85">
        <f>SUM(J$8:J18)-SUM(I$8:I18)</f>
        <v>308286</v>
      </c>
      <c r="L18" s="10">
        <f>SUM(J$5:J18)/G18</f>
        <v>27899.857142857141</v>
      </c>
      <c r="M18" s="10">
        <f>($M$32-$J$32)/G18</f>
        <v>10226.571428571429</v>
      </c>
      <c r="N18" s="105">
        <f>SUM(J$5:J18)-(M$5)*G18</f>
        <v>-76068.666666666686</v>
      </c>
    </row>
    <row r="19" spans="2:32" ht="20.100000000000001" customHeight="1" x14ac:dyDescent="0.2">
      <c r="B19" s="89">
        <v>45521</v>
      </c>
      <c r="C19" s="24">
        <v>27570</v>
      </c>
      <c r="D19" s="85">
        <f>SUM(C$5:C19)-($F$5*G19)</f>
        <v>-26789.555555555504</v>
      </c>
      <c r="E19" s="24">
        <f>SUM(C$5:C19)/G19</f>
        <v>35251.066666666666</v>
      </c>
      <c r="F19" s="24">
        <f>($F$32-$C$32)/G17</f>
        <v>-8307.538461538461</v>
      </c>
      <c r="G19" s="20">
        <v>15</v>
      </c>
      <c r="H19" s="89">
        <v>45521</v>
      </c>
      <c r="I19" s="21"/>
      <c r="J19" s="12">
        <v>51154</v>
      </c>
      <c r="K19" s="85">
        <f>SUM(J$8:J19)-SUM(I$8:I19)</f>
        <v>359440</v>
      </c>
      <c r="L19" s="10">
        <f>SUM(J$5:J19)/G19</f>
        <v>29450.133333333335</v>
      </c>
      <c r="M19" s="10">
        <f>($M$32-$J$32)/G17</f>
        <v>11013.23076923077</v>
      </c>
      <c r="N19" s="105">
        <f>SUM(J$5:J19)-(M$5)*G19</f>
        <v>-58248.000000000058</v>
      </c>
    </row>
    <row r="20" spans="2:32" ht="20.100000000000001" customHeight="1" x14ac:dyDescent="0.2">
      <c r="B20" s="89">
        <v>45523</v>
      </c>
      <c r="C20" s="24">
        <v>43860</v>
      </c>
      <c r="D20" s="85">
        <f>SUM(C$5:C20)-($F$5*G20)</f>
        <v>-19966.592592592584</v>
      </c>
      <c r="E20" s="24">
        <f>SUM(C$5:C20)/G20</f>
        <v>35789.125</v>
      </c>
      <c r="F20" s="24">
        <f>($F$32-$C$32)/G16</f>
        <v>-8999.8333333333339</v>
      </c>
      <c r="G20" s="20">
        <v>16</v>
      </c>
      <c r="H20" s="89">
        <v>45523</v>
      </c>
      <c r="I20" s="21"/>
      <c r="J20" s="12">
        <v>15564</v>
      </c>
      <c r="K20" s="85">
        <f>SUM(J$8:J20)-SUM(I$8:I20)</f>
        <v>375004</v>
      </c>
      <c r="L20" s="10">
        <f>SUM(J$5:J20)/G20</f>
        <v>28582.25</v>
      </c>
      <c r="M20" s="10">
        <f>($M$32-$J$32)/G16</f>
        <v>11931</v>
      </c>
      <c r="N20" s="105">
        <f>SUM(J$5:J20)-(M$5)*G20</f>
        <v>-76017.333333333372</v>
      </c>
    </row>
    <row r="21" spans="2:32" ht="20.100000000000001" customHeight="1" x14ac:dyDescent="0.2">
      <c r="B21" s="89">
        <v>45524</v>
      </c>
      <c r="C21" s="24">
        <v>41052</v>
      </c>
      <c r="D21" s="85">
        <f>SUM(C$5:C21)-($F$5*G21)</f>
        <v>-15951.629629629664</v>
      </c>
      <c r="E21" s="24">
        <f>SUM(C$5:C21)/G21</f>
        <v>36098.705882352944</v>
      </c>
      <c r="F21" s="24">
        <f>($F$32-$C$32)/G15</f>
        <v>-9818</v>
      </c>
      <c r="G21" s="20">
        <v>17</v>
      </c>
      <c r="H21" s="89">
        <v>45524</v>
      </c>
      <c r="I21" s="12"/>
      <c r="J21" s="12">
        <v>19162</v>
      </c>
      <c r="K21" s="85">
        <f>SUM(J$8:J21)-SUM(I$8:I21)</f>
        <v>394166</v>
      </c>
      <c r="L21" s="10">
        <f>SUM(J$5:J21)/G21</f>
        <v>28028.117647058825</v>
      </c>
      <c r="M21" s="10">
        <f>($M$32-$J$32)/G15</f>
        <v>13015.636363636364</v>
      </c>
      <c r="N21" s="105">
        <f>SUM(J$5:J21)-(M$5)*G21</f>
        <v>-90188.666666666744</v>
      </c>
    </row>
    <row r="22" spans="2:32" ht="20.100000000000001" customHeight="1" x14ac:dyDescent="0.2">
      <c r="B22" s="89">
        <v>45525</v>
      </c>
      <c r="C22" s="24">
        <v>62617</v>
      </c>
      <c r="D22" s="85">
        <f>SUM(C$5:C22)-($F$5*G22)</f>
        <v>9628.3333333333721</v>
      </c>
      <c r="E22" s="24">
        <f>SUM(C$5:C22)/G22</f>
        <v>37571.944444444445</v>
      </c>
      <c r="F22" s="24">
        <f>($F$32-$C$32)/G14</f>
        <v>-10799.8</v>
      </c>
      <c r="G22" s="20">
        <v>18</v>
      </c>
      <c r="H22" s="89">
        <v>45525</v>
      </c>
      <c r="I22" s="12"/>
      <c r="J22" s="12">
        <v>27221</v>
      </c>
      <c r="K22" s="85">
        <f>SUM(J$8:J22)-SUM(I$8:I22)</f>
        <v>421387</v>
      </c>
      <c r="L22" s="10">
        <f>SUM(J$5:J22)/G22</f>
        <v>27983.277777777777</v>
      </c>
      <c r="M22" s="10">
        <f>($M$32-$J$32)/G14</f>
        <v>14317.2</v>
      </c>
      <c r="N22" s="105">
        <f>SUM(J$5:J22)-(M$5)*G22</f>
        <v>-96301</v>
      </c>
    </row>
    <row r="23" spans="2:32" ht="20.100000000000001" customHeight="1" x14ac:dyDescent="0.25">
      <c r="B23" s="89">
        <v>45526</v>
      </c>
      <c r="C23" s="24">
        <v>41814</v>
      </c>
      <c r="D23" s="85">
        <f>SUM(C$5:C23)-($F$5*G23)</f>
        <v>14405.296296296292</v>
      </c>
      <c r="E23" s="24">
        <f>SUM(C$5:C23)/G23</f>
        <v>37795.210526315786</v>
      </c>
      <c r="F23" s="24">
        <f>($F$32-$C$32)/G13</f>
        <v>-11999.777777777777</v>
      </c>
      <c r="G23" s="20">
        <v>19</v>
      </c>
      <c r="H23" s="89">
        <v>45526</v>
      </c>
      <c r="I23" s="13"/>
      <c r="J23" s="106">
        <v>9023</v>
      </c>
      <c r="K23" s="85">
        <f>SUM(J$8:J23)-SUM(I$8:I23)</f>
        <v>430410</v>
      </c>
      <c r="L23" s="10">
        <f>SUM(J$5:J23)/G23</f>
        <v>26985.36842105263</v>
      </c>
      <c r="M23" s="10">
        <f>($M$32-$J$32)/G13</f>
        <v>15908</v>
      </c>
      <c r="N23" s="105">
        <f>SUM(J$5:J23)-(M$5)*G23</f>
        <v>-120611.33333333337</v>
      </c>
    </row>
    <row r="24" spans="2:32" ht="20.100000000000001" customHeight="1" x14ac:dyDescent="0.25">
      <c r="B24" s="89">
        <v>45527</v>
      </c>
      <c r="C24" s="31">
        <v>53968</v>
      </c>
      <c r="D24" s="85">
        <f>SUM(C$5:C24)-($F$5*G24)</f>
        <v>31336.259259259328</v>
      </c>
      <c r="E24" s="24">
        <f>SUM(C$5:C24)/G24</f>
        <v>38603.85</v>
      </c>
      <c r="F24" s="24">
        <f>($F$32-$C$32)/G12</f>
        <v>-13499.75</v>
      </c>
      <c r="G24" s="20">
        <v>20</v>
      </c>
      <c r="H24" s="89">
        <v>45527</v>
      </c>
      <c r="I24" s="13"/>
      <c r="J24" s="108">
        <v>23701</v>
      </c>
      <c r="K24" s="85">
        <f>SUM(J$8:J24)-SUM(I$8:I24)</f>
        <v>454111</v>
      </c>
      <c r="L24" s="10">
        <f>SUM(J$5:J24)/G24</f>
        <v>26821.15</v>
      </c>
      <c r="M24" s="10">
        <f>($M$32-$J$32)/G12</f>
        <v>17896.5</v>
      </c>
      <c r="N24" s="105">
        <f>SUM(J$5:J24)-(M$5)*G24</f>
        <v>-130243.66666666674</v>
      </c>
    </row>
    <row r="25" spans="2:32" ht="20.100000000000001" customHeight="1" x14ac:dyDescent="0.25">
      <c r="B25" s="89">
        <v>45528</v>
      </c>
      <c r="C25" s="107">
        <v>36036</v>
      </c>
      <c r="D25" s="85">
        <f>SUM(C$5:C25)-($F$5*G25)</f>
        <v>30335.222222222248</v>
      </c>
      <c r="E25" s="24">
        <f>SUM(C$5:C25)/G25</f>
        <v>38481.571428571428</v>
      </c>
      <c r="F25" s="24">
        <f>($F$32-$C$32)/G11</f>
        <v>-15428.285714285714</v>
      </c>
      <c r="G25" s="20">
        <v>21</v>
      </c>
      <c r="H25" s="89">
        <v>45528</v>
      </c>
      <c r="I25" s="12"/>
      <c r="J25" s="107">
        <v>42484</v>
      </c>
      <c r="K25" s="85">
        <f>SUM(J$8:J25)-SUM(I$8:I25)</f>
        <v>496595</v>
      </c>
      <c r="L25" s="10">
        <f>SUM(J$5:J25)/G25</f>
        <v>27567</v>
      </c>
      <c r="M25" s="10">
        <f>($M$32-$J$32)/G11</f>
        <v>20453.142857142859</v>
      </c>
      <c r="N25" s="105">
        <f>SUM(J$5:J25)-(M$5)*G25</f>
        <v>-121093</v>
      </c>
    </row>
    <row r="26" spans="2:32" ht="20.100000000000001" customHeight="1" x14ac:dyDescent="0.2">
      <c r="B26" s="89">
        <v>45530</v>
      </c>
      <c r="C26" s="24">
        <v>37872</v>
      </c>
      <c r="D26" s="85">
        <f>SUM(C$5:C26)-($F$5*G26)</f>
        <v>31170.185185185168</v>
      </c>
      <c r="E26" s="24">
        <f>SUM(C$5:C26)/G26</f>
        <v>38453.86363636364</v>
      </c>
      <c r="F26" s="24">
        <f>($F$32-$C$32)/G10</f>
        <v>-17999.666666666668</v>
      </c>
      <c r="G26" s="20">
        <v>22</v>
      </c>
      <c r="H26" s="89">
        <v>45530</v>
      </c>
      <c r="I26" s="12"/>
      <c r="J26" s="12">
        <v>27748</v>
      </c>
      <c r="K26" s="85">
        <f>SUM(J$8:J26)-SUM(I$8:I26)</f>
        <v>524343</v>
      </c>
      <c r="L26" s="10">
        <f>SUM(J$5:J26)/G26</f>
        <v>27575.227272727272</v>
      </c>
      <c r="M26" s="10">
        <f>($M$32-$J$32)/G10</f>
        <v>23862</v>
      </c>
      <c r="N26" s="105">
        <f>SUM(J$5:J26)-(M$5)*G26</f>
        <v>-126678.33333333337</v>
      </c>
    </row>
    <row r="27" spans="2:32" ht="19.5" customHeight="1" x14ac:dyDescent="0.2">
      <c r="B27" s="89">
        <v>45531</v>
      </c>
      <c r="C27" s="24">
        <v>49434</v>
      </c>
      <c r="D27" s="85">
        <f>SUM(C$5:C27)-($F$5*G27)</f>
        <v>43567.148148148204</v>
      </c>
      <c r="E27" s="24">
        <f>SUM(C$5:C27)/G27</f>
        <v>38931.260869565216</v>
      </c>
      <c r="F27" s="24">
        <f>($F$32-$C$32)/G9</f>
        <v>-21599.599999999999</v>
      </c>
      <c r="G27" s="20">
        <v>23</v>
      </c>
      <c r="H27" s="89">
        <v>45531</v>
      </c>
      <c r="I27" s="12"/>
      <c r="J27" s="12">
        <v>36548</v>
      </c>
      <c r="K27" s="85">
        <f>SUM(J$8:J27)-SUM(I$8:I27)</f>
        <v>560891</v>
      </c>
      <c r="L27" s="10">
        <f>SUM(J$5:J27)/G27</f>
        <v>27965.347826086956</v>
      </c>
      <c r="M27" s="10">
        <f>($M$32-$J$32)/G9</f>
        <v>28634.400000000001</v>
      </c>
      <c r="N27" s="105">
        <f>SUM(J$5:J27)-(M$5)*G27</f>
        <v>-123463.66666666674</v>
      </c>
    </row>
    <row r="28" spans="2:32" ht="19.5" customHeight="1" x14ac:dyDescent="0.2">
      <c r="B28" s="89">
        <v>45532</v>
      </c>
      <c r="C28" s="117">
        <v>59645</v>
      </c>
      <c r="D28" s="85">
        <f>SUM(C$5:C28)-($F$5*G28)</f>
        <v>66175.111111111124</v>
      </c>
      <c r="E28" s="24">
        <f>SUM(C$5:C28)/G28</f>
        <v>39794.333333333336</v>
      </c>
      <c r="F28" s="24">
        <f>($F$32-$C$32)/G8</f>
        <v>-26999.5</v>
      </c>
      <c r="G28" s="20">
        <v>24</v>
      </c>
      <c r="H28" s="89">
        <v>45532</v>
      </c>
      <c r="I28" s="12"/>
      <c r="J28" s="115">
        <v>35936</v>
      </c>
      <c r="K28" s="85">
        <f>SUM(J$8:J28)-SUM(I$8:I28)</f>
        <v>596827</v>
      </c>
      <c r="L28" s="10">
        <f>SUM(J$5:J28)/G28</f>
        <v>28297.458333333332</v>
      </c>
      <c r="M28" s="10">
        <f>($M$32-$J$32)/G8</f>
        <v>35793</v>
      </c>
      <c r="N28" s="105">
        <f>SUM(J$5:J28)-(M$5)*G28</f>
        <v>-120861</v>
      </c>
    </row>
    <row r="29" spans="2:32" ht="19.5" customHeight="1" x14ac:dyDescent="0.2">
      <c r="B29" s="89">
        <v>45533</v>
      </c>
      <c r="C29" s="24">
        <v>63630</v>
      </c>
      <c r="D29" s="85">
        <f>SUM(C$5:C29)-($F$5*G29)</f>
        <v>92768.074074074044</v>
      </c>
      <c r="E29" s="24">
        <f>SUM(C$5:C29)/G29</f>
        <v>40747.760000000002</v>
      </c>
      <c r="F29" s="24">
        <f>($F$32-$C$32)/G7</f>
        <v>-35999.333333333336</v>
      </c>
      <c r="G29" s="20">
        <v>25</v>
      </c>
      <c r="H29" s="89">
        <v>45533</v>
      </c>
      <c r="I29" s="12"/>
      <c r="J29" s="12">
        <v>11999</v>
      </c>
      <c r="K29" s="85">
        <f>SUM(J$8:J29)-SUM(I$8:I29)</f>
        <v>608826</v>
      </c>
      <c r="L29" s="10">
        <f>SUM(J$5:J29)/G29</f>
        <v>27645.52</v>
      </c>
      <c r="M29" s="10">
        <f>($M$32-$J$32)/G7</f>
        <v>47724</v>
      </c>
      <c r="N29" s="105">
        <f>SUM(J$5:J29)-(M$5)*G29</f>
        <v>-142195.33333333337</v>
      </c>
    </row>
    <row r="30" spans="2:32" ht="19.5" customHeight="1" x14ac:dyDescent="0.2">
      <c r="B30" s="89">
        <v>45534</v>
      </c>
      <c r="C30" s="24">
        <v>47918</v>
      </c>
      <c r="D30" s="85">
        <f>SUM(C$5:C30)-($F$5*G30)</f>
        <v>103649.03703703708</v>
      </c>
      <c r="E30" s="24">
        <f>SUM(C$5:C30)/G30</f>
        <v>41023.538461538461</v>
      </c>
      <c r="F30" s="24">
        <f>($F$32-$C$32)/G6</f>
        <v>-53999</v>
      </c>
      <c r="G30" s="20">
        <v>26</v>
      </c>
      <c r="H30" s="89">
        <v>45534</v>
      </c>
      <c r="I30" s="12"/>
      <c r="J30" s="12">
        <v>38842</v>
      </c>
      <c r="K30" s="85">
        <f>SUM(J$8:J30)-SUM(I$8:I30)</f>
        <v>647668</v>
      </c>
      <c r="L30" s="10">
        <f>SUM(J$5:J30)/G30</f>
        <v>28076.153846153848</v>
      </c>
      <c r="M30" s="10">
        <f>($M$32-$J$32)/G6</f>
        <v>71586</v>
      </c>
      <c r="N30" s="105">
        <f>SUM(J$5:J30)-(M$5)*G30</f>
        <v>-136686.66666666674</v>
      </c>
    </row>
    <row r="31" spans="2:32" ht="19.5" customHeight="1" x14ac:dyDescent="0.2">
      <c r="B31" s="89">
        <v>45535</v>
      </c>
      <c r="C31" s="118">
        <v>41386</v>
      </c>
      <c r="D31" s="85">
        <f>SUM(C$5:C31)-($F$5*G31)</f>
        <v>107998</v>
      </c>
      <c r="E31" s="24">
        <f>SUM(C$5:C31)/G31</f>
        <v>41036.962962962964</v>
      </c>
      <c r="F31" s="24">
        <f>($F$32-$C$32)/G5</f>
        <v>-107998</v>
      </c>
      <c r="G31" s="20">
        <v>27</v>
      </c>
      <c r="H31" s="89">
        <v>45535</v>
      </c>
      <c r="I31" s="12"/>
      <c r="J31" s="119">
        <v>26848</v>
      </c>
      <c r="K31" s="85">
        <f>SUM(J$8:J31)-SUM(I$8:I31)</f>
        <v>674516</v>
      </c>
      <c r="L31" s="10">
        <f>SUM(J$5:J31)/G31</f>
        <v>28030.666666666668</v>
      </c>
      <c r="M31" s="10">
        <f>($M$32-$J$32)/G5</f>
        <v>143172</v>
      </c>
      <c r="N31" s="105">
        <f>SUM(J$5:J31)-(M$5)*G31</f>
        <v>-143172.00000000012</v>
      </c>
    </row>
    <row r="32" spans="2:32" ht="19.5" customHeight="1" x14ac:dyDescent="0.2">
      <c r="B32" s="19" t="s">
        <v>8</v>
      </c>
      <c r="C32" s="12">
        <f>SUM(C5:C31)</f>
        <v>1107998</v>
      </c>
      <c r="D32" s="86"/>
      <c r="E32" s="23"/>
      <c r="F32" s="30">
        <v>1000000</v>
      </c>
      <c r="G32" s="18"/>
      <c r="H32" s="11" t="s">
        <v>8</v>
      </c>
      <c r="I32" s="12"/>
      <c r="J32" s="12">
        <f>SUM(J5:J31)</f>
        <v>756828</v>
      </c>
      <c r="K32" s="8"/>
      <c r="L32" s="8"/>
      <c r="M32" s="10">
        <v>900000</v>
      </c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</row>
    <row r="33" spans="1:32" ht="15" x14ac:dyDescent="0.25">
      <c r="F33" s="9">
        <f>E31*G31</f>
        <v>1107998</v>
      </c>
      <c r="J33" s="110"/>
      <c r="M33" s="9">
        <f>L31*G31</f>
        <v>756828</v>
      </c>
    </row>
    <row r="34" spans="1:32" ht="15" x14ac:dyDescent="0.25">
      <c r="D34" s="104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</row>
    <row r="35" spans="1:32" x14ac:dyDescent="0.2">
      <c r="M35" s="33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</row>
    <row r="37" spans="1:32" s="9" customFormat="1" x14ac:dyDescent="0.2">
      <c r="A37" s="6"/>
      <c r="B37" s="6"/>
      <c r="D37" s="87"/>
      <c r="G37" s="6"/>
      <c r="H37" s="6"/>
      <c r="N37" s="99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s="9" customFormat="1" x14ac:dyDescent="0.2">
      <c r="A38" s="6"/>
      <c r="B38" s="98"/>
      <c r="C38" s="6"/>
      <c r="D38" s="87"/>
      <c r="G38" s="6"/>
      <c r="H38" s="6"/>
      <c r="N38" s="99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B39" s="98"/>
      <c r="C39" s="97"/>
    </row>
    <row r="40" spans="1:32" x14ac:dyDescent="0.2">
      <c r="B40" s="98"/>
    </row>
    <row r="41" spans="1:32" x14ac:dyDescent="0.2">
      <c r="B41" s="102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x14ac:dyDescent="0.2">
      <c r="B42" s="10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</sheetData>
  <mergeCells count="4">
    <mergeCell ref="B1:F2"/>
    <mergeCell ref="H1:M2"/>
    <mergeCell ref="B3:F3"/>
    <mergeCell ref="H3:M3"/>
  </mergeCells>
  <conditionalFormatting sqref="K32 K24 K5:K22 N6:N31">
    <cfRule type="cellIs" dxfId="351" priority="8" stopIfTrue="1" operator="lessThan">
      <formula>0</formula>
    </cfRule>
  </conditionalFormatting>
  <conditionalFormatting sqref="K23">
    <cfRule type="cellIs" dxfId="350" priority="7" stopIfTrue="1" operator="lessThan">
      <formula>0</formula>
    </cfRule>
  </conditionalFormatting>
  <conditionalFormatting sqref="K25">
    <cfRule type="cellIs" dxfId="349" priority="6" stopIfTrue="1" operator="lessThan">
      <formula>0</formula>
    </cfRule>
  </conditionalFormatting>
  <conditionalFormatting sqref="K26">
    <cfRule type="cellIs" dxfId="348" priority="5" stopIfTrue="1" operator="lessThan">
      <formula>0</formula>
    </cfRule>
  </conditionalFormatting>
  <conditionalFormatting sqref="K27:K31">
    <cfRule type="cellIs" dxfId="347" priority="4" stopIfTrue="1" operator="lessThan">
      <formula>0</formula>
    </cfRule>
  </conditionalFormatting>
  <conditionalFormatting sqref="D5">
    <cfRule type="cellIs" dxfId="346" priority="3" stopIfTrue="1" operator="lessThan">
      <formula>0</formula>
    </cfRule>
  </conditionalFormatting>
  <conditionalFormatting sqref="N5">
    <cfRule type="cellIs" dxfId="345" priority="2" stopIfTrue="1" operator="lessThan">
      <formula>0</formula>
    </cfRule>
  </conditionalFormatting>
  <conditionalFormatting sqref="D6:D31">
    <cfRule type="cellIs" dxfId="344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7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6973-0701-4F3F-92EC-110EA130A11F}">
  <sheetPr>
    <tabColor theme="0"/>
  </sheetPr>
  <dimension ref="A1:AG42"/>
  <sheetViews>
    <sheetView zoomScale="90" zoomScaleNormal="90" zoomScaleSheetLayoutView="80" workbookViewId="0">
      <pane xSplit="15" ySplit="4" topLeftCell="P5" activePane="bottomRight" state="frozen"/>
      <selection activeCell="A31" sqref="A31"/>
      <selection pane="topRight" activeCell="A31" sqref="A31"/>
      <selection pane="bottomLeft" activeCell="A31" sqref="A31"/>
      <selection pane="bottomRight" activeCell="A31" sqref="A31"/>
    </sheetView>
  </sheetViews>
  <sheetFormatPr defaultColWidth="9.140625" defaultRowHeight="12.75" x14ac:dyDescent="0.2"/>
  <cols>
    <col min="1" max="1" width="2.28515625" style="6" customWidth="1"/>
    <col min="2" max="2" width="14.28515625" style="6" customWidth="1"/>
    <col min="3" max="3" width="14.42578125" style="9" bestFit="1" customWidth="1"/>
    <col min="4" max="4" width="14.42578125" style="87" customWidth="1"/>
    <col min="5" max="5" width="16.28515625" style="9" customWidth="1"/>
    <col min="6" max="6" width="13.28515625" style="9" customWidth="1"/>
    <col min="7" max="7" width="4.28515625" style="6" customWidth="1"/>
    <col min="8" max="8" width="13" style="6" customWidth="1"/>
    <col min="9" max="9" width="16.85546875" style="9" customWidth="1"/>
    <col min="10" max="10" width="14" style="9" customWidth="1"/>
    <col min="11" max="11" width="13.7109375" style="9" customWidth="1"/>
    <col min="12" max="12" width="12.85546875" style="9" customWidth="1"/>
    <col min="13" max="13" width="16.28515625" style="9" customWidth="1"/>
    <col min="14" max="14" width="18.42578125" style="99" customWidth="1"/>
    <col min="15" max="15" width="14.7109375" style="6" customWidth="1"/>
    <col min="16" max="16" width="10.85546875" style="6" bestFit="1" customWidth="1"/>
    <col min="17" max="18" width="9.140625" style="6"/>
    <col min="19" max="19" width="10.85546875" style="6" bestFit="1" customWidth="1"/>
    <col min="20" max="16384" width="9.140625" style="6"/>
  </cols>
  <sheetData>
    <row r="1" spans="2:33" x14ac:dyDescent="0.2">
      <c r="B1" s="182" t="s">
        <v>4</v>
      </c>
      <c r="C1" s="182"/>
      <c r="D1" s="182"/>
      <c r="E1" s="182"/>
      <c r="F1" s="182"/>
      <c r="H1" s="184" t="s">
        <v>5</v>
      </c>
      <c r="I1" s="184"/>
      <c r="J1" s="184"/>
      <c r="K1" s="184"/>
      <c r="L1" s="184"/>
      <c r="M1" s="184"/>
    </row>
    <row r="2" spans="2:33" ht="20.100000000000001" customHeight="1" x14ac:dyDescent="0.2">
      <c r="B2" s="183"/>
      <c r="C2" s="183"/>
      <c r="D2" s="183"/>
      <c r="E2" s="183"/>
      <c r="F2" s="183"/>
      <c r="H2" s="185"/>
      <c r="I2" s="185"/>
      <c r="J2" s="185"/>
      <c r="K2" s="185"/>
      <c r="L2" s="185"/>
      <c r="M2" s="185"/>
      <c r="P2" s="114"/>
      <c r="S2" s="114">
        <f ca="1">TODAY()</f>
        <v>45554</v>
      </c>
    </row>
    <row r="3" spans="2:33" ht="20.100000000000001" customHeight="1" x14ac:dyDescent="0.2">
      <c r="B3" s="123"/>
      <c r="C3" s="123"/>
      <c r="D3" s="123"/>
      <c r="E3" s="123"/>
      <c r="F3" s="123"/>
      <c r="H3" s="123"/>
      <c r="I3" s="123"/>
      <c r="J3" s="123"/>
      <c r="K3" s="123"/>
      <c r="L3" s="123"/>
      <c r="M3" s="123"/>
    </row>
    <row r="4" spans="2:33" s="18" customFormat="1" ht="20.100000000000001" customHeight="1" x14ac:dyDescent="0.25">
      <c r="B4" s="14" t="s">
        <v>0</v>
      </c>
      <c r="C4" s="15" t="s">
        <v>1</v>
      </c>
      <c r="D4" s="84" t="s">
        <v>2</v>
      </c>
      <c r="E4" s="15" t="s">
        <v>49</v>
      </c>
      <c r="F4" s="15" t="s">
        <v>50</v>
      </c>
      <c r="G4" s="17"/>
      <c r="H4" s="14" t="s">
        <v>0</v>
      </c>
      <c r="I4" s="15" t="s">
        <v>51</v>
      </c>
      <c r="J4" s="100" t="s">
        <v>1</v>
      </c>
      <c r="K4" s="15" t="s">
        <v>52</v>
      </c>
      <c r="L4" s="15" t="s">
        <v>49</v>
      </c>
      <c r="M4" s="15" t="s">
        <v>50</v>
      </c>
      <c r="N4" s="100" t="s">
        <v>53</v>
      </c>
    </row>
    <row r="5" spans="2:33" ht="20.100000000000001" customHeight="1" x14ac:dyDescent="0.2">
      <c r="B5" s="89">
        <v>45537</v>
      </c>
      <c r="C5" s="24">
        <v>17584</v>
      </c>
      <c r="D5" s="85">
        <f>SUM(C5:C5)-(F5*1)</f>
        <v>-24082.666666666664</v>
      </c>
      <c r="E5" s="24">
        <f>C5/1</f>
        <v>17584</v>
      </c>
      <c r="F5" s="30">
        <f>$F$29/G28</f>
        <v>41666.666666666664</v>
      </c>
      <c r="G5" s="20">
        <v>1</v>
      </c>
      <c r="H5" s="89">
        <v>45537</v>
      </c>
      <c r="I5" s="12"/>
      <c r="J5" s="12">
        <v>38865</v>
      </c>
      <c r="K5" s="85">
        <f>J5-I5</f>
        <v>38865</v>
      </c>
      <c r="L5" s="10">
        <f>J5/1</f>
        <v>38865</v>
      </c>
      <c r="M5" s="10">
        <f>$M$29/G28</f>
        <v>41666.666666666664</v>
      </c>
      <c r="N5" s="105">
        <f>SUM(J$5:J5)-(M5)</f>
        <v>-2801.6666666666642</v>
      </c>
      <c r="O5" s="101">
        <f>IF(C5&gt;1,1,0)</f>
        <v>1</v>
      </c>
      <c r="P5" s="112">
        <f ca="1">S5-1</f>
        <v>45553</v>
      </c>
      <c r="Q5" s="113" t="s">
        <v>56</v>
      </c>
      <c r="R5" s="111" t="s">
        <v>2</v>
      </c>
      <c r="S5" s="112">
        <f ca="1">S2</f>
        <v>45554</v>
      </c>
      <c r="T5" s="113" t="s">
        <v>56</v>
      </c>
      <c r="U5" s="111" t="s">
        <v>2</v>
      </c>
      <c r="V5" s="112">
        <f ca="1">S5+1</f>
        <v>45555</v>
      </c>
      <c r="W5" s="113" t="s">
        <v>56</v>
      </c>
      <c r="X5" s="111" t="s">
        <v>2</v>
      </c>
      <c r="Y5" s="112">
        <f ca="1">V5+1</f>
        <v>45556</v>
      </c>
      <c r="Z5" s="113" t="s">
        <v>56</v>
      </c>
      <c r="AA5" s="111" t="s">
        <v>2</v>
      </c>
      <c r="AB5" s="112">
        <f ca="1">Y5+2</f>
        <v>45558</v>
      </c>
      <c r="AC5" s="113" t="s">
        <v>56</v>
      </c>
      <c r="AD5" s="111" t="s">
        <v>2</v>
      </c>
      <c r="AE5" s="112">
        <f ca="1">AB5+1</f>
        <v>45559</v>
      </c>
      <c r="AF5" s="113" t="s">
        <v>56</v>
      </c>
      <c r="AG5" s="111" t="s">
        <v>2</v>
      </c>
    </row>
    <row r="6" spans="2:33" ht="20.100000000000001" customHeight="1" x14ac:dyDescent="0.2">
      <c r="B6" s="89">
        <v>45538</v>
      </c>
      <c r="C6" s="24">
        <v>41502</v>
      </c>
      <c r="D6" s="85">
        <f>SUM(C$5:C6)-($F$5*G6)</f>
        <v>-24247.333333333328</v>
      </c>
      <c r="E6" s="24">
        <f>SUM(C$5:C6)/G6</f>
        <v>29543</v>
      </c>
      <c r="F6" s="24">
        <f>($F$29-$C$29)/G27</f>
        <v>24105.608695652172</v>
      </c>
      <c r="G6" s="20">
        <v>2</v>
      </c>
      <c r="H6" s="89">
        <v>45538</v>
      </c>
      <c r="I6" s="21"/>
      <c r="J6" s="21">
        <v>17921</v>
      </c>
      <c r="K6" s="85">
        <f>SUM(J$5:J6)-SUM(I$5:I6)</f>
        <v>56786</v>
      </c>
      <c r="L6" s="10">
        <f>SUM(J$5:J6)/G6</f>
        <v>28393</v>
      </c>
      <c r="M6" s="24">
        <f>($M$29-$J$29)/G27</f>
        <v>20505.17391304348</v>
      </c>
      <c r="N6" s="105">
        <f>SUM(J$5:J6)-(M$5)*G6</f>
        <v>-26547.333333333328</v>
      </c>
      <c r="O6" s="116" t="s">
        <v>54</v>
      </c>
      <c r="P6" s="18"/>
      <c r="Q6" s="20"/>
      <c r="R6" s="18">
        <f>Q6-P6</f>
        <v>0</v>
      </c>
      <c r="S6" s="18"/>
      <c r="T6" s="20"/>
      <c r="U6" s="18">
        <f>S6-T6</f>
        <v>0</v>
      </c>
      <c r="V6" s="18"/>
      <c r="W6" s="20"/>
      <c r="X6" s="18">
        <f>V6-W6</f>
        <v>0</v>
      </c>
      <c r="Y6" s="18"/>
      <c r="Z6" s="20"/>
      <c r="AA6" s="18">
        <f>Y6-Z6</f>
        <v>0</v>
      </c>
      <c r="AB6" s="18"/>
      <c r="AC6" s="20"/>
      <c r="AD6" s="18">
        <f>AB6-AC6</f>
        <v>0</v>
      </c>
      <c r="AE6" s="18"/>
      <c r="AF6" s="20"/>
      <c r="AG6" s="18">
        <f>AE6-AF6</f>
        <v>0</v>
      </c>
    </row>
    <row r="7" spans="2:33" ht="19.5" customHeight="1" x14ac:dyDescent="0.2">
      <c r="B7" s="89">
        <v>45539</v>
      </c>
      <c r="C7" s="24">
        <v>35473</v>
      </c>
      <c r="D7" s="85">
        <f>SUM(C$5:C7)-($F$5*G7)</f>
        <v>-30441</v>
      </c>
      <c r="E7" s="24">
        <f>SUM(C$5:C7)/G7</f>
        <v>31519.666666666668</v>
      </c>
      <c r="F7" s="24">
        <f>($F$29-$C$29)/G26</f>
        <v>25201.31818181818</v>
      </c>
      <c r="G7" s="20">
        <v>3</v>
      </c>
      <c r="H7" s="89">
        <v>45539</v>
      </c>
      <c r="I7" s="21"/>
      <c r="J7" s="21">
        <v>22798</v>
      </c>
      <c r="K7" s="85">
        <f>SUM(J$5:J7)-SUM(I$5:I7)</f>
        <v>79584</v>
      </c>
      <c r="L7" s="10">
        <f>SUM(J$5:J7)/G7</f>
        <v>26528</v>
      </c>
      <c r="M7" s="10">
        <f>($M$29-$J$29)/G26</f>
        <v>21437.227272727272</v>
      </c>
      <c r="N7" s="105">
        <f>SUM(J$5:J7)-(M$5)*G7</f>
        <v>-45416</v>
      </c>
      <c r="O7" s="116" t="s">
        <v>55</v>
      </c>
      <c r="P7" s="18"/>
      <c r="Q7" s="20"/>
      <c r="R7" s="18">
        <f>Q7-P7</f>
        <v>0</v>
      </c>
      <c r="S7" s="18"/>
      <c r="T7" s="20"/>
      <c r="U7" s="18">
        <f>S7-T7</f>
        <v>0</v>
      </c>
      <c r="V7" s="18"/>
      <c r="W7" s="20"/>
      <c r="X7" s="18">
        <f>V7-W7</f>
        <v>0</v>
      </c>
      <c r="Y7" s="18"/>
      <c r="Z7" s="20"/>
      <c r="AA7" s="18">
        <f>Y7-Z7</f>
        <v>0</v>
      </c>
      <c r="AB7" s="18"/>
      <c r="AC7" s="20"/>
      <c r="AD7" s="18">
        <f>AB7-AC7</f>
        <v>0</v>
      </c>
      <c r="AE7" s="18"/>
      <c r="AF7" s="20"/>
      <c r="AG7" s="18">
        <f>AE7-AF7</f>
        <v>0</v>
      </c>
    </row>
    <row r="8" spans="2:33" ht="20.100000000000001" customHeight="1" x14ac:dyDescent="0.2">
      <c r="B8" s="89">
        <v>45540</v>
      </c>
      <c r="C8" s="24">
        <v>35385</v>
      </c>
      <c r="D8" s="85">
        <f>SUM(C$5:C8)-($F$5*G8)</f>
        <v>-36722.666666666657</v>
      </c>
      <c r="E8" s="24">
        <f>SUM(C$5:C8)/G8</f>
        <v>32486</v>
      </c>
      <c r="F8" s="24">
        <f>($F$29-$C$29)/G25</f>
        <v>26401.380952380954</v>
      </c>
      <c r="G8" s="20">
        <v>4</v>
      </c>
      <c r="H8" s="89">
        <v>45540</v>
      </c>
      <c r="I8" s="22"/>
      <c r="J8" s="21">
        <v>46809</v>
      </c>
      <c r="K8" s="85">
        <f>SUM(J$5:J8)-SUM(I$5:I8)</f>
        <v>126393</v>
      </c>
      <c r="L8" s="10">
        <f>SUM(J$5:J8)/G8</f>
        <v>31598.25</v>
      </c>
      <c r="M8" s="10">
        <f>($M$29-$J$29)/G25</f>
        <v>22458.047619047618</v>
      </c>
      <c r="N8" s="105">
        <f>SUM(J$5:J8)-(M$5)*G8</f>
        <v>-40273.666666666657</v>
      </c>
      <c r="O8" s="101"/>
    </row>
    <row r="9" spans="2:33" ht="20.100000000000001" customHeight="1" x14ac:dyDescent="0.2">
      <c r="B9" s="89">
        <v>45541</v>
      </c>
      <c r="C9" s="24">
        <v>32962</v>
      </c>
      <c r="D9" s="85">
        <f>SUM(C$5:C9)-($F$5*G9)</f>
        <v>-45427.333333333314</v>
      </c>
      <c r="E9" s="24">
        <f>SUM(C$5:C9)/G9</f>
        <v>32581.200000000001</v>
      </c>
      <c r="F9" s="24">
        <f>($F$29-$C$29)/G24</f>
        <v>27721.45</v>
      </c>
      <c r="G9" s="20">
        <v>5</v>
      </c>
      <c r="H9" s="89">
        <v>45541</v>
      </c>
      <c r="I9" s="22"/>
      <c r="J9" s="22">
        <v>35238</v>
      </c>
      <c r="K9" s="85">
        <f>SUM(J$5:J9)-SUM(I$5:I9)</f>
        <v>161631</v>
      </c>
      <c r="L9" s="10">
        <f>SUM(J$5:J9)/G9</f>
        <v>32326.2</v>
      </c>
      <c r="M9" s="10">
        <f>($M$29-$J$29)/G24</f>
        <v>23580.95</v>
      </c>
      <c r="N9" s="105">
        <f>SUM(J$5:J9)-(M$5)*G9</f>
        <v>-46702.333333333314</v>
      </c>
      <c r="O9" s="101"/>
    </row>
    <row r="10" spans="2:33" ht="20.100000000000001" customHeight="1" x14ac:dyDescent="0.2">
      <c r="B10" s="89">
        <v>45544</v>
      </c>
      <c r="C10" s="24">
        <v>24579</v>
      </c>
      <c r="D10" s="85">
        <f>SUM(C$5:C10)-($F$5*G10)</f>
        <v>-62515</v>
      </c>
      <c r="E10" s="24">
        <f>SUM(C$5:C10)/G10</f>
        <v>31247.5</v>
      </c>
      <c r="F10" s="24">
        <f>($F$29-$C$29)/G23</f>
        <v>29180.473684210527</v>
      </c>
      <c r="G10" s="20">
        <v>6</v>
      </c>
      <c r="H10" s="89">
        <v>45544</v>
      </c>
      <c r="I10" s="21"/>
      <c r="J10" s="22">
        <v>36259</v>
      </c>
      <c r="K10" s="85">
        <f>SUM(J$5:J10)-SUM(I$5:I10)</f>
        <v>197890</v>
      </c>
      <c r="L10" s="10">
        <f>SUM(J$5:J10)/G10</f>
        <v>32981.666666666664</v>
      </c>
      <c r="M10" s="10">
        <f>($M$29-$J$29)/G23</f>
        <v>24822.052631578947</v>
      </c>
      <c r="N10" s="105">
        <f>SUM(J$5:J10)-(M$5)*G10</f>
        <v>-52110</v>
      </c>
      <c r="O10" s="101"/>
    </row>
    <row r="11" spans="2:33" ht="20.100000000000001" customHeight="1" x14ac:dyDescent="0.2">
      <c r="B11" s="89">
        <v>45545</v>
      </c>
      <c r="C11" s="24">
        <v>41425</v>
      </c>
      <c r="D11" s="85">
        <f>SUM(C$5:C11)-($F$5*G11)</f>
        <v>-62756.666666666628</v>
      </c>
      <c r="E11" s="24">
        <f>SUM(C$5:C11)/G11</f>
        <v>32701.428571428572</v>
      </c>
      <c r="F11" s="24">
        <f>($F$29-$C$29)/G22</f>
        <v>30801.611111111109</v>
      </c>
      <c r="G11" s="20">
        <v>7</v>
      </c>
      <c r="H11" s="89">
        <v>45545</v>
      </c>
      <c r="I11" s="13"/>
      <c r="J11" s="22">
        <v>45452</v>
      </c>
      <c r="K11" s="85">
        <f>SUM(J$5:J11)-SUM(I$5:I11)</f>
        <v>243342</v>
      </c>
      <c r="L11" s="10">
        <f>SUM(J$5:J11)/G11</f>
        <v>34763.142857142855</v>
      </c>
      <c r="M11" s="10">
        <f>($M$29-$J$29)/G22</f>
        <v>26201.055555555555</v>
      </c>
      <c r="N11" s="105">
        <f>SUM(J$5:J11)-(M$5)*G11</f>
        <v>-48324.666666666628</v>
      </c>
      <c r="O11" s="101"/>
    </row>
    <row r="12" spans="2:33" ht="20.100000000000001" customHeight="1" x14ac:dyDescent="0.2">
      <c r="B12" s="89">
        <v>45546</v>
      </c>
      <c r="C12" s="12">
        <v>58072</v>
      </c>
      <c r="D12" s="85">
        <f>SUM(C$5:C12)-($F$5*G12)</f>
        <v>-46351.333333333314</v>
      </c>
      <c r="E12" s="24">
        <f>SUM(C$5:C12)/G12</f>
        <v>35872.75</v>
      </c>
      <c r="F12" s="24">
        <f>($F$29-$C$29)/G21</f>
        <v>32613.470588235294</v>
      </c>
      <c r="G12" s="20">
        <v>8</v>
      </c>
      <c r="H12" s="89">
        <v>45546</v>
      </c>
      <c r="I12" s="13"/>
      <c r="J12" s="12">
        <v>29132</v>
      </c>
      <c r="K12" s="85">
        <f>SUM(J$5:J12)-SUM(I$5:I12)</f>
        <v>272474</v>
      </c>
      <c r="L12" s="10">
        <f>SUM(J$5:J12)/G12</f>
        <v>34059.25</v>
      </c>
      <c r="M12" s="10">
        <f>($M$29-$J$29)/G21</f>
        <v>27742.294117647059</v>
      </c>
      <c r="N12" s="105">
        <f>SUM(J$5:J12)-(M$5)*G12</f>
        <v>-60859.333333333314</v>
      </c>
    </row>
    <row r="13" spans="2:33" ht="20.100000000000001" customHeight="1" x14ac:dyDescent="0.25">
      <c r="B13" s="89">
        <v>45547</v>
      </c>
      <c r="C13" s="109">
        <v>27414</v>
      </c>
      <c r="D13" s="85">
        <f>SUM(C$5:C13)-($F$5*G13)</f>
        <v>-60604</v>
      </c>
      <c r="E13" s="24">
        <f>SUM(C$5:C13)/G13</f>
        <v>34932.888888888891</v>
      </c>
      <c r="F13" s="24">
        <f>($F$29-$C$29)/G20</f>
        <v>34651.8125</v>
      </c>
      <c r="G13" s="20">
        <v>9</v>
      </c>
      <c r="H13" s="89">
        <v>45547</v>
      </c>
      <c r="I13" s="13"/>
      <c r="J13" s="13">
        <v>23495</v>
      </c>
      <c r="K13" s="85">
        <f>SUM(J$5:J13)-SUM(I$5:I13)</f>
        <v>295969</v>
      </c>
      <c r="L13" s="10">
        <f>SUM(J$5:J13)/G13</f>
        <v>32885.444444444445</v>
      </c>
      <c r="M13" s="10">
        <f>($M$29-$J$29)/G20</f>
        <v>29476.1875</v>
      </c>
      <c r="N13" s="105">
        <f>SUM(J$5:J13)-(M$5)*G13</f>
        <v>-79031</v>
      </c>
      <c r="O13" s="98"/>
    </row>
    <row r="14" spans="2:33" ht="19.5" customHeight="1" x14ac:dyDescent="0.25">
      <c r="B14" s="89">
        <v>45548</v>
      </c>
      <c r="C14" s="109">
        <v>23785</v>
      </c>
      <c r="D14" s="85">
        <f>SUM(C$5:C14)-($F$5*G14)</f>
        <v>-78485.666666666628</v>
      </c>
      <c r="E14" s="24">
        <f>SUM(C$5:C14)/G14</f>
        <v>33818.1</v>
      </c>
      <c r="F14" s="24">
        <f>($F$29-$C$29)/G19</f>
        <v>36961.933333333334</v>
      </c>
      <c r="G14" s="20">
        <v>10</v>
      </c>
      <c r="H14" s="89">
        <v>45548</v>
      </c>
      <c r="I14" s="13"/>
      <c r="J14" s="13">
        <v>38008</v>
      </c>
      <c r="K14" s="85">
        <f>SUM(J$5:J14)-SUM(I$5:I14)</f>
        <v>333977</v>
      </c>
      <c r="L14" s="10">
        <f>SUM(J$5:J14)/G14</f>
        <v>33397.699999999997</v>
      </c>
      <c r="M14" s="10">
        <f>($M$29-$J$29)/G19</f>
        <v>31441.266666666666</v>
      </c>
      <c r="N14" s="105">
        <f>SUM(J$5:J14)-(M$5)*G14</f>
        <v>-82689.666666666628</v>
      </c>
      <c r="O14" s="98"/>
    </row>
    <row r="15" spans="2:33" ht="20.100000000000001" customHeight="1" x14ac:dyDescent="0.2">
      <c r="B15" s="89">
        <v>45549</v>
      </c>
      <c r="C15" s="24">
        <v>22252</v>
      </c>
      <c r="D15" s="85">
        <f>SUM(C$5:C15)-($F$5*G15)</f>
        <v>-97900.333333333314</v>
      </c>
      <c r="E15" s="24">
        <f>SUM(C$5:C15)/G15</f>
        <v>32766.636363636364</v>
      </c>
      <c r="F15" s="24">
        <f>($F$29-$C$29)/G18</f>
        <v>39602.071428571428</v>
      </c>
      <c r="G15" s="20">
        <v>11</v>
      </c>
      <c r="H15" s="89">
        <v>45549</v>
      </c>
      <c r="I15" s="21"/>
      <c r="J15" s="12">
        <v>54459</v>
      </c>
      <c r="K15" s="85">
        <f>SUM(J$5:J15)-SUM(I$5:I15)</f>
        <v>388436</v>
      </c>
      <c r="L15" s="10">
        <f>SUM(J$5:J15)/G15</f>
        <v>35312.36363636364</v>
      </c>
      <c r="M15" s="10">
        <f>($M$29-$J$29)/G18</f>
        <v>33687.071428571428</v>
      </c>
      <c r="N15" s="105">
        <f>SUM(J$5:J15)-(M$5)*G15</f>
        <v>-69897.333333333314</v>
      </c>
      <c r="O15" s="101">
        <f t="shared" ref="O15:O28" si="0">IF(C15&gt;1,1,0)</f>
        <v>1</v>
      </c>
    </row>
    <row r="16" spans="2:33" ht="20.100000000000001" customHeight="1" x14ac:dyDescent="0.2">
      <c r="B16" s="89">
        <v>45551</v>
      </c>
      <c r="C16" s="24">
        <v>28601</v>
      </c>
      <c r="D16" s="85">
        <f>SUM(C$5:C16)-($F$5*G16)</f>
        <v>-110966</v>
      </c>
      <c r="E16" s="24">
        <f>SUM(C$5:C16)/G16</f>
        <v>32419.5</v>
      </c>
      <c r="F16" s="24">
        <f>($F$29-$C$29)/G17</f>
        <v>42648.384615384617</v>
      </c>
      <c r="G16" s="20">
        <v>12</v>
      </c>
      <c r="H16" s="89">
        <v>45551</v>
      </c>
      <c r="I16" s="21"/>
      <c r="J16" s="12">
        <v>56881</v>
      </c>
      <c r="K16" s="85">
        <f>SUM(J$5:J16)-SUM(I$5:I16)</f>
        <v>445317</v>
      </c>
      <c r="L16" s="10">
        <f>SUM(J$5:J16)/G16</f>
        <v>37109.75</v>
      </c>
      <c r="M16" s="10">
        <f>($M$29-$J$29)/G17</f>
        <v>36278.384615384617</v>
      </c>
      <c r="N16" s="105">
        <f>SUM(J$5:J16)-(M$5)*G16</f>
        <v>-54683</v>
      </c>
      <c r="O16" s="82" t="s">
        <v>57</v>
      </c>
    </row>
    <row r="17" spans="1:33" ht="20.100000000000001" customHeight="1" x14ac:dyDescent="0.2">
      <c r="B17" s="89">
        <v>45552</v>
      </c>
      <c r="C17" s="24">
        <v>23927</v>
      </c>
      <c r="D17" s="85">
        <f>SUM(C$5:C17)-($F$5*G17)</f>
        <v>-128705.66666666663</v>
      </c>
      <c r="E17" s="24">
        <f>SUM(C$5:C17)/G17</f>
        <v>31766.23076923077</v>
      </c>
      <c r="F17" s="24">
        <f>($F$29-$C$29)/G16</f>
        <v>46202.416666666664</v>
      </c>
      <c r="G17" s="20">
        <v>13</v>
      </c>
      <c r="H17" s="89">
        <v>45552</v>
      </c>
      <c r="I17" s="21"/>
      <c r="J17" s="12">
        <v>40920</v>
      </c>
      <c r="K17" s="85">
        <f>SUM(J$5:J17)-SUM(I$5:I17)</f>
        <v>486237</v>
      </c>
      <c r="L17" s="10">
        <f>SUM(J$5:J17)/G17</f>
        <v>37402.846153846156</v>
      </c>
      <c r="M17" s="10">
        <f>($M$29-$J$29)/G16</f>
        <v>39301.583333333336</v>
      </c>
      <c r="N17" s="105">
        <f>SUM(J$5:J17)-(M$5)*G17</f>
        <v>-55429.666666666628</v>
      </c>
      <c r="O17" s="82" t="s">
        <v>58</v>
      </c>
    </row>
    <row r="18" spans="1:33" ht="20.100000000000001" customHeight="1" x14ac:dyDescent="0.2">
      <c r="B18" s="89">
        <v>45553</v>
      </c>
      <c r="C18" s="24">
        <v>32610</v>
      </c>
      <c r="D18" s="85">
        <f>SUM(C$5:C18)-($F$5*G18)</f>
        <v>-137762.33333333326</v>
      </c>
      <c r="E18" s="24">
        <f>SUM(C$5:C18)/G18</f>
        <v>31826.5</v>
      </c>
      <c r="F18" s="24">
        <f>($F$29-$C$29)/G15</f>
        <v>50402.63636363636</v>
      </c>
      <c r="G18" s="20">
        <v>14</v>
      </c>
      <c r="H18" s="89">
        <v>45553</v>
      </c>
      <c r="I18" s="12"/>
      <c r="J18" s="12">
        <v>42144</v>
      </c>
      <c r="K18" s="85">
        <f>SUM(J$5:J18)-SUM(I$5:I18)</f>
        <v>528381</v>
      </c>
      <c r="L18" s="10">
        <f>SUM(J$5:J18)/G18</f>
        <v>37741.5</v>
      </c>
      <c r="M18" s="10">
        <f>($M$29-$J$29)/G15</f>
        <v>42874.454545454544</v>
      </c>
      <c r="N18" s="105">
        <f>SUM(J$5:J18)-(M$5)*G18</f>
        <v>-54952.333333333256</v>
      </c>
      <c r="O18" s="101">
        <f t="shared" si="0"/>
        <v>1</v>
      </c>
    </row>
    <row r="19" spans="1:33" ht="20.100000000000001" customHeight="1" x14ac:dyDescent="0.2">
      <c r="B19" s="89">
        <v>45554</v>
      </c>
      <c r="C19" s="24"/>
      <c r="D19" s="85">
        <f>SUM(C$5:C19)-($F$5*G19)</f>
        <v>-179429</v>
      </c>
      <c r="E19" s="24">
        <f>SUM(C$5:C19)/G19</f>
        <v>29704.733333333334</v>
      </c>
      <c r="F19" s="24">
        <f>($F$29-$C$29)/G14</f>
        <v>55442.9</v>
      </c>
      <c r="G19" s="20">
        <v>15</v>
      </c>
      <c r="H19" s="89">
        <v>45554</v>
      </c>
      <c r="I19" s="12"/>
      <c r="J19" s="12"/>
      <c r="K19" s="85">
        <f>SUM(J$5:J18)-SUM(I$5:I19)</f>
        <v>528381</v>
      </c>
      <c r="L19" s="10">
        <f>SUM(J$5:J18)/G19</f>
        <v>35225.4</v>
      </c>
      <c r="M19" s="10">
        <f>($M$29-$J$29)/G14</f>
        <v>47161.9</v>
      </c>
      <c r="N19" s="105">
        <f>SUM(J$5:J18)-(M$5)*G19</f>
        <v>-96619</v>
      </c>
      <c r="O19" s="101">
        <f t="shared" si="0"/>
        <v>0</v>
      </c>
    </row>
    <row r="20" spans="1:33" ht="20.100000000000001" customHeight="1" x14ac:dyDescent="0.2">
      <c r="B20" s="89">
        <v>45555</v>
      </c>
      <c r="C20" s="24"/>
      <c r="D20" s="85">
        <f>SUM(C$5:C20)-($F$5*G20)</f>
        <v>-221095.66666666663</v>
      </c>
      <c r="E20" s="24">
        <f>SUM(C$5:C20)/G20</f>
        <v>27848.1875</v>
      </c>
      <c r="F20" s="24">
        <f>($F$29-$C$29)/G13</f>
        <v>61603.222222222219</v>
      </c>
      <c r="G20" s="20">
        <v>16</v>
      </c>
      <c r="H20" s="89">
        <v>45555</v>
      </c>
      <c r="I20" s="13"/>
      <c r="J20" s="12"/>
      <c r="K20" s="85">
        <f>SUM(J$5:J20)-SUM(I$5:I20)</f>
        <v>528381</v>
      </c>
      <c r="L20" s="10">
        <f>SUM(J$5:J20)/G20</f>
        <v>33023.8125</v>
      </c>
      <c r="M20" s="10">
        <f>($M$29-$J$29)/G13</f>
        <v>52402.111111111109</v>
      </c>
      <c r="N20" s="105">
        <f>SUM(J$5:J20)-(M$5)*G20</f>
        <v>-138285.66666666663</v>
      </c>
      <c r="O20" s="101">
        <f t="shared" si="0"/>
        <v>0</v>
      </c>
    </row>
    <row r="21" spans="1:33" ht="20.100000000000001" customHeight="1" x14ac:dyDescent="0.25">
      <c r="B21" s="89">
        <v>45556</v>
      </c>
      <c r="C21" s="106"/>
      <c r="D21" s="85">
        <f>SUM(C$5:C21)-($F$5*G21)</f>
        <v>-262762.33333333326</v>
      </c>
      <c r="E21" s="24">
        <f>SUM(C$5:C21)/G21</f>
        <v>26210.058823529413</v>
      </c>
      <c r="F21" s="24">
        <f>($F$29-$C$29)/G12</f>
        <v>69303.625</v>
      </c>
      <c r="G21" s="20">
        <v>17</v>
      </c>
      <c r="H21" s="89">
        <v>45556</v>
      </c>
      <c r="I21" s="13"/>
      <c r="J21" s="12"/>
      <c r="K21" s="85">
        <f>SUM(J$5:J21)-SUM(I$5:I21)</f>
        <v>528381</v>
      </c>
      <c r="L21" s="10">
        <f>SUM(J$5:J21)/G21</f>
        <v>31081.235294117647</v>
      </c>
      <c r="M21" s="10">
        <f>($M$29-$J$29)/G12</f>
        <v>58952.375</v>
      </c>
      <c r="N21" s="105">
        <f>SUM(J$5:J21)-(M$5)*G21</f>
        <v>-179952.33333333326</v>
      </c>
      <c r="O21" s="101">
        <f t="shared" si="0"/>
        <v>0</v>
      </c>
    </row>
    <row r="22" spans="1:33" ht="20.100000000000001" customHeight="1" x14ac:dyDescent="0.25">
      <c r="B22" s="89">
        <v>45558</v>
      </c>
      <c r="C22" s="107"/>
      <c r="D22" s="85">
        <f>SUM(C$5:C22)-($F$5*G22)</f>
        <v>-304429</v>
      </c>
      <c r="E22" s="24">
        <f>SUM(C$5:C22)/G22</f>
        <v>24753.944444444445</v>
      </c>
      <c r="F22" s="24">
        <f>($F$29-$C$29)/G11</f>
        <v>79204.142857142855</v>
      </c>
      <c r="G22" s="20">
        <v>18</v>
      </c>
      <c r="H22" s="89">
        <v>45558</v>
      </c>
      <c r="I22" s="12"/>
      <c r="J22" s="12"/>
      <c r="K22" s="85">
        <f>SUM(J$5:J22)-SUM(I$5:I22)</f>
        <v>528381</v>
      </c>
      <c r="L22" s="10">
        <f>SUM(J$5:J22)/G22</f>
        <v>29354.5</v>
      </c>
      <c r="M22" s="10">
        <f>($M$29-$J$29)/G11</f>
        <v>67374.142857142855</v>
      </c>
      <c r="N22" s="105">
        <f>SUM(J$5:J22)-(M$5)*G22</f>
        <v>-221619</v>
      </c>
      <c r="O22" s="101">
        <f t="shared" si="0"/>
        <v>0</v>
      </c>
    </row>
    <row r="23" spans="1:33" ht="20.100000000000001" customHeight="1" x14ac:dyDescent="0.2">
      <c r="B23" s="89">
        <v>45559</v>
      </c>
      <c r="C23" s="24"/>
      <c r="D23" s="85">
        <f>SUM(C$5:C23)-($F$5*G23)</f>
        <v>-346095.66666666663</v>
      </c>
      <c r="E23" s="24">
        <f>SUM(C$5:C23)/G23</f>
        <v>23451.105263157893</v>
      </c>
      <c r="F23" s="24">
        <f>($F$29-$C$29)/G10</f>
        <v>92404.833333333328</v>
      </c>
      <c r="G23" s="20">
        <v>19</v>
      </c>
      <c r="H23" s="89">
        <v>45559</v>
      </c>
      <c r="I23" s="12"/>
      <c r="J23" s="12"/>
      <c r="K23" s="85">
        <f>SUM(J$5:J23)-SUM(I$5:I23)</f>
        <v>528381</v>
      </c>
      <c r="L23" s="10">
        <f>SUM(J$5:J23)/G23</f>
        <v>27809.526315789473</v>
      </c>
      <c r="M23" s="10">
        <f>($M$29-$J$29)/G10</f>
        <v>78603.166666666672</v>
      </c>
      <c r="N23" s="105">
        <f>SUM(J$5:J23)-(M$5)*G23</f>
        <v>-263285.66666666663</v>
      </c>
      <c r="O23" s="101">
        <f t="shared" si="0"/>
        <v>0</v>
      </c>
    </row>
    <row r="24" spans="1:33" ht="20.100000000000001" customHeight="1" x14ac:dyDescent="0.2">
      <c r="B24" s="89">
        <v>45560</v>
      </c>
      <c r="C24" s="24"/>
      <c r="D24" s="85">
        <f>SUM(C$5:C24)-($F$5*G24)</f>
        <v>-387762.33333333326</v>
      </c>
      <c r="E24" s="24">
        <f>SUM(C$5:C24)/G24</f>
        <v>22278.55</v>
      </c>
      <c r="F24" s="24">
        <f>($F$29-$C$29)/G9</f>
        <v>110885.8</v>
      </c>
      <c r="G24" s="20">
        <v>20</v>
      </c>
      <c r="H24" s="89">
        <v>45560</v>
      </c>
      <c r="I24" s="12"/>
      <c r="J24" s="12"/>
      <c r="K24" s="85">
        <f>SUM(J$5:J24)-SUM(I$5:I24)</f>
        <v>528381</v>
      </c>
      <c r="L24" s="10">
        <f>SUM(J$5:J24)/G24</f>
        <v>26419.05</v>
      </c>
      <c r="M24" s="10">
        <f>($M$29-$J$29)/G9</f>
        <v>94323.8</v>
      </c>
      <c r="N24" s="105">
        <f>SUM(J$5:J24)-(M$5)*G24</f>
        <v>-304952.33333333326</v>
      </c>
      <c r="O24" s="101">
        <f t="shared" si="0"/>
        <v>0</v>
      </c>
    </row>
    <row r="25" spans="1:33" ht="20.100000000000001" customHeight="1" x14ac:dyDescent="0.2">
      <c r="B25" s="89">
        <v>45561</v>
      </c>
      <c r="C25" s="24"/>
      <c r="D25" s="85">
        <f>SUM(C$5:C25)-($F$5*G25)</f>
        <v>-429429</v>
      </c>
      <c r="E25" s="24">
        <f>SUM(C$5:C25)/G25</f>
        <v>21217.666666666668</v>
      </c>
      <c r="F25" s="24">
        <f>($F$29-$C$29)/G8</f>
        <v>138607.25</v>
      </c>
      <c r="G25" s="20">
        <v>21</v>
      </c>
      <c r="H25" s="89">
        <v>45561</v>
      </c>
      <c r="I25" s="12"/>
      <c r="J25" s="12"/>
      <c r="K25" s="85">
        <f>SUM(J$5:J25)-SUM(I$5:I25)</f>
        <v>528381</v>
      </c>
      <c r="L25" s="10">
        <f>SUM(J$5:J25)/G25</f>
        <v>25161</v>
      </c>
      <c r="M25" s="10">
        <f>($M$29-$J$29)/G8</f>
        <v>117904.75</v>
      </c>
      <c r="N25" s="105">
        <f>SUM(J$5:J25)-(M$5)*G25</f>
        <v>-346619</v>
      </c>
      <c r="O25" s="101">
        <f t="shared" si="0"/>
        <v>0</v>
      </c>
    </row>
    <row r="26" spans="1:33" ht="20.100000000000001" customHeight="1" x14ac:dyDescent="0.2">
      <c r="B26" s="89">
        <v>45562</v>
      </c>
      <c r="C26" s="24"/>
      <c r="D26" s="85">
        <f>SUM(C$5:C26)-($F$5*G26)</f>
        <v>-471095.66666666663</v>
      </c>
      <c r="E26" s="24">
        <f>SUM(C$5:C26)/G26</f>
        <v>20253.227272727272</v>
      </c>
      <c r="F26" s="24">
        <f>($F$29-$C$29)/G7</f>
        <v>184809.66666666666</v>
      </c>
      <c r="G26" s="20">
        <v>22</v>
      </c>
      <c r="H26" s="89">
        <v>45562</v>
      </c>
      <c r="I26" s="12"/>
      <c r="J26" s="12"/>
      <c r="K26" s="85">
        <f>SUM(J$5:J26)-SUM(I$5:I26)</f>
        <v>528381</v>
      </c>
      <c r="L26" s="10">
        <f>SUM(J$5:J26)/G26</f>
        <v>24017.31818181818</v>
      </c>
      <c r="M26" s="10">
        <f>($M$29-$J$29)/G7</f>
        <v>157206.33333333334</v>
      </c>
      <c r="N26" s="105">
        <f>SUM(J$5:J26)-(M$5)*G26</f>
        <v>-388285.66666666663</v>
      </c>
      <c r="O26" s="101">
        <f t="shared" si="0"/>
        <v>0</v>
      </c>
    </row>
    <row r="27" spans="1:33" ht="20.100000000000001" customHeight="1" x14ac:dyDescent="0.2">
      <c r="B27" s="89">
        <v>45563</v>
      </c>
      <c r="C27" s="24"/>
      <c r="D27" s="85">
        <f>SUM(C$5:C27)-($F$5*G27)</f>
        <v>-512762.33333333326</v>
      </c>
      <c r="E27" s="24">
        <f>SUM(C$5:C27)/G27</f>
        <v>19372.652173913044</v>
      </c>
      <c r="F27" s="24">
        <f>($F$29-$C$29)/G6</f>
        <v>277214.5</v>
      </c>
      <c r="G27" s="20">
        <v>23</v>
      </c>
      <c r="H27" s="89">
        <v>45563</v>
      </c>
      <c r="I27" s="12"/>
      <c r="J27" s="12"/>
      <c r="K27" s="85">
        <f>SUM(J$5:J27)-SUM(I$5:I27)</f>
        <v>528381</v>
      </c>
      <c r="L27" s="10">
        <f>SUM(J$5:J27)/G27</f>
        <v>22973.08695652174</v>
      </c>
      <c r="M27" s="10">
        <f>($M$29-$J$29)/G6</f>
        <v>235809.5</v>
      </c>
      <c r="N27" s="105">
        <f>SUM(J$5:J27)-(M$5)*G27</f>
        <v>-429952.33333333326</v>
      </c>
      <c r="O27" s="101">
        <f t="shared" si="0"/>
        <v>0</v>
      </c>
    </row>
    <row r="28" spans="1:33" ht="20.100000000000001" customHeight="1" x14ac:dyDescent="0.2">
      <c r="B28" s="89">
        <v>45565</v>
      </c>
      <c r="C28" s="24"/>
      <c r="D28" s="85">
        <f>SUM(C$5:C28)-($F$5*G28)</f>
        <v>-554429</v>
      </c>
      <c r="E28" s="24">
        <f>SUM(C$5:C28)/G28</f>
        <v>18565.458333333332</v>
      </c>
      <c r="F28" s="24">
        <f>($F$29-$C$29)/G5</f>
        <v>554429</v>
      </c>
      <c r="G28" s="20">
        <v>24</v>
      </c>
      <c r="H28" s="89">
        <v>45565</v>
      </c>
      <c r="I28" s="12"/>
      <c r="J28" s="12"/>
      <c r="K28" s="85">
        <f>SUM(J$5:J28)-SUM(I$5:I28)</f>
        <v>528381</v>
      </c>
      <c r="L28" s="10">
        <f>SUM(J$5:J28)/G28</f>
        <v>22015.875</v>
      </c>
      <c r="M28" s="10">
        <f>($M$29-$J$29)/G5</f>
        <v>471619</v>
      </c>
      <c r="N28" s="105">
        <f>SUM(J$5:J28)-(M$5)*G28</f>
        <v>-471619</v>
      </c>
      <c r="O28" s="101">
        <f t="shared" si="0"/>
        <v>0</v>
      </c>
    </row>
    <row r="29" spans="1:33" ht="20.100000000000001" customHeight="1" x14ac:dyDescent="0.2">
      <c r="B29" s="19" t="s">
        <v>8</v>
      </c>
      <c r="C29" s="12">
        <f>SUM(C5:C28)</f>
        <v>445571</v>
      </c>
      <c r="D29" s="86"/>
      <c r="E29" s="23"/>
      <c r="F29" s="30">
        <v>1000000</v>
      </c>
      <c r="G29" s="18"/>
      <c r="H29" s="11" t="s">
        <v>8</v>
      </c>
      <c r="I29" s="12">
        <f>SUM(I5:I28)</f>
        <v>0</v>
      </c>
      <c r="J29" s="12">
        <f>SUM(J5:J28)</f>
        <v>528381</v>
      </c>
      <c r="K29" s="8"/>
      <c r="L29" s="8"/>
      <c r="M29" s="10">
        <v>1000000</v>
      </c>
    </row>
    <row r="30" spans="1:33" ht="19.5" customHeight="1" x14ac:dyDescent="0.25">
      <c r="C30" s="110"/>
      <c r="F30" s="9">
        <f>E18*G28</f>
        <v>763836</v>
      </c>
      <c r="J30" s="110"/>
      <c r="M30" s="9">
        <f>L18*G28</f>
        <v>905796</v>
      </c>
    </row>
    <row r="31" spans="1:33" s="99" customFormat="1" ht="19.5" customHeight="1" x14ac:dyDescent="0.25">
      <c r="A31" s="6"/>
      <c r="B31" s="6"/>
      <c r="C31" s="9"/>
      <c r="D31" s="104"/>
      <c r="E31" s="9"/>
      <c r="F31" s="9"/>
      <c r="G31" s="6"/>
      <c r="H31" s="6"/>
      <c r="I31" s="9"/>
      <c r="J31" s="9"/>
      <c r="K31" s="9"/>
      <c r="L31" s="9"/>
      <c r="M31" s="9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" x14ac:dyDescent="0.25">
      <c r="L32" s="103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</row>
    <row r="33" spans="1:33" s="99" customFormat="1" x14ac:dyDescent="0.2">
      <c r="A33" s="156"/>
      <c r="B33" s="156"/>
      <c r="C33" s="156"/>
      <c r="D33" s="156"/>
      <c r="E33" s="9"/>
      <c r="F33" s="9"/>
      <c r="G33" s="6"/>
      <c r="H33" s="6"/>
      <c r="I33" s="34"/>
      <c r="J33" s="34"/>
      <c r="K33" s="32"/>
      <c r="L33" s="9"/>
      <c r="M33" s="9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s="99" customFormat="1" x14ac:dyDescent="0.2">
      <c r="A34" s="6"/>
      <c r="B34" s="6"/>
      <c r="C34" s="9"/>
      <c r="D34" s="87"/>
      <c r="E34" s="9"/>
      <c r="F34" s="9"/>
      <c r="G34" s="6"/>
      <c r="H34" s="6"/>
      <c r="I34" s="9"/>
      <c r="J34" s="9"/>
      <c r="K34" s="9"/>
      <c r="L34" s="9"/>
      <c r="M34" s="33"/>
      <c r="O34" s="6"/>
    </row>
    <row r="35" spans="1:33" x14ac:dyDescent="0.2"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</row>
    <row r="37" spans="1:33" x14ac:dyDescent="0.2">
      <c r="B37" s="98"/>
      <c r="C37" s="6"/>
    </row>
    <row r="38" spans="1:33" x14ac:dyDescent="0.2">
      <c r="B38" s="98"/>
      <c r="C38" s="97"/>
    </row>
    <row r="39" spans="1:33" x14ac:dyDescent="0.2">
      <c r="B39" s="98"/>
    </row>
    <row r="40" spans="1:33" s="9" customFormat="1" x14ac:dyDescent="0.2">
      <c r="A40" s="6"/>
      <c r="B40" s="102"/>
      <c r="D40" s="87"/>
      <c r="G40" s="6"/>
      <c r="H40" s="6"/>
      <c r="N40" s="99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s="9" customFormat="1" x14ac:dyDescent="0.2">
      <c r="A41" s="6"/>
      <c r="B41" s="102"/>
      <c r="D41" s="87"/>
      <c r="G41" s="6"/>
      <c r="H41" s="6"/>
      <c r="N41" s="99"/>
      <c r="O41" s="6"/>
    </row>
    <row r="42" spans="1:33" x14ac:dyDescent="0.2"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</sheetData>
  <mergeCells count="5">
    <mergeCell ref="B1:F2"/>
    <mergeCell ref="H1:M2"/>
    <mergeCell ref="B3:F3"/>
    <mergeCell ref="H3:M3"/>
    <mergeCell ref="A33:D33"/>
  </mergeCells>
  <conditionalFormatting sqref="K29 K21 N21 D21 D6:D19 N6:N19 K5:K19">
    <cfRule type="cellIs" dxfId="343" priority="18" stopIfTrue="1" operator="lessThan">
      <formula>0</formula>
    </cfRule>
  </conditionalFormatting>
  <conditionalFormatting sqref="D5">
    <cfRule type="cellIs" dxfId="342" priority="17" stopIfTrue="1" operator="lessThan">
      <formula>0</formula>
    </cfRule>
  </conditionalFormatting>
  <conditionalFormatting sqref="N5">
    <cfRule type="cellIs" dxfId="341" priority="16" stopIfTrue="1" operator="lessThan">
      <formula>0</formula>
    </cfRule>
  </conditionalFormatting>
  <conditionalFormatting sqref="K20 N20 D20">
    <cfRule type="cellIs" dxfId="340" priority="15" stopIfTrue="1" operator="lessThan">
      <formula>0</formula>
    </cfRule>
  </conditionalFormatting>
  <conditionalFormatting sqref="D27 N27">
    <cfRule type="cellIs" dxfId="339" priority="14" stopIfTrue="1" operator="lessThan">
      <formula>0</formula>
    </cfRule>
  </conditionalFormatting>
  <conditionalFormatting sqref="K27">
    <cfRule type="cellIs" dxfId="338" priority="13" stopIfTrue="1" operator="lessThan">
      <formula>0</formula>
    </cfRule>
  </conditionalFormatting>
  <conditionalFormatting sqref="D22 N22">
    <cfRule type="cellIs" dxfId="337" priority="12" stopIfTrue="1" operator="lessThan">
      <formula>0</formula>
    </cfRule>
  </conditionalFormatting>
  <conditionalFormatting sqref="K22">
    <cfRule type="cellIs" dxfId="336" priority="11" stopIfTrue="1" operator="lessThan">
      <formula>0</formula>
    </cfRule>
  </conditionalFormatting>
  <conditionalFormatting sqref="D23 N23">
    <cfRule type="cellIs" dxfId="335" priority="10" stopIfTrue="1" operator="lessThan">
      <formula>0</formula>
    </cfRule>
  </conditionalFormatting>
  <conditionalFormatting sqref="K23">
    <cfRule type="cellIs" dxfId="334" priority="9" stopIfTrue="1" operator="lessThan">
      <formula>0</formula>
    </cfRule>
  </conditionalFormatting>
  <conditionalFormatting sqref="D24 N24">
    <cfRule type="cellIs" dxfId="333" priority="8" stopIfTrue="1" operator="lessThan">
      <formula>0</formula>
    </cfRule>
  </conditionalFormatting>
  <conditionalFormatting sqref="K24">
    <cfRule type="cellIs" dxfId="332" priority="7" stopIfTrue="1" operator="lessThan">
      <formula>0</formula>
    </cfRule>
  </conditionalFormatting>
  <conditionalFormatting sqref="D28 N28">
    <cfRule type="cellIs" dxfId="331" priority="6" stopIfTrue="1" operator="lessThan">
      <formula>0</formula>
    </cfRule>
  </conditionalFormatting>
  <conditionalFormatting sqref="K28">
    <cfRule type="cellIs" dxfId="330" priority="5" stopIfTrue="1" operator="lessThan">
      <formula>0</formula>
    </cfRule>
  </conditionalFormatting>
  <conditionalFormatting sqref="D26 N26">
    <cfRule type="cellIs" dxfId="329" priority="4" stopIfTrue="1" operator="lessThan">
      <formula>0</formula>
    </cfRule>
  </conditionalFormatting>
  <conditionalFormatting sqref="K26">
    <cfRule type="cellIs" dxfId="328" priority="3" stopIfTrue="1" operator="lessThan">
      <formula>0</formula>
    </cfRule>
  </conditionalFormatting>
  <conditionalFormatting sqref="D25 N25">
    <cfRule type="cellIs" dxfId="327" priority="2" stopIfTrue="1" operator="lessThan">
      <formula>0</formula>
    </cfRule>
  </conditionalFormatting>
  <conditionalFormatting sqref="K25">
    <cfRule type="cellIs" dxfId="326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40">
    <tabColor rgb="FF92D050"/>
  </sheetPr>
  <dimension ref="B1:L29"/>
  <sheetViews>
    <sheetView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41306</v>
      </c>
      <c r="C4" s="24">
        <v>71795</v>
      </c>
      <c r="D4" s="25">
        <f>(SUM(C4:C4)-(F4*1))</f>
        <v>21795</v>
      </c>
      <c r="E4" s="24">
        <f>C4/1</f>
        <v>71795</v>
      </c>
      <c r="F4" s="30">
        <f t="shared" ref="F4:F23" si="0">$F$24/$G$23</f>
        <v>50000</v>
      </c>
      <c r="G4" s="20">
        <v>1</v>
      </c>
      <c r="H4" s="19">
        <v>41306</v>
      </c>
      <c r="I4" s="12">
        <v>44878</v>
      </c>
      <c r="J4" s="10">
        <f>(SUM(I4:I4)-(L4*1))</f>
        <v>15878</v>
      </c>
      <c r="K4" s="10">
        <f>I4/1</f>
        <v>44878</v>
      </c>
      <c r="L4" s="10">
        <f t="shared" ref="L4:L23" si="1">$L$24/$G$23</f>
        <v>29000</v>
      </c>
    </row>
    <row r="5" spans="2:12" ht="20.100000000000001" customHeight="1" x14ac:dyDescent="0.2">
      <c r="B5" s="19">
        <v>41309</v>
      </c>
      <c r="C5" s="26">
        <v>46153</v>
      </c>
      <c r="D5" s="25">
        <f>(SUM(C$4:C5)-(F5*G5))</f>
        <v>17948</v>
      </c>
      <c r="E5" s="24">
        <f>SUM(C$4:C5)/G5</f>
        <v>58974</v>
      </c>
      <c r="F5" s="30">
        <f t="shared" si="0"/>
        <v>50000</v>
      </c>
      <c r="G5" s="20">
        <f>G4+1</f>
        <v>2</v>
      </c>
      <c r="H5" s="19">
        <v>41309</v>
      </c>
      <c r="I5" s="21">
        <v>24808</v>
      </c>
      <c r="J5" s="10">
        <f>SUM(I$4:I5)-(L5*G5)</f>
        <v>11686</v>
      </c>
      <c r="K5" s="10">
        <f>SUM(I$4:I5)/G5</f>
        <v>34843</v>
      </c>
      <c r="L5" s="10">
        <f t="shared" si="1"/>
        <v>29000</v>
      </c>
    </row>
    <row r="6" spans="2:12" ht="20.100000000000001" customHeight="1" x14ac:dyDescent="0.2">
      <c r="B6" s="19">
        <v>41310</v>
      </c>
      <c r="C6" s="24">
        <v>45157</v>
      </c>
      <c r="D6" s="25">
        <f>(SUM(C$4:C6)-(F6*G6))</f>
        <v>13105</v>
      </c>
      <c r="E6" s="24">
        <f>SUM(C$4:C6)/G6</f>
        <v>54368.333333333336</v>
      </c>
      <c r="F6" s="30">
        <f t="shared" si="0"/>
        <v>50000</v>
      </c>
      <c r="G6" s="20">
        <f t="shared" ref="G6:G23" si="2">G5+1</f>
        <v>3</v>
      </c>
      <c r="H6" s="19">
        <v>41310</v>
      </c>
      <c r="I6" s="21">
        <v>30536</v>
      </c>
      <c r="J6" s="10">
        <f>SUM(I$4:I6)-(L6*G6)</f>
        <v>13222</v>
      </c>
      <c r="K6" s="10">
        <f>SUM(I$4:I6)/G6</f>
        <v>33407.333333333336</v>
      </c>
      <c r="L6" s="10">
        <f t="shared" si="1"/>
        <v>29000</v>
      </c>
    </row>
    <row r="7" spans="2:12" ht="20.100000000000001" customHeight="1" x14ac:dyDescent="0.2">
      <c r="B7" s="19">
        <v>41311</v>
      </c>
      <c r="C7" s="24">
        <v>49102</v>
      </c>
      <c r="D7" s="25">
        <f>(SUM(C$4:C7)-(F7*G7))</f>
        <v>12207</v>
      </c>
      <c r="E7" s="24">
        <f>SUM(C$4:C7)/G7</f>
        <v>53051.75</v>
      </c>
      <c r="F7" s="30">
        <f t="shared" si="0"/>
        <v>50000</v>
      </c>
      <c r="G7" s="20">
        <f t="shared" si="2"/>
        <v>4</v>
      </c>
      <c r="H7" s="19">
        <v>41311</v>
      </c>
      <c r="I7" s="21">
        <v>29480</v>
      </c>
      <c r="J7" s="10">
        <f>SUM(I$4:I7)-(L7*G7)</f>
        <v>13702</v>
      </c>
      <c r="K7" s="10">
        <f>SUM(I$4:I7)/G7</f>
        <v>32425.5</v>
      </c>
      <c r="L7" s="10">
        <f t="shared" si="1"/>
        <v>29000</v>
      </c>
    </row>
    <row r="8" spans="2:12" ht="20.100000000000001" customHeight="1" x14ac:dyDescent="0.2">
      <c r="B8" s="19">
        <v>41312</v>
      </c>
      <c r="C8" s="24">
        <v>34763</v>
      </c>
      <c r="D8" s="25">
        <f>(SUM(C$4:C8)-(F8*G8))</f>
        <v>-3030</v>
      </c>
      <c r="E8" s="24">
        <f>SUM(C$4:C8)/G8</f>
        <v>49394</v>
      </c>
      <c r="F8" s="30">
        <f t="shared" si="0"/>
        <v>50000</v>
      </c>
      <c r="G8" s="20">
        <f t="shared" si="2"/>
        <v>5</v>
      </c>
      <c r="H8" s="19">
        <v>41312</v>
      </c>
      <c r="I8" s="21">
        <v>19356</v>
      </c>
      <c r="J8" s="10">
        <f>SUM(I$4:I8)-(L8*G8)</f>
        <v>4058</v>
      </c>
      <c r="K8" s="10">
        <f>SUM(I$4:I8)/G8</f>
        <v>29811.599999999999</v>
      </c>
      <c r="L8" s="10">
        <f t="shared" si="1"/>
        <v>29000</v>
      </c>
    </row>
    <row r="9" spans="2:12" ht="19.5" customHeight="1" x14ac:dyDescent="0.2">
      <c r="B9" s="19">
        <v>41313</v>
      </c>
      <c r="C9" s="24">
        <v>60218</v>
      </c>
      <c r="D9" s="25">
        <f>(SUM(C$4:C9)-(F9*G9))</f>
        <v>7188</v>
      </c>
      <c r="E9" s="24">
        <f>SUM(C$4:C9)/G9</f>
        <v>51198</v>
      </c>
      <c r="F9" s="30">
        <f t="shared" si="0"/>
        <v>50000</v>
      </c>
      <c r="G9" s="20">
        <f t="shared" si="2"/>
        <v>6</v>
      </c>
      <c r="H9" s="19">
        <v>41313</v>
      </c>
      <c r="I9" s="21">
        <v>27142</v>
      </c>
      <c r="J9" s="10">
        <f>SUM(I$4:I9)-(L9*G9)</f>
        <v>2200</v>
      </c>
      <c r="K9" s="10">
        <f>SUM(I$4:I9)/G9</f>
        <v>29366.666666666668</v>
      </c>
      <c r="L9" s="10">
        <f t="shared" si="1"/>
        <v>29000</v>
      </c>
    </row>
    <row r="10" spans="2:12" ht="20.100000000000001" customHeight="1" x14ac:dyDescent="0.2">
      <c r="B10" s="19">
        <v>41316</v>
      </c>
      <c r="C10" s="27">
        <v>46688</v>
      </c>
      <c r="D10" s="25">
        <f>(SUM(C$4:C10)-(F10*G10))</f>
        <v>3876</v>
      </c>
      <c r="E10" s="24">
        <f>SUM(C$4:C10)/G10</f>
        <v>50553.714285714283</v>
      </c>
      <c r="F10" s="30">
        <f t="shared" si="0"/>
        <v>50000</v>
      </c>
      <c r="G10" s="20">
        <f t="shared" si="2"/>
        <v>7</v>
      </c>
      <c r="H10" s="19">
        <v>41316</v>
      </c>
      <c r="I10" s="22">
        <v>22001</v>
      </c>
      <c r="J10" s="10">
        <f>SUM(I$4:I10)-(L10*G10)</f>
        <v>-4799</v>
      </c>
      <c r="K10" s="10">
        <f>SUM(I$4:I10)/G10</f>
        <v>28314.428571428572</v>
      </c>
      <c r="L10" s="10">
        <f t="shared" si="1"/>
        <v>29000</v>
      </c>
    </row>
    <row r="11" spans="2:12" ht="20.100000000000001" customHeight="1" x14ac:dyDescent="0.2">
      <c r="B11" s="19">
        <v>41317</v>
      </c>
      <c r="C11" s="27">
        <v>34163</v>
      </c>
      <c r="D11" s="25">
        <f>(SUM(C$4:C11)-(F11*G11))</f>
        <v>-11961</v>
      </c>
      <c r="E11" s="24">
        <f>SUM(C$4:C11)/G11</f>
        <v>48504.875</v>
      </c>
      <c r="F11" s="30">
        <f t="shared" si="0"/>
        <v>50000</v>
      </c>
      <c r="G11" s="20">
        <f t="shared" si="2"/>
        <v>8</v>
      </c>
      <c r="H11" s="19">
        <v>41317</v>
      </c>
      <c r="I11" s="22">
        <v>20823</v>
      </c>
      <c r="J11" s="10">
        <f>SUM(I$4:I11)-(L11*G11)</f>
        <v>-12976</v>
      </c>
      <c r="K11" s="10">
        <f>SUM(I$4:I11)/G11</f>
        <v>27378</v>
      </c>
      <c r="L11" s="10">
        <f t="shared" si="1"/>
        <v>29000</v>
      </c>
    </row>
    <row r="12" spans="2:12" ht="20.100000000000001" customHeight="1" x14ac:dyDescent="0.2">
      <c r="B12" s="19">
        <v>41318</v>
      </c>
      <c r="C12" s="24">
        <v>44673</v>
      </c>
      <c r="D12" s="25">
        <f>(SUM(C$4:C12)-(F12*G12))</f>
        <v>-17288</v>
      </c>
      <c r="E12" s="24">
        <f>SUM(C$4:C12)/G12</f>
        <v>48079.111111111109</v>
      </c>
      <c r="F12" s="30">
        <f t="shared" si="0"/>
        <v>50000</v>
      </c>
      <c r="G12" s="20">
        <f t="shared" si="2"/>
        <v>9</v>
      </c>
      <c r="H12" s="19">
        <v>41318</v>
      </c>
      <c r="I12" s="21">
        <v>23467</v>
      </c>
      <c r="J12" s="10">
        <f>SUM(I$4:I12)-(L12*G12)</f>
        <v>-18509</v>
      </c>
      <c r="K12" s="10">
        <f>SUM(I$4:I12)/G12</f>
        <v>26943.444444444445</v>
      </c>
      <c r="L12" s="10">
        <f t="shared" si="1"/>
        <v>29000</v>
      </c>
    </row>
    <row r="13" spans="2:12" ht="20.100000000000001" customHeight="1" x14ac:dyDescent="0.2">
      <c r="B13" s="19">
        <v>41319</v>
      </c>
      <c r="C13" s="24">
        <v>35996</v>
      </c>
      <c r="D13" s="25">
        <f>(SUM(C$4:C13)-(F13*G13))</f>
        <v>-31292</v>
      </c>
      <c r="E13" s="24">
        <f>SUM(C$4:C13)/G13</f>
        <v>46870.8</v>
      </c>
      <c r="F13" s="30">
        <f t="shared" si="0"/>
        <v>50000</v>
      </c>
      <c r="G13" s="20">
        <f t="shared" si="2"/>
        <v>10</v>
      </c>
      <c r="H13" s="19">
        <v>41319</v>
      </c>
      <c r="I13" s="21">
        <v>24795</v>
      </c>
      <c r="J13" s="10">
        <f>SUM(I$4:I13)-(L13*G13)</f>
        <v>-22714</v>
      </c>
      <c r="K13" s="10">
        <f>SUM(I$4:I13)/G13</f>
        <v>26728.6</v>
      </c>
      <c r="L13" s="10">
        <f t="shared" si="1"/>
        <v>29000</v>
      </c>
    </row>
    <row r="14" spans="2:12" ht="20.100000000000001" customHeight="1" x14ac:dyDescent="0.2">
      <c r="B14" s="19">
        <v>41320</v>
      </c>
      <c r="C14" s="29">
        <v>77724</v>
      </c>
      <c r="D14" s="25">
        <f>(SUM(C$4:C14)-(F14*G14))</f>
        <v>-3568</v>
      </c>
      <c r="E14" s="24">
        <f>SUM(C$4:C14)/G14</f>
        <v>49675.63636363636</v>
      </c>
      <c r="F14" s="30">
        <f t="shared" si="0"/>
        <v>50000</v>
      </c>
      <c r="G14" s="20">
        <f t="shared" si="2"/>
        <v>11</v>
      </c>
      <c r="H14" s="19">
        <v>41320</v>
      </c>
      <c r="I14" s="12">
        <v>22994</v>
      </c>
      <c r="J14" s="10">
        <f>SUM(I$4:I14)-(L14*G14)</f>
        <v>-28720</v>
      </c>
      <c r="K14" s="10">
        <f>SUM(I$4:I14)/G14</f>
        <v>26389.090909090908</v>
      </c>
      <c r="L14" s="10">
        <f t="shared" si="1"/>
        <v>29000</v>
      </c>
    </row>
    <row r="15" spans="2:12" ht="20.100000000000001" customHeight="1" x14ac:dyDescent="0.2">
      <c r="B15" s="19">
        <v>41323</v>
      </c>
      <c r="C15" s="29">
        <v>47080</v>
      </c>
      <c r="D15" s="25">
        <f>(SUM(C$4:C15)-(F15*G15))</f>
        <v>-6488</v>
      </c>
      <c r="E15" s="24">
        <f>SUM(C$4:C15)/G15</f>
        <v>49459.333333333336</v>
      </c>
      <c r="F15" s="30">
        <f t="shared" si="0"/>
        <v>50000</v>
      </c>
      <c r="G15" s="20">
        <f t="shared" si="2"/>
        <v>12</v>
      </c>
      <c r="H15" s="19">
        <v>41323</v>
      </c>
      <c r="I15" s="13">
        <v>11206</v>
      </c>
      <c r="J15" s="10">
        <f>SUM(I$4:I15)-(L15*G15)</f>
        <v>-46514</v>
      </c>
      <c r="K15" s="10">
        <f>SUM(I$4:I15)/G15</f>
        <v>25123.833333333332</v>
      </c>
      <c r="L15" s="10">
        <f t="shared" si="1"/>
        <v>29000</v>
      </c>
    </row>
    <row r="16" spans="2:12" ht="20.100000000000001" customHeight="1" x14ac:dyDescent="0.2">
      <c r="B16" s="19">
        <v>41324</v>
      </c>
      <c r="C16" s="29">
        <v>42884</v>
      </c>
      <c r="D16" s="25">
        <f>(SUM(C$4:C16)-(F16*G16))</f>
        <v>-13604</v>
      </c>
      <c r="E16" s="24">
        <f>SUM(C$4:C16)/G16</f>
        <v>48953.538461538461</v>
      </c>
      <c r="F16" s="30">
        <f t="shared" si="0"/>
        <v>50000</v>
      </c>
      <c r="G16" s="20">
        <f t="shared" si="2"/>
        <v>13</v>
      </c>
      <c r="H16" s="19">
        <v>41324</v>
      </c>
      <c r="I16" s="13">
        <v>17175</v>
      </c>
      <c r="J16" s="10">
        <f>SUM(I$4:I16)-(L16*G16)</f>
        <v>-58339</v>
      </c>
      <c r="K16" s="10">
        <f>SUM(I$4:I16)/G16</f>
        <v>24512.384615384617</v>
      </c>
      <c r="L16" s="10">
        <f t="shared" si="1"/>
        <v>29000</v>
      </c>
    </row>
    <row r="17" spans="2:12" ht="20.100000000000001" customHeight="1" x14ac:dyDescent="0.2">
      <c r="B17" s="19">
        <v>41325</v>
      </c>
      <c r="C17" s="29">
        <v>41473</v>
      </c>
      <c r="D17" s="25">
        <f>(SUM(C$4:C17)-(F17*G17))</f>
        <v>-22131</v>
      </c>
      <c r="E17" s="24">
        <f>SUM(C$4:C17)/G17</f>
        <v>48419.214285714283</v>
      </c>
      <c r="F17" s="30">
        <f t="shared" si="0"/>
        <v>50000</v>
      </c>
      <c r="G17" s="20">
        <f t="shared" si="2"/>
        <v>14</v>
      </c>
      <c r="H17" s="19">
        <v>41325</v>
      </c>
      <c r="I17" s="12">
        <v>24950</v>
      </c>
      <c r="J17" s="10">
        <f>SUM(I$4:I17)-(L17*G17)</f>
        <v>-62389</v>
      </c>
      <c r="K17" s="10">
        <f>SUM(I$4:I17)/G17</f>
        <v>24543.642857142859</v>
      </c>
      <c r="L17" s="10">
        <f t="shared" si="1"/>
        <v>29000</v>
      </c>
    </row>
    <row r="18" spans="2:12" ht="20.100000000000001" customHeight="1" x14ac:dyDescent="0.2">
      <c r="B18" s="19">
        <v>41326</v>
      </c>
      <c r="C18" s="29">
        <v>33227</v>
      </c>
      <c r="D18" s="25">
        <f>(SUM(C$4:C18)-(F18*G18))</f>
        <v>-38904</v>
      </c>
      <c r="E18" s="24">
        <f>SUM(C$4:C18)/G18</f>
        <v>47406.400000000001</v>
      </c>
      <c r="F18" s="30">
        <f t="shared" si="0"/>
        <v>50000</v>
      </c>
      <c r="G18" s="20">
        <f t="shared" si="2"/>
        <v>15</v>
      </c>
      <c r="H18" s="19">
        <v>41326</v>
      </c>
      <c r="I18" s="12">
        <v>21353</v>
      </c>
      <c r="J18" s="10">
        <f>SUM(I$4:I18)-(L18*G18)</f>
        <v>-70036</v>
      </c>
      <c r="K18" s="10">
        <f>SUM(I$4:I18)/G18</f>
        <v>24330.933333333334</v>
      </c>
      <c r="L18" s="10">
        <f t="shared" si="1"/>
        <v>29000</v>
      </c>
    </row>
    <row r="19" spans="2:12" ht="20.100000000000001" customHeight="1" x14ac:dyDescent="0.2">
      <c r="B19" s="19">
        <v>41327</v>
      </c>
      <c r="C19" s="29">
        <v>57907</v>
      </c>
      <c r="D19" s="25">
        <f>(SUM(C$4:C19)-(F19*G19))</f>
        <v>-30997</v>
      </c>
      <c r="E19" s="24">
        <f>SUM(C$4:C19)/G19</f>
        <v>48062.6875</v>
      </c>
      <c r="F19" s="30">
        <f t="shared" si="0"/>
        <v>50000</v>
      </c>
      <c r="G19" s="20">
        <f t="shared" si="2"/>
        <v>16</v>
      </c>
      <c r="H19" s="19">
        <v>41327</v>
      </c>
      <c r="I19" s="12">
        <v>34674</v>
      </c>
      <c r="J19" s="10">
        <f>SUM(I$4:I19)-(L19*G19)</f>
        <v>-64362</v>
      </c>
      <c r="K19" s="10">
        <f>SUM(I$4:I19)/G19</f>
        <v>24977.375</v>
      </c>
      <c r="L19" s="10">
        <f t="shared" si="1"/>
        <v>29000</v>
      </c>
    </row>
    <row r="20" spans="2:12" ht="20.100000000000001" customHeight="1" x14ac:dyDescent="0.2">
      <c r="B20" s="19">
        <v>41330</v>
      </c>
      <c r="C20" s="29">
        <v>36367</v>
      </c>
      <c r="D20" s="25">
        <f>(SUM(C$4:C20)-(F20*G20))</f>
        <v>-44630</v>
      </c>
      <c r="E20" s="24">
        <f>SUM(C$4:C20)/G20</f>
        <v>47374.705882352944</v>
      </c>
      <c r="F20" s="30">
        <f t="shared" si="0"/>
        <v>50000</v>
      </c>
      <c r="G20" s="20">
        <f t="shared" si="2"/>
        <v>17</v>
      </c>
      <c r="H20" s="19">
        <v>41330</v>
      </c>
      <c r="I20" s="12">
        <v>19856</v>
      </c>
      <c r="J20" s="10">
        <f>SUM(I$4:I20)-(L20*G20)</f>
        <v>-73506</v>
      </c>
      <c r="K20" s="10">
        <f>SUM(I$4:I20)/G20</f>
        <v>24676.117647058825</v>
      </c>
      <c r="L20" s="10">
        <f t="shared" si="1"/>
        <v>29000</v>
      </c>
    </row>
    <row r="21" spans="2:12" ht="20.100000000000001" customHeight="1" x14ac:dyDescent="0.2">
      <c r="B21" s="19">
        <v>41331</v>
      </c>
      <c r="C21" s="29">
        <v>48244</v>
      </c>
      <c r="D21" s="25">
        <f>(SUM(C$4:C21)-(F21*G21))</f>
        <v>-46386</v>
      </c>
      <c r="E21" s="24">
        <f>SUM(C$4:C21)/G21</f>
        <v>47423</v>
      </c>
      <c r="F21" s="30">
        <f t="shared" si="0"/>
        <v>50000</v>
      </c>
      <c r="G21" s="20">
        <f t="shared" si="2"/>
        <v>18</v>
      </c>
      <c r="H21" s="19">
        <v>41331</v>
      </c>
      <c r="I21" s="12">
        <v>24772</v>
      </c>
      <c r="J21" s="10">
        <f>SUM(I$4:I21)-(L21*G21)</f>
        <v>-77734</v>
      </c>
      <c r="K21" s="10">
        <f>SUM(I$4:I21)/G21</f>
        <v>24681.444444444445</v>
      </c>
      <c r="L21" s="10">
        <f t="shared" si="1"/>
        <v>29000</v>
      </c>
    </row>
    <row r="22" spans="2:12" ht="20.100000000000001" customHeight="1" x14ac:dyDescent="0.2">
      <c r="B22" s="19">
        <v>41332</v>
      </c>
      <c r="C22" s="29">
        <v>45726</v>
      </c>
      <c r="D22" s="25">
        <f>(SUM(C$4:C22)-(F22*G22))</f>
        <v>-50660</v>
      </c>
      <c r="E22" s="24">
        <f>SUM(C$4:C22)/G22</f>
        <v>47333.684210526313</v>
      </c>
      <c r="F22" s="30">
        <f t="shared" si="0"/>
        <v>50000</v>
      </c>
      <c r="G22" s="20">
        <f t="shared" si="2"/>
        <v>19</v>
      </c>
      <c r="H22" s="19">
        <v>41332</v>
      </c>
      <c r="I22" s="12">
        <v>41831</v>
      </c>
      <c r="J22" s="10">
        <f>SUM(I$4:I22)-(L22*G22)</f>
        <v>-64903</v>
      </c>
      <c r="K22" s="10">
        <f>SUM(I$4:I22)/G22</f>
        <v>25584.052631578947</v>
      </c>
      <c r="L22" s="10">
        <f t="shared" si="1"/>
        <v>29000</v>
      </c>
    </row>
    <row r="23" spans="2:12" ht="20.100000000000001" customHeight="1" x14ac:dyDescent="0.2">
      <c r="B23" s="19">
        <v>41333</v>
      </c>
      <c r="C23" s="29">
        <v>42613</v>
      </c>
      <c r="D23" s="25">
        <f>(SUM(C$4:C23)-(F23*G23))</f>
        <v>-58047</v>
      </c>
      <c r="E23" s="24">
        <f>SUM(C$4:C23)/G23</f>
        <v>47097.65</v>
      </c>
      <c r="F23" s="30">
        <f t="shared" si="0"/>
        <v>50000</v>
      </c>
      <c r="G23" s="20">
        <f t="shared" si="2"/>
        <v>20</v>
      </c>
      <c r="H23" s="19">
        <v>41333</v>
      </c>
      <c r="I23" s="12">
        <v>24877</v>
      </c>
      <c r="J23" s="10">
        <f>SUM(I$4:I23)-(L23*G23)</f>
        <v>-69026</v>
      </c>
      <c r="K23" s="10">
        <f>SUM(I$4:I23)/G23</f>
        <v>25548.7</v>
      </c>
      <c r="L23" s="10">
        <f t="shared" si="1"/>
        <v>29000</v>
      </c>
    </row>
    <row r="24" spans="2:12" ht="20.100000000000001" customHeight="1" x14ac:dyDescent="0.2">
      <c r="B24" s="19" t="s">
        <v>8</v>
      </c>
      <c r="C24" s="12">
        <f>SUM(C4:C23)</f>
        <v>941953</v>
      </c>
      <c r="D24" s="23"/>
      <c r="E24" s="23"/>
      <c r="F24" s="30">
        <v>1000000</v>
      </c>
      <c r="G24" s="18"/>
      <c r="H24" s="11" t="s">
        <v>8</v>
      </c>
      <c r="I24" s="12">
        <f>SUM(I4:I23)</f>
        <v>510974</v>
      </c>
      <c r="J24" s="8"/>
      <c r="K24" s="8"/>
      <c r="L24" s="10">
        <v>580000</v>
      </c>
    </row>
    <row r="25" spans="2:12" ht="19.5" customHeight="1" x14ac:dyDescent="0.2"/>
    <row r="26" spans="2:12" ht="19.5" customHeight="1" x14ac:dyDescent="0.2"/>
    <row r="28" spans="2:12" x14ac:dyDescent="0.2">
      <c r="I28" s="34"/>
      <c r="J28" s="32"/>
    </row>
    <row r="29" spans="2:12" x14ac:dyDescent="0.2">
      <c r="L29" s="33"/>
    </row>
  </sheetData>
  <mergeCells count="4">
    <mergeCell ref="B1:F1"/>
    <mergeCell ref="H1:L1"/>
    <mergeCell ref="B2:F2"/>
    <mergeCell ref="H2:L2"/>
  </mergeCells>
  <conditionalFormatting sqref="D4:D23 J4:J24">
    <cfRule type="cellIs" dxfId="322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42">
    <tabColor rgb="FF92D050"/>
  </sheetPr>
  <dimension ref="B1:L29"/>
  <sheetViews>
    <sheetView topLeftCell="A6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41334</v>
      </c>
      <c r="C4" s="24">
        <v>46779</v>
      </c>
      <c r="D4" s="25">
        <f>(SUM(C4:C4)-(F4*1))</f>
        <v>-8221</v>
      </c>
      <c r="E4" s="24">
        <f>C4/1</f>
        <v>46779</v>
      </c>
      <c r="F4" s="30">
        <f t="shared" ref="F4:F23" si="0">$F$24/$G$23</f>
        <v>55000</v>
      </c>
      <c r="G4" s="20">
        <v>1</v>
      </c>
      <c r="H4" s="19">
        <v>41334</v>
      </c>
      <c r="I4" s="12">
        <v>35871</v>
      </c>
      <c r="J4" s="10">
        <f>(SUM(I4:I4)-(L4*1))</f>
        <v>11871</v>
      </c>
      <c r="K4" s="10">
        <f>I4/1</f>
        <v>35871</v>
      </c>
      <c r="L4" s="10">
        <f t="shared" ref="L4:L23" si="1">$L$24/$G$23</f>
        <v>24000</v>
      </c>
    </row>
    <row r="5" spans="2:12" ht="20.100000000000001" customHeight="1" x14ac:dyDescent="0.2">
      <c r="B5" s="19">
        <v>41337</v>
      </c>
      <c r="C5" s="26">
        <v>13536</v>
      </c>
      <c r="D5" s="25">
        <f>(SUM(C$4:C5)-(F5*G5))</f>
        <v>-49685</v>
      </c>
      <c r="E5" s="24">
        <f>SUM(C$4:C5)/G5</f>
        <v>30157.5</v>
      </c>
      <c r="F5" s="30">
        <f t="shared" si="0"/>
        <v>55000</v>
      </c>
      <c r="G5" s="20">
        <f>G4+1</f>
        <v>2</v>
      </c>
      <c r="H5" s="19">
        <v>41337</v>
      </c>
      <c r="I5" s="21">
        <v>19517</v>
      </c>
      <c r="J5" s="10">
        <f>SUM(I$4:I5)-(L5*G5)</f>
        <v>7388</v>
      </c>
      <c r="K5" s="10">
        <f>SUM(I$4:I5)/G5</f>
        <v>27694</v>
      </c>
      <c r="L5" s="10">
        <f t="shared" si="1"/>
        <v>24000</v>
      </c>
    </row>
    <row r="6" spans="2:12" ht="20.100000000000001" customHeight="1" x14ac:dyDescent="0.2">
      <c r="B6" s="19">
        <v>41338</v>
      </c>
      <c r="C6" s="24">
        <v>48279</v>
      </c>
      <c r="D6" s="25">
        <f>(SUM(C$4:C6)-(F6*G6))</f>
        <v>-56406</v>
      </c>
      <c r="E6" s="24">
        <f>SUM(C$4:C6)/G6</f>
        <v>36198</v>
      </c>
      <c r="F6" s="30">
        <f t="shared" si="0"/>
        <v>55000</v>
      </c>
      <c r="G6" s="20">
        <f t="shared" ref="G6:G23" si="2">G5+1</f>
        <v>3</v>
      </c>
      <c r="H6" s="19">
        <v>41338</v>
      </c>
      <c r="I6" s="21">
        <v>17538</v>
      </c>
      <c r="J6" s="10">
        <f>SUM(I$4:I6)-(L6*G6)</f>
        <v>926</v>
      </c>
      <c r="K6" s="10">
        <f>SUM(I$4:I6)/G6</f>
        <v>24308.666666666668</v>
      </c>
      <c r="L6" s="10">
        <f t="shared" si="1"/>
        <v>24000</v>
      </c>
    </row>
    <row r="7" spans="2:12" ht="20.100000000000001" customHeight="1" x14ac:dyDescent="0.2">
      <c r="B7" s="19">
        <v>41339</v>
      </c>
      <c r="C7" s="24">
        <v>40181</v>
      </c>
      <c r="D7" s="25">
        <f>(SUM(C$4:C7)-(F7*G7))</f>
        <v>-71225</v>
      </c>
      <c r="E7" s="24">
        <f>SUM(C$4:C7)/G7</f>
        <v>37193.75</v>
      </c>
      <c r="F7" s="30">
        <f t="shared" si="0"/>
        <v>55000</v>
      </c>
      <c r="G7" s="20">
        <f t="shared" si="2"/>
        <v>4</v>
      </c>
      <c r="H7" s="19">
        <v>41339</v>
      </c>
      <c r="I7" s="21">
        <v>29581</v>
      </c>
      <c r="J7" s="10">
        <f>SUM(I$4:I7)-(L7*G7)</f>
        <v>6507</v>
      </c>
      <c r="K7" s="10">
        <f>SUM(I$4:I7)/G7</f>
        <v>25626.75</v>
      </c>
      <c r="L7" s="10">
        <f t="shared" si="1"/>
        <v>24000</v>
      </c>
    </row>
    <row r="8" spans="2:12" ht="20.100000000000001" customHeight="1" x14ac:dyDescent="0.2">
      <c r="B8" s="19">
        <v>41340</v>
      </c>
      <c r="C8" s="24">
        <v>44223</v>
      </c>
      <c r="D8" s="25">
        <f>(SUM(C$4:C8)-(F8*G8))</f>
        <v>-82002</v>
      </c>
      <c r="E8" s="24">
        <f>SUM(C$4:C8)/G8</f>
        <v>38599.599999999999</v>
      </c>
      <c r="F8" s="30">
        <f t="shared" si="0"/>
        <v>55000</v>
      </c>
      <c r="G8" s="20">
        <f t="shared" si="2"/>
        <v>5</v>
      </c>
      <c r="H8" s="19">
        <v>41340</v>
      </c>
      <c r="I8" s="21">
        <v>19620</v>
      </c>
      <c r="J8" s="10">
        <f>SUM(I$4:I8)-(L8*G8)</f>
        <v>2127</v>
      </c>
      <c r="K8" s="10">
        <f>SUM(I$4:I8)/G8</f>
        <v>24425.4</v>
      </c>
      <c r="L8" s="10">
        <f t="shared" si="1"/>
        <v>24000</v>
      </c>
    </row>
    <row r="9" spans="2:12" ht="19.5" customHeight="1" x14ac:dyDescent="0.2">
      <c r="B9" s="19">
        <v>41341</v>
      </c>
      <c r="C9" s="24">
        <v>47610</v>
      </c>
      <c r="D9" s="25">
        <f>(SUM(C$4:C9)-(F9*G9))</f>
        <v>-89392</v>
      </c>
      <c r="E9" s="24">
        <f>SUM(C$4:C9)/G9</f>
        <v>40101.333333333336</v>
      </c>
      <c r="F9" s="30">
        <f t="shared" si="0"/>
        <v>55000</v>
      </c>
      <c r="G9" s="20">
        <f t="shared" si="2"/>
        <v>6</v>
      </c>
      <c r="H9" s="19">
        <v>41341</v>
      </c>
      <c r="I9" s="21">
        <v>36258</v>
      </c>
      <c r="J9" s="10">
        <f>SUM(I$4:I9)-(L9*G9)</f>
        <v>14385</v>
      </c>
      <c r="K9" s="10">
        <f>SUM(I$4:I9)/G9</f>
        <v>26397.5</v>
      </c>
      <c r="L9" s="10">
        <f t="shared" si="1"/>
        <v>24000</v>
      </c>
    </row>
    <row r="10" spans="2:12" ht="20.100000000000001" customHeight="1" x14ac:dyDescent="0.2">
      <c r="B10" s="19">
        <v>41344</v>
      </c>
      <c r="C10" s="27">
        <v>50175</v>
      </c>
      <c r="D10" s="25">
        <f>(SUM(C$4:C10)-(F10*G10))</f>
        <v>-94217</v>
      </c>
      <c r="E10" s="24">
        <f>SUM(C$4:C10)/G10</f>
        <v>41540.428571428572</v>
      </c>
      <c r="F10" s="30">
        <f t="shared" si="0"/>
        <v>55000</v>
      </c>
      <c r="G10" s="20">
        <f t="shared" si="2"/>
        <v>7</v>
      </c>
      <c r="H10" s="19">
        <v>41344</v>
      </c>
      <c r="I10" s="22">
        <v>19886</v>
      </c>
      <c r="J10" s="10">
        <f>SUM(I$4:I10)-(L10*G10)</f>
        <v>10271</v>
      </c>
      <c r="K10" s="10">
        <f>SUM(I$4:I10)/G10</f>
        <v>25467.285714285714</v>
      </c>
      <c r="L10" s="10">
        <f t="shared" si="1"/>
        <v>24000</v>
      </c>
    </row>
    <row r="11" spans="2:12" ht="20.100000000000001" customHeight="1" x14ac:dyDescent="0.2">
      <c r="B11" s="19">
        <v>41345</v>
      </c>
      <c r="C11" s="27">
        <v>30924</v>
      </c>
      <c r="D11" s="25">
        <f>(SUM(C$4:C11)-(F11*G11))</f>
        <v>-118293</v>
      </c>
      <c r="E11" s="24">
        <f>SUM(C$4:C11)/G11</f>
        <v>40213.375</v>
      </c>
      <c r="F11" s="30">
        <f t="shared" si="0"/>
        <v>55000</v>
      </c>
      <c r="G11" s="20">
        <f t="shared" si="2"/>
        <v>8</v>
      </c>
      <c r="H11" s="19">
        <v>41345</v>
      </c>
      <c r="I11" s="22">
        <v>15294</v>
      </c>
      <c r="J11" s="10">
        <f>SUM(I$4:I11)-(L11*G11)</f>
        <v>1565</v>
      </c>
      <c r="K11" s="10">
        <f>SUM(I$4:I11)/G11</f>
        <v>24195.625</v>
      </c>
      <c r="L11" s="10">
        <f t="shared" si="1"/>
        <v>24000</v>
      </c>
    </row>
    <row r="12" spans="2:12" ht="20.100000000000001" customHeight="1" x14ac:dyDescent="0.2">
      <c r="B12" s="19">
        <v>41346</v>
      </c>
      <c r="C12" s="24">
        <v>53462</v>
      </c>
      <c r="D12" s="25">
        <f>(SUM(C$4:C12)-(F12*G12))</f>
        <v>-119831</v>
      </c>
      <c r="E12" s="24">
        <f>SUM(C$4:C12)/G12</f>
        <v>41685.444444444445</v>
      </c>
      <c r="F12" s="30">
        <f t="shared" si="0"/>
        <v>55000</v>
      </c>
      <c r="G12" s="20">
        <f t="shared" si="2"/>
        <v>9</v>
      </c>
      <c r="H12" s="19">
        <v>41346</v>
      </c>
      <c r="I12" s="21">
        <v>19566</v>
      </c>
      <c r="J12" s="10">
        <f>SUM(I$4:I12)-(L12*G12)</f>
        <v>-2869</v>
      </c>
      <c r="K12" s="10">
        <f>SUM(I$4:I12)/G12</f>
        <v>23681.222222222223</v>
      </c>
      <c r="L12" s="10">
        <f t="shared" si="1"/>
        <v>24000</v>
      </c>
    </row>
    <row r="13" spans="2:12" ht="20.100000000000001" customHeight="1" x14ac:dyDescent="0.2">
      <c r="B13" s="19">
        <v>41347</v>
      </c>
      <c r="C13" s="24">
        <v>34989</v>
      </c>
      <c r="D13" s="25">
        <f>(SUM(C$4:C13)-(F13*G13))</f>
        <v>-139842</v>
      </c>
      <c r="E13" s="24">
        <f>SUM(C$4:C13)/G13</f>
        <v>41015.800000000003</v>
      </c>
      <c r="F13" s="30">
        <f t="shared" si="0"/>
        <v>55000</v>
      </c>
      <c r="G13" s="20">
        <f t="shared" si="2"/>
        <v>10</v>
      </c>
      <c r="H13" s="19">
        <v>41347</v>
      </c>
      <c r="I13" s="21">
        <v>17857</v>
      </c>
      <c r="J13" s="10">
        <f>SUM(I$4:I13)-(L13*G13)</f>
        <v>-9012</v>
      </c>
      <c r="K13" s="10">
        <f>SUM(I$4:I13)/G13</f>
        <v>23098.799999999999</v>
      </c>
      <c r="L13" s="10">
        <f t="shared" si="1"/>
        <v>24000</v>
      </c>
    </row>
    <row r="14" spans="2:12" ht="20.100000000000001" customHeight="1" x14ac:dyDescent="0.2">
      <c r="B14" s="19">
        <v>41348</v>
      </c>
      <c r="C14" s="29">
        <v>67990</v>
      </c>
      <c r="D14" s="25">
        <f>(SUM(C$4:C14)-(F14*G14))</f>
        <v>-126852</v>
      </c>
      <c r="E14" s="24">
        <f>SUM(C$4:C14)/G14</f>
        <v>43468</v>
      </c>
      <c r="F14" s="30">
        <f t="shared" si="0"/>
        <v>55000</v>
      </c>
      <c r="G14" s="20">
        <f t="shared" si="2"/>
        <v>11</v>
      </c>
      <c r="H14" s="19">
        <v>41348</v>
      </c>
      <c r="I14" s="12">
        <v>38371</v>
      </c>
      <c r="J14" s="10">
        <f>SUM(I$4:I14)-(L14*G14)</f>
        <v>5359</v>
      </c>
      <c r="K14" s="10">
        <f>SUM(I$4:I14)/G14</f>
        <v>24487.18181818182</v>
      </c>
      <c r="L14" s="10">
        <f t="shared" si="1"/>
        <v>24000</v>
      </c>
    </row>
    <row r="15" spans="2:12" ht="20.100000000000001" customHeight="1" x14ac:dyDescent="0.2">
      <c r="B15" s="19">
        <v>41351</v>
      </c>
      <c r="C15" s="29">
        <v>14385</v>
      </c>
      <c r="D15" s="25">
        <f>(SUM(C$4:C15)-(F15*G15))</f>
        <v>-167467</v>
      </c>
      <c r="E15" s="24">
        <f>SUM(C$4:C15)/G15</f>
        <v>41044.416666666664</v>
      </c>
      <c r="F15" s="30">
        <f t="shared" si="0"/>
        <v>55000</v>
      </c>
      <c r="G15" s="20">
        <f t="shared" si="2"/>
        <v>12</v>
      </c>
      <c r="H15" s="19">
        <v>41351</v>
      </c>
      <c r="I15" s="13">
        <v>23256</v>
      </c>
      <c r="J15" s="10">
        <f>SUM(I$4:I15)-(L15*G15)</f>
        <v>4615</v>
      </c>
      <c r="K15" s="10">
        <f>SUM(I$4:I15)/G15</f>
        <v>24384.583333333332</v>
      </c>
      <c r="L15" s="10">
        <f t="shared" si="1"/>
        <v>24000</v>
      </c>
    </row>
    <row r="16" spans="2:12" ht="20.100000000000001" customHeight="1" x14ac:dyDescent="0.2">
      <c r="B16" s="19">
        <v>41352</v>
      </c>
      <c r="C16" s="29">
        <v>26860</v>
      </c>
      <c r="D16" s="25">
        <f>(SUM(C$4:C16)-(F16*G16))</f>
        <v>-195607</v>
      </c>
      <c r="E16" s="24">
        <f>SUM(C$4:C16)/G16</f>
        <v>39953.307692307695</v>
      </c>
      <c r="F16" s="30">
        <f t="shared" si="0"/>
        <v>55000</v>
      </c>
      <c r="G16" s="20">
        <f t="shared" si="2"/>
        <v>13</v>
      </c>
      <c r="H16" s="19">
        <v>41352</v>
      </c>
      <c r="I16" s="13">
        <v>24011</v>
      </c>
      <c r="J16" s="10">
        <f>SUM(I$4:I16)-(L16*G16)</f>
        <v>4626</v>
      </c>
      <c r="K16" s="10">
        <f>SUM(I$4:I16)/G16</f>
        <v>24355.846153846152</v>
      </c>
      <c r="L16" s="10">
        <f t="shared" si="1"/>
        <v>24000</v>
      </c>
    </row>
    <row r="17" spans="2:12" ht="20.100000000000001" customHeight="1" x14ac:dyDescent="0.2">
      <c r="B17" s="19">
        <v>41353</v>
      </c>
      <c r="C17" s="29">
        <v>39604</v>
      </c>
      <c r="D17" s="25">
        <f>(SUM(C$4:C17)-(F17*G17))</f>
        <v>-211003</v>
      </c>
      <c r="E17" s="24">
        <f>SUM(C$4:C17)/G17</f>
        <v>39928.357142857145</v>
      </c>
      <c r="F17" s="30">
        <f t="shared" si="0"/>
        <v>55000</v>
      </c>
      <c r="G17" s="20">
        <f t="shared" si="2"/>
        <v>14</v>
      </c>
      <c r="H17" s="19">
        <v>41353</v>
      </c>
      <c r="I17" s="12">
        <v>18515</v>
      </c>
      <c r="J17" s="10">
        <f>SUM(I$4:I17)-(L17*G17)</f>
        <v>-859</v>
      </c>
      <c r="K17" s="10">
        <f>SUM(I$4:I17)/G17</f>
        <v>23938.642857142859</v>
      </c>
      <c r="L17" s="10">
        <f t="shared" si="1"/>
        <v>24000</v>
      </c>
    </row>
    <row r="18" spans="2:12" ht="20.100000000000001" customHeight="1" x14ac:dyDescent="0.2">
      <c r="B18" s="19">
        <v>41354</v>
      </c>
      <c r="C18" s="29">
        <v>38093</v>
      </c>
      <c r="D18" s="25">
        <f>(SUM(C$4:C18)-(F18*G18))</f>
        <v>-227910</v>
      </c>
      <c r="E18" s="24">
        <f>SUM(C$4:C18)/G18</f>
        <v>39806</v>
      </c>
      <c r="F18" s="30">
        <f t="shared" si="0"/>
        <v>55000</v>
      </c>
      <c r="G18" s="20">
        <f t="shared" si="2"/>
        <v>15</v>
      </c>
      <c r="H18" s="19">
        <v>41354</v>
      </c>
      <c r="I18" s="12">
        <v>24486</v>
      </c>
      <c r="J18" s="10">
        <f>SUM(I$4:I18)-(L18*G18)</f>
        <v>-373</v>
      </c>
      <c r="K18" s="10">
        <f>SUM(I$4:I18)/G18</f>
        <v>23975.133333333335</v>
      </c>
      <c r="L18" s="10">
        <f t="shared" si="1"/>
        <v>24000</v>
      </c>
    </row>
    <row r="19" spans="2:12" ht="20.100000000000001" customHeight="1" x14ac:dyDescent="0.2">
      <c r="B19" s="19">
        <v>41355</v>
      </c>
      <c r="C19" s="29">
        <v>69642</v>
      </c>
      <c r="D19" s="25">
        <f>(SUM(C$4:C19)-(F19*G19))</f>
        <v>-213268</v>
      </c>
      <c r="E19" s="24">
        <f>SUM(C$4:C19)/G19</f>
        <v>41670.75</v>
      </c>
      <c r="F19" s="30">
        <f t="shared" si="0"/>
        <v>55000</v>
      </c>
      <c r="G19" s="20">
        <f t="shared" si="2"/>
        <v>16</v>
      </c>
      <c r="H19" s="19">
        <v>41355</v>
      </c>
      <c r="I19" s="12">
        <v>20866</v>
      </c>
      <c r="J19" s="10">
        <f>SUM(I$4:I19)-(L19*G19)</f>
        <v>-3507</v>
      </c>
      <c r="K19" s="10">
        <f>SUM(I$4:I19)/G19</f>
        <v>23780.8125</v>
      </c>
      <c r="L19" s="10">
        <f t="shared" si="1"/>
        <v>24000</v>
      </c>
    </row>
    <row r="20" spans="2:12" ht="20.100000000000001" customHeight="1" x14ac:dyDescent="0.2">
      <c r="B20" s="19">
        <v>41358</v>
      </c>
      <c r="C20" s="29">
        <v>39177</v>
      </c>
      <c r="D20" s="25">
        <f>(SUM(C$4:C20)-(F20*G20))</f>
        <v>-229091</v>
      </c>
      <c r="E20" s="24">
        <f>SUM(C$4:C20)/G20</f>
        <v>41524.058823529413</v>
      </c>
      <c r="F20" s="30">
        <f t="shared" si="0"/>
        <v>55000</v>
      </c>
      <c r="G20" s="20">
        <f t="shared" si="2"/>
        <v>17</v>
      </c>
      <c r="H20" s="19">
        <v>41358</v>
      </c>
      <c r="I20" s="12">
        <v>24767</v>
      </c>
      <c r="J20" s="10">
        <f>SUM(I$4:I20)-(L20*G20)</f>
        <v>-2740</v>
      </c>
      <c r="K20" s="10">
        <f>SUM(I$4:I20)/G20</f>
        <v>23838.823529411766</v>
      </c>
      <c r="L20" s="10">
        <f t="shared" si="1"/>
        <v>24000</v>
      </c>
    </row>
    <row r="21" spans="2:12" ht="20.100000000000001" customHeight="1" x14ac:dyDescent="0.2">
      <c r="B21" s="19">
        <v>41359</v>
      </c>
      <c r="C21" s="29">
        <v>26548</v>
      </c>
      <c r="D21" s="25">
        <f>(SUM(C$4:C21)-(F21*G21))</f>
        <v>-257543</v>
      </c>
      <c r="E21" s="24">
        <f>SUM(C$4:C21)/G21</f>
        <v>40692.055555555555</v>
      </c>
      <c r="F21" s="30">
        <f t="shared" si="0"/>
        <v>55000</v>
      </c>
      <c r="G21" s="20">
        <f t="shared" si="2"/>
        <v>18</v>
      </c>
      <c r="H21" s="19">
        <v>41359</v>
      </c>
      <c r="I21" s="12">
        <v>30749</v>
      </c>
      <c r="J21" s="10">
        <f>SUM(I$4:I21)-(L21*G21)</f>
        <v>4009</v>
      </c>
      <c r="K21" s="10">
        <f>SUM(I$4:I21)/G21</f>
        <v>24222.722222222223</v>
      </c>
      <c r="L21" s="10">
        <f t="shared" si="1"/>
        <v>24000</v>
      </c>
    </row>
    <row r="22" spans="2:12" ht="20.100000000000001" customHeight="1" x14ac:dyDescent="0.2">
      <c r="B22" s="19">
        <v>41360</v>
      </c>
      <c r="C22" s="29">
        <v>51182</v>
      </c>
      <c r="D22" s="25">
        <f>(SUM(C$4:C22)-(F22*G22))</f>
        <v>-261361</v>
      </c>
      <c r="E22" s="24">
        <f>SUM(C$4:C22)/G22</f>
        <v>41244.15789473684</v>
      </c>
      <c r="F22" s="30">
        <f t="shared" si="0"/>
        <v>55000</v>
      </c>
      <c r="G22" s="20">
        <f t="shared" si="2"/>
        <v>19</v>
      </c>
      <c r="H22" s="19">
        <v>41360</v>
      </c>
      <c r="I22" s="12">
        <v>36090</v>
      </c>
      <c r="J22" s="10">
        <f>SUM(I$4:I22)-(L22*G22)</f>
        <v>16099</v>
      </c>
      <c r="K22" s="10">
        <f>SUM(I$4:I22)/G22</f>
        <v>24847.315789473683</v>
      </c>
      <c r="L22" s="10">
        <f t="shared" si="1"/>
        <v>24000</v>
      </c>
    </row>
    <row r="23" spans="2:12" ht="20.100000000000001" customHeight="1" x14ac:dyDescent="0.2">
      <c r="B23" s="19">
        <v>41361</v>
      </c>
      <c r="C23" s="29">
        <v>70030</v>
      </c>
      <c r="D23" s="25">
        <f>(SUM(C$4:C23)-(F23*G23))</f>
        <v>-246331</v>
      </c>
      <c r="E23" s="24">
        <f>SUM(C$4:C23)/G23</f>
        <v>42683.45</v>
      </c>
      <c r="F23" s="30">
        <f t="shared" si="0"/>
        <v>55000</v>
      </c>
      <c r="G23" s="20">
        <f t="shared" si="2"/>
        <v>20</v>
      </c>
      <c r="H23" s="19">
        <v>41361</v>
      </c>
      <c r="I23" s="12">
        <v>35132</v>
      </c>
      <c r="J23" s="10">
        <f>SUM(I$4:I23)-(L23*G23)</f>
        <v>27231</v>
      </c>
      <c r="K23" s="10">
        <f>SUM(I$4:I23)/G23</f>
        <v>25361.55</v>
      </c>
      <c r="L23" s="10">
        <f t="shared" si="1"/>
        <v>24000</v>
      </c>
    </row>
    <row r="24" spans="2:12" ht="20.100000000000001" customHeight="1" x14ac:dyDescent="0.2">
      <c r="B24" s="19" t="s">
        <v>8</v>
      </c>
      <c r="C24" s="12">
        <f>SUM(C4:C23)</f>
        <v>853669</v>
      </c>
      <c r="D24" s="23"/>
      <c r="E24" s="23"/>
      <c r="F24" s="30">
        <v>1100000</v>
      </c>
      <c r="G24" s="18"/>
      <c r="H24" s="11" t="s">
        <v>8</v>
      </c>
      <c r="I24" s="12">
        <f>SUM(I4:I23)</f>
        <v>507231</v>
      </c>
      <c r="J24" s="8"/>
      <c r="K24" s="8"/>
      <c r="L24" s="10">
        <v>480000</v>
      </c>
    </row>
    <row r="25" spans="2:12" ht="19.5" customHeight="1" x14ac:dyDescent="0.2"/>
    <row r="26" spans="2:12" ht="19.5" customHeight="1" x14ac:dyDescent="0.2"/>
    <row r="28" spans="2:12" x14ac:dyDescent="0.2">
      <c r="I28" s="34"/>
      <c r="J28" s="32"/>
    </row>
    <row r="29" spans="2:12" x14ac:dyDescent="0.2">
      <c r="L29" s="33"/>
    </row>
  </sheetData>
  <mergeCells count="4">
    <mergeCell ref="B1:F1"/>
    <mergeCell ref="H1:L1"/>
    <mergeCell ref="B2:F2"/>
    <mergeCell ref="H2:L2"/>
  </mergeCells>
  <conditionalFormatting sqref="D4:D23 J4:J24">
    <cfRule type="cellIs" dxfId="321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Plan47">
    <tabColor rgb="FF92D050"/>
  </sheetPr>
  <dimension ref="A1:CD38"/>
  <sheetViews>
    <sheetView topLeftCell="A7" zoomScale="80" zoomScaleNormal="80" workbookViewId="0">
      <selection activeCell="C29" sqref="C29"/>
    </sheetView>
  </sheetViews>
  <sheetFormatPr defaultColWidth="9.140625" defaultRowHeight="15" x14ac:dyDescent="0.25"/>
  <cols>
    <col min="1" max="1" width="4.7109375" style="6" customWidth="1"/>
    <col min="2" max="2" width="4.85546875" style="6" customWidth="1"/>
    <col min="3" max="4" width="7.85546875" style="6" customWidth="1"/>
    <col min="5" max="5" width="8.7109375" style="6" customWidth="1"/>
    <col min="6" max="6" width="5.7109375" style="6" customWidth="1"/>
    <col min="7" max="7" width="8.7109375" style="6" customWidth="1"/>
    <col min="8" max="8" width="8.28515625" style="6" customWidth="1"/>
    <col min="9" max="9" width="9.7109375" style="6" customWidth="1"/>
    <col min="10" max="10" width="5.85546875" style="6" customWidth="1"/>
    <col min="11" max="11" width="8" style="6" customWidth="1"/>
    <col min="12" max="12" width="8.7109375" style="6" customWidth="1"/>
    <col min="13" max="13" width="9.28515625" style="6" customWidth="1"/>
    <col min="14" max="14" width="6.28515625" style="6" customWidth="1"/>
    <col min="15" max="15" width="10.28515625" style="6" customWidth="1"/>
    <col min="16" max="16" width="9.85546875" style="6" customWidth="1"/>
    <col min="17" max="17" width="11" style="6" customWidth="1"/>
    <col min="18" max="18" width="9.140625" style="6" customWidth="1"/>
    <col min="19" max="19" width="3.28515625" style="6" customWidth="1"/>
    <col min="20" max="20" width="5.28515625" style="72" customWidth="1"/>
    <col min="21" max="21" width="5.7109375" style="18" customWidth="1"/>
    <col min="22" max="22" width="8.28515625" style="6" customWidth="1"/>
    <col min="23" max="23" width="9" style="6" customWidth="1"/>
    <col min="24" max="24" width="8.7109375" style="6" customWidth="1"/>
    <col min="25" max="25" width="7.28515625" style="6" customWidth="1"/>
    <col min="26" max="26" width="9.28515625" style="6" customWidth="1"/>
    <col min="27" max="27" width="8" style="6" customWidth="1"/>
    <col min="28" max="28" width="8.7109375" style="6" customWidth="1"/>
    <col min="29" max="29" width="7.140625" style="6" customWidth="1"/>
    <col min="30" max="30" width="8.7109375" style="6" customWidth="1"/>
    <col min="31" max="31" width="8.28515625" style="6" customWidth="1"/>
    <col min="32" max="32" width="10" style="6" customWidth="1"/>
    <col min="33" max="33" width="7.85546875" style="6" customWidth="1"/>
    <col min="34" max="35" width="8.7109375" style="6" customWidth="1"/>
    <col min="36" max="36" width="9.7109375" style="6" customWidth="1"/>
    <col min="37" max="37" width="7.7109375" style="6" customWidth="1"/>
    <col min="38" max="38" width="3.85546875" style="6" customWidth="1"/>
    <col min="39" max="39" width="5.7109375" style="6" customWidth="1"/>
    <col min="40" max="40" width="6.28515625" style="6" customWidth="1"/>
    <col min="41" max="41" width="9.28515625" style="6" customWidth="1"/>
    <col min="42" max="42" width="8.7109375" style="6" customWidth="1"/>
    <col min="43" max="43" width="9.85546875" style="6" bestFit="1" customWidth="1"/>
    <col min="44" max="44" width="5.140625" style="6" customWidth="1"/>
    <col min="45" max="45" width="8.85546875" style="6" customWidth="1"/>
    <col min="46" max="46" width="8.28515625" style="6" customWidth="1"/>
    <col min="47" max="47" width="9.85546875" style="6" bestFit="1" customWidth="1"/>
    <col min="48" max="48" width="5" style="6" customWidth="1"/>
    <col min="49" max="50" width="8.28515625" style="6" customWidth="1"/>
    <col min="51" max="51" width="9.85546875" style="6" bestFit="1" customWidth="1"/>
    <col min="52" max="52" width="5.28515625" style="6" customWidth="1"/>
    <col min="53" max="53" width="9.28515625" style="6" customWidth="1"/>
    <col min="54" max="54" width="8.7109375" style="6" customWidth="1"/>
    <col min="55" max="55" width="9.85546875" style="6" customWidth="1"/>
    <col min="56" max="56" width="6.28515625" style="6" customWidth="1"/>
    <col min="57" max="57" width="3.28515625" style="6" customWidth="1"/>
    <col min="58" max="61" width="9.140625" style="6"/>
    <col min="62" max="71" width="9.28515625" style="6" bestFit="1" customWidth="1"/>
    <col min="72" max="72" width="10.7109375" style="6" customWidth="1"/>
    <col min="73" max="73" width="10.140625" style="6" bestFit="1" customWidth="1"/>
    <col min="74" max="74" width="11" style="6" customWidth="1"/>
    <col min="75" max="75" width="9.28515625" style="6" bestFit="1" customWidth="1"/>
    <col min="76" max="76" width="9.140625" style="6"/>
    <col min="77" max="77" width="9.28515625" style="6" bestFit="1" customWidth="1"/>
    <col min="78" max="78" width="9.140625" style="6"/>
    <col min="79" max="80" width="9.28515625" style="6" bestFit="1" customWidth="1"/>
    <col min="81" max="81" width="9.7109375" style="6" customWidth="1"/>
    <col min="82" max="82" width="9.28515625" style="6" bestFit="1" customWidth="1"/>
    <col min="83" max="16384" width="9.140625" style="6"/>
  </cols>
  <sheetData>
    <row r="1" spans="1:82" ht="23.25" customHeight="1" x14ac:dyDescent="0.35">
      <c r="A1" s="64"/>
      <c r="B1" s="65"/>
      <c r="C1" s="66"/>
      <c r="D1" s="66"/>
      <c r="E1" s="66"/>
      <c r="F1" s="13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T1" s="64"/>
      <c r="U1" s="65"/>
      <c r="V1" s="66"/>
      <c r="W1" s="66"/>
      <c r="X1" s="66"/>
      <c r="Y1" s="143" t="s">
        <v>29</v>
      </c>
      <c r="Z1" s="139"/>
      <c r="AA1" s="139"/>
      <c r="AB1" s="139"/>
      <c r="AC1" s="139"/>
      <c r="AD1" s="139"/>
      <c r="AE1" s="139"/>
      <c r="AF1" s="139"/>
      <c r="AG1" s="139"/>
      <c r="AH1" s="140"/>
      <c r="AI1" s="66"/>
      <c r="AJ1" s="66"/>
      <c r="AK1" s="67"/>
      <c r="AM1" s="64"/>
      <c r="AN1" s="65"/>
      <c r="AO1" s="66"/>
      <c r="AP1" s="66"/>
      <c r="AQ1" s="139" t="s">
        <v>34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0"/>
      <c r="BF1" s="64"/>
      <c r="BG1" s="65"/>
      <c r="BH1" s="66"/>
      <c r="BI1" s="66"/>
      <c r="BJ1" s="139" t="s">
        <v>33</v>
      </c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40"/>
      <c r="BY1" s="147" t="s">
        <v>36</v>
      </c>
      <c r="BZ1" s="148"/>
      <c r="CA1" s="148"/>
      <c r="CB1" s="148"/>
      <c r="CC1" s="148"/>
      <c r="CD1" s="149"/>
    </row>
    <row r="2" spans="1:82" ht="21" customHeight="1" thickBot="1" x14ac:dyDescent="0.4">
      <c r="A2" s="68"/>
      <c r="B2" s="18"/>
      <c r="C2" s="69"/>
      <c r="D2" s="69"/>
      <c r="E2" s="6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T2" s="68"/>
      <c r="V2" s="69"/>
      <c r="W2" s="69"/>
      <c r="X2" s="69"/>
      <c r="Y2" s="144"/>
      <c r="Z2" s="145"/>
      <c r="AA2" s="145"/>
      <c r="AB2" s="145"/>
      <c r="AC2" s="145"/>
      <c r="AD2" s="145"/>
      <c r="AE2" s="145"/>
      <c r="AF2" s="145"/>
      <c r="AG2" s="145"/>
      <c r="AH2" s="146"/>
      <c r="AI2" s="40" t="s">
        <v>30</v>
      </c>
      <c r="AK2" s="70"/>
      <c r="AM2" s="68"/>
      <c r="AN2" s="18"/>
      <c r="AO2" s="69"/>
      <c r="AP2" s="69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2"/>
      <c r="BF2" s="68"/>
      <c r="BG2" s="18"/>
      <c r="BH2" s="69"/>
      <c r="BI2" s="69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2"/>
      <c r="BY2" s="150"/>
      <c r="BZ2" s="151"/>
      <c r="CA2" s="151"/>
      <c r="CB2" s="151"/>
      <c r="CC2" s="151"/>
      <c r="CD2" s="152"/>
    </row>
    <row r="3" spans="1:82" ht="15.75" customHeight="1" thickBot="1" x14ac:dyDescent="0.3">
      <c r="A3" s="68"/>
      <c r="B3" s="18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T3" s="68"/>
      <c r="AK3" s="71"/>
      <c r="AM3" s="68"/>
      <c r="AN3" s="18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2"/>
      <c r="BF3" s="68"/>
      <c r="BG3" s="18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Y3" s="153"/>
      <c r="BZ3" s="154"/>
      <c r="CA3" s="154"/>
      <c r="CB3" s="154"/>
      <c r="CC3" s="154"/>
      <c r="CD3" s="155"/>
    </row>
    <row r="4" spans="1:82" x14ac:dyDescent="0.25">
      <c r="A4" s="68"/>
      <c r="B4" s="18"/>
      <c r="C4" s="138" t="s">
        <v>14</v>
      </c>
      <c r="D4" s="138"/>
      <c r="E4" s="138"/>
      <c r="F4" s="138"/>
      <c r="G4" s="138" t="s">
        <v>15</v>
      </c>
      <c r="H4" s="138"/>
      <c r="I4" s="138"/>
      <c r="J4" s="138"/>
      <c r="K4" s="138" t="s">
        <v>16</v>
      </c>
      <c r="L4" s="138"/>
      <c r="M4" s="138"/>
      <c r="N4" s="138"/>
      <c r="O4" s="138" t="s">
        <v>17</v>
      </c>
      <c r="P4" s="138"/>
      <c r="Q4" s="138"/>
      <c r="R4" s="138"/>
      <c r="T4" s="68"/>
      <c r="V4" s="138" t="s">
        <v>14</v>
      </c>
      <c r="W4" s="138"/>
      <c r="X4" s="138"/>
      <c r="Y4" s="138"/>
      <c r="Z4" s="138" t="s">
        <v>15</v>
      </c>
      <c r="AA4" s="138"/>
      <c r="AB4" s="138"/>
      <c r="AC4" s="138"/>
      <c r="AD4" s="138" t="s">
        <v>16</v>
      </c>
      <c r="AE4" s="138"/>
      <c r="AF4" s="138"/>
      <c r="AG4" s="138"/>
      <c r="AH4" s="138" t="s">
        <v>17</v>
      </c>
      <c r="AI4" s="138"/>
      <c r="AJ4" s="138"/>
      <c r="AK4" s="138"/>
      <c r="AM4" s="68"/>
      <c r="AN4" s="18"/>
      <c r="AO4" s="138" t="s">
        <v>14</v>
      </c>
      <c r="AP4" s="138"/>
      <c r="AQ4" s="138"/>
      <c r="AR4" s="138"/>
      <c r="AS4" s="138" t="s">
        <v>15</v>
      </c>
      <c r="AT4" s="138"/>
      <c r="AU4" s="138"/>
      <c r="AV4" s="138"/>
      <c r="AW4" s="138" t="s">
        <v>16</v>
      </c>
      <c r="AX4" s="138"/>
      <c r="AY4" s="138"/>
      <c r="AZ4" s="138"/>
      <c r="BA4" s="138" t="s">
        <v>17</v>
      </c>
      <c r="BB4" s="138"/>
      <c r="BC4" s="138"/>
      <c r="BD4" s="138"/>
      <c r="BF4" s="68"/>
      <c r="BG4" s="18"/>
      <c r="BH4" s="138" t="s">
        <v>31</v>
      </c>
      <c r="BI4" s="138"/>
      <c r="BJ4" s="138"/>
      <c r="BK4" s="138"/>
      <c r="BL4" s="138" t="s">
        <v>38</v>
      </c>
      <c r="BM4" s="138"/>
      <c r="BN4" s="138"/>
      <c r="BO4" s="138"/>
      <c r="BP4" s="138" t="s">
        <v>32</v>
      </c>
      <c r="BQ4" s="138"/>
      <c r="BR4" s="138"/>
      <c r="BS4" s="138"/>
      <c r="BT4" s="138" t="s">
        <v>17</v>
      </c>
      <c r="BU4" s="138"/>
      <c r="BV4" s="138"/>
      <c r="BW4" s="138"/>
      <c r="BY4" s="72"/>
      <c r="BZ4" s="18"/>
      <c r="CA4" s="129" t="s">
        <v>35</v>
      </c>
      <c r="CB4" s="130"/>
      <c r="CC4" s="130"/>
      <c r="CD4" s="131"/>
    </row>
    <row r="5" spans="1:82" x14ac:dyDescent="0.25">
      <c r="A5" s="68"/>
      <c r="B5" s="72"/>
      <c r="C5" s="138" t="s">
        <v>18</v>
      </c>
      <c r="D5" s="138"/>
      <c r="E5" s="138"/>
      <c r="F5" s="138"/>
      <c r="G5" s="138" t="s">
        <v>18</v>
      </c>
      <c r="H5" s="138"/>
      <c r="I5" s="138"/>
      <c r="J5" s="138"/>
      <c r="K5" s="138" t="s">
        <v>18</v>
      </c>
      <c r="L5" s="138"/>
      <c r="M5" s="138"/>
      <c r="N5" s="138"/>
      <c r="O5" s="138" t="s">
        <v>18</v>
      </c>
      <c r="P5" s="138"/>
      <c r="Q5" s="138"/>
      <c r="R5" s="138"/>
      <c r="T5" s="68"/>
      <c r="U5" s="72"/>
      <c r="V5" s="138" t="s">
        <v>18</v>
      </c>
      <c r="W5" s="138"/>
      <c r="X5" s="138"/>
      <c r="Y5" s="138"/>
      <c r="Z5" s="138" t="s">
        <v>18</v>
      </c>
      <c r="AA5" s="138"/>
      <c r="AB5" s="138"/>
      <c r="AC5" s="138"/>
      <c r="AD5" s="138" t="s">
        <v>18</v>
      </c>
      <c r="AE5" s="138"/>
      <c r="AF5" s="138"/>
      <c r="AG5" s="138"/>
      <c r="AH5" s="138" t="s">
        <v>18</v>
      </c>
      <c r="AI5" s="138"/>
      <c r="AJ5" s="138"/>
      <c r="AK5" s="138"/>
      <c r="AM5" s="73"/>
      <c r="AN5" s="74"/>
      <c r="AO5" s="135" t="s">
        <v>18</v>
      </c>
      <c r="AP5" s="135"/>
      <c r="AQ5" s="135"/>
      <c r="AR5" s="135"/>
      <c r="AS5" s="135" t="s">
        <v>18</v>
      </c>
      <c r="AT5" s="135"/>
      <c r="AU5" s="135"/>
      <c r="AV5" s="135"/>
      <c r="AW5" s="135" t="s">
        <v>18</v>
      </c>
      <c r="AX5" s="135"/>
      <c r="AY5" s="135"/>
      <c r="AZ5" s="135"/>
      <c r="BA5" s="135" t="s">
        <v>18</v>
      </c>
      <c r="BB5" s="135"/>
      <c r="BC5" s="135"/>
      <c r="BD5" s="135"/>
      <c r="BF5" s="73"/>
      <c r="BG5" s="74"/>
      <c r="BH5" s="135" t="s">
        <v>18</v>
      </c>
      <c r="BI5" s="135"/>
      <c r="BJ5" s="135"/>
      <c r="BK5" s="135"/>
      <c r="BL5" s="135" t="s">
        <v>18</v>
      </c>
      <c r="BM5" s="135"/>
      <c r="BN5" s="135"/>
      <c r="BO5" s="135"/>
      <c r="BP5" s="135" t="s">
        <v>18</v>
      </c>
      <c r="BQ5" s="135"/>
      <c r="BR5" s="135"/>
      <c r="BS5" s="135"/>
      <c r="BT5" s="135" t="s">
        <v>18</v>
      </c>
      <c r="BU5" s="135"/>
      <c r="BV5" s="135"/>
      <c r="BW5" s="135"/>
      <c r="BY5" s="72"/>
      <c r="BZ5" s="72"/>
      <c r="CA5" s="126" t="s">
        <v>18</v>
      </c>
      <c r="CB5" s="127"/>
      <c r="CC5" s="127"/>
      <c r="CD5" s="128"/>
    </row>
    <row r="6" spans="1:82" x14ac:dyDescent="0.25">
      <c r="A6" s="136" t="s">
        <v>41</v>
      </c>
      <c r="B6" s="137"/>
      <c r="C6" s="49" t="s">
        <v>19</v>
      </c>
      <c r="D6" s="49" t="s">
        <v>20</v>
      </c>
      <c r="E6" s="49" t="s">
        <v>2</v>
      </c>
      <c r="F6" s="50" t="s">
        <v>21</v>
      </c>
      <c r="G6" s="49" t="s">
        <v>19</v>
      </c>
      <c r="H6" s="49" t="s">
        <v>20</v>
      </c>
      <c r="I6" s="49" t="s">
        <v>2</v>
      </c>
      <c r="J6" s="50" t="s">
        <v>21</v>
      </c>
      <c r="K6" s="49" t="s">
        <v>19</v>
      </c>
      <c r="L6" s="49" t="s">
        <v>20</v>
      </c>
      <c r="M6" s="49" t="s">
        <v>2</v>
      </c>
      <c r="N6" s="50" t="s">
        <v>21</v>
      </c>
      <c r="O6" s="49" t="s">
        <v>19</v>
      </c>
      <c r="P6" s="49" t="s">
        <v>20</v>
      </c>
      <c r="Q6" s="49" t="s">
        <v>2</v>
      </c>
      <c r="R6" s="50" t="s">
        <v>21</v>
      </c>
      <c r="T6" s="136" t="s">
        <v>41</v>
      </c>
      <c r="U6" s="137"/>
      <c r="V6" s="49" t="s">
        <v>19</v>
      </c>
      <c r="W6" s="49" t="s">
        <v>20</v>
      </c>
      <c r="X6" s="49" t="s">
        <v>2</v>
      </c>
      <c r="Y6" s="50" t="s">
        <v>21</v>
      </c>
      <c r="Z6" s="49" t="s">
        <v>19</v>
      </c>
      <c r="AA6" s="49" t="s">
        <v>20</v>
      </c>
      <c r="AB6" s="49" t="s">
        <v>2</v>
      </c>
      <c r="AC6" s="50" t="s">
        <v>21</v>
      </c>
      <c r="AD6" s="49" t="s">
        <v>19</v>
      </c>
      <c r="AE6" s="49" t="s">
        <v>20</v>
      </c>
      <c r="AF6" s="49" t="s">
        <v>2</v>
      </c>
      <c r="AG6" s="50" t="s">
        <v>21</v>
      </c>
      <c r="AH6" s="49" t="s">
        <v>19</v>
      </c>
      <c r="AI6" s="49" t="s">
        <v>20</v>
      </c>
      <c r="AJ6" s="49" t="s">
        <v>2</v>
      </c>
      <c r="AK6" s="50" t="s">
        <v>21</v>
      </c>
      <c r="AM6" s="136" t="s">
        <v>41</v>
      </c>
      <c r="AN6" s="137"/>
      <c r="AO6" s="56" t="s">
        <v>19</v>
      </c>
      <c r="AP6" s="56" t="s">
        <v>20</v>
      </c>
      <c r="AQ6" s="56" t="s">
        <v>2</v>
      </c>
      <c r="AR6" s="57" t="s">
        <v>21</v>
      </c>
      <c r="AS6" s="56" t="s">
        <v>19</v>
      </c>
      <c r="AT6" s="56" t="s">
        <v>20</v>
      </c>
      <c r="AU6" s="56" t="s">
        <v>2</v>
      </c>
      <c r="AV6" s="57" t="s">
        <v>21</v>
      </c>
      <c r="AW6" s="56" t="s">
        <v>19</v>
      </c>
      <c r="AX6" s="56" t="s">
        <v>20</v>
      </c>
      <c r="AY6" s="56" t="s">
        <v>2</v>
      </c>
      <c r="AZ6" s="57" t="s">
        <v>21</v>
      </c>
      <c r="BA6" s="56" t="s">
        <v>19</v>
      </c>
      <c r="BB6" s="56" t="s">
        <v>20</v>
      </c>
      <c r="BC6" s="56" t="s">
        <v>2</v>
      </c>
      <c r="BD6" s="57" t="s">
        <v>21</v>
      </c>
      <c r="BF6" s="136" t="s">
        <v>41</v>
      </c>
      <c r="BG6" s="137"/>
      <c r="BH6" s="56" t="s">
        <v>19</v>
      </c>
      <c r="BI6" s="56" t="s">
        <v>20</v>
      </c>
      <c r="BJ6" s="56" t="s">
        <v>2</v>
      </c>
      <c r="BK6" s="57" t="s">
        <v>21</v>
      </c>
      <c r="BL6" s="56" t="s">
        <v>19</v>
      </c>
      <c r="BM6" s="56" t="s">
        <v>20</v>
      </c>
      <c r="BN6" s="56" t="s">
        <v>2</v>
      </c>
      <c r="BO6" s="57" t="s">
        <v>21</v>
      </c>
      <c r="BP6" s="56" t="s">
        <v>19</v>
      </c>
      <c r="BQ6" s="56" t="s">
        <v>20</v>
      </c>
      <c r="BR6" s="56" t="s">
        <v>2</v>
      </c>
      <c r="BS6" s="57" t="s">
        <v>21</v>
      </c>
      <c r="BT6" s="56" t="s">
        <v>19</v>
      </c>
      <c r="BU6" s="56" t="s">
        <v>20</v>
      </c>
      <c r="BV6" s="56" t="s">
        <v>2</v>
      </c>
      <c r="BW6" s="57" t="s">
        <v>21</v>
      </c>
      <c r="BY6" s="136" t="s">
        <v>41</v>
      </c>
      <c r="BZ6" s="137"/>
      <c r="CA6" s="49" t="s">
        <v>19</v>
      </c>
      <c r="CB6" s="49" t="s">
        <v>20</v>
      </c>
      <c r="CC6" s="49" t="s">
        <v>2</v>
      </c>
      <c r="CD6" s="50" t="s">
        <v>21</v>
      </c>
    </row>
    <row r="7" spans="1:82" x14ac:dyDescent="0.25">
      <c r="A7" s="47">
        <v>40817</v>
      </c>
      <c r="B7" s="54" t="s">
        <v>22</v>
      </c>
      <c r="C7" s="75"/>
      <c r="D7" s="75"/>
      <c r="E7" s="75">
        <f>IF(D7&gt;0,SUM(D$7:D7)-SUM(C$7:C7),0)</f>
        <v>0</v>
      </c>
      <c r="F7" s="45">
        <f>IF(D7&gt;0,IF(C7&gt;0,D7/C7,0),0)</f>
        <v>0</v>
      </c>
      <c r="G7" s="80" t="s">
        <v>40</v>
      </c>
      <c r="H7" s="75"/>
      <c r="I7" s="75">
        <f>IF(H7&gt;0,SUM(H$7:H7)-SUM(G$7:G7),0)</f>
        <v>0</v>
      </c>
      <c r="J7" s="45">
        <f>IF(H7&gt;0,IF(G7&gt;0,H7/G7,0),0)</f>
        <v>0</v>
      </c>
      <c r="K7" s="75"/>
      <c r="L7" s="75"/>
      <c r="M7" s="75">
        <f>IF(L7&gt;0,SUM(L$7:L7)-SUM(K$7:K7),0)</f>
        <v>0</v>
      </c>
      <c r="N7" s="45">
        <f>IF(L7&gt;0,IF(K7&gt;0,L7/K7,0),0)</f>
        <v>0</v>
      </c>
      <c r="O7" s="35">
        <f t="shared" ref="O7:P38" si="0">IF(SUM(C7,G7,K7)&gt;0,SUM(C7,G7,K7),0)</f>
        <v>0</v>
      </c>
      <c r="P7" s="35">
        <f t="shared" si="0"/>
        <v>0</v>
      </c>
      <c r="Q7" s="35">
        <f>IF(P7&gt;0,SUM(P$7:P7)-SUM(O$7:O7),0)</f>
        <v>0</v>
      </c>
      <c r="R7" s="45">
        <f>IF(P7&gt;0,IF(O7&gt;0,P7/O7,0),0)</f>
        <v>0</v>
      </c>
      <c r="T7" s="47">
        <v>40817</v>
      </c>
      <c r="U7" s="48" t="s">
        <v>22</v>
      </c>
      <c r="V7" s="76"/>
      <c r="W7" s="76"/>
      <c r="X7" s="76">
        <f>IF(W7&gt;0,SUM(W$7:W7)-SUM(V$7:V7),0)</f>
        <v>0</v>
      </c>
      <c r="Y7" s="60">
        <f>IF(W7&gt;0,IF(V7&gt;0,W7/V7,0),0)</f>
        <v>0</v>
      </c>
      <c r="Z7" s="80" t="s">
        <v>40</v>
      </c>
      <c r="AA7" s="76"/>
      <c r="AB7" s="76">
        <f>IF(AA7&gt;0,SUM(AA$7:AA7)-SUM(Z$7:Z7),0)</f>
        <v>0</v>
      </c>
      <c r="AC7" s="60">
        <f>IF(AA7&gt;0,IF(Z7&gt;0,AA7/Z7,0),0)</f>
        <v>0</v>
      </c>
      <c r="AD7" s="76"/>
      <c r="AE7" s="76"/>
      <c r="AF7" s="76">
        <f>IF(AE7&gt;0,SUM(AE$7:AE7)-SUM(AD$7:AD7),0)</f>
        <v>0</v>
      </c>
      <c r="AG7" s="60">
        <f>IF(AE7&gt;0,IF(AD7&gt;0,AE7/AD7,0),0)</f>
        <v>0</v>
      </c>
      <c r="AH7" s="41">
        <f t="shared" ref="AH7:AI38" si="1">IF(SUM(V7,Z7,AD7)&gt;0,SUM(V7,Z7,AD7),0)</f>
        <v>0</v>
      </c>
      <c r="AI7" s="41">
        <f t="shared" si="1"/>
        <v>0</v>
      </c>
      <c r="AJ7" s="41">
        <f>IF(AI7&gt;0,SUM(AI$7:AI7)-SUM(AH$7:AH7),0)</f>
        <v>0</v>
      </c>
      <c r="AK7" s="60">
        <f>IF(AI7&gt;0,IF(AH7&gt;0,AI7/AH7,0),0)</f>
        <v>0</v>
      </c>
      <c r="AM7" s="47">
        <v>40817</v>
      </c>
      <c r="AN7" s="54" t="s">
        <v>22</v>
      </c>
      <c r="AO7" s="75"/>
      <c r="AP7" s="77"/>
      <c r="AQ7" s="75">
        <f>IF(AP7&gt;0,SUM(AP$7:AP7)-SUM(AO$7:AO7),0)</f>
        <v>0</v>
      </c>
      <c r="AR7" s="45">
        <f>IF(AP7&gt;0,IF(AO7&gt;0,AP7/AO7,0),0)</f>
        <v>0</v>
      </c>
      <c r="AS7" s="80" t="s">
        <v>40</v>
      </c>
      <c r="AT7" s="75"/>
      <c r="AU7" s="75">
        <f>IF(AT7&gt;0,SUM(AT$7:AT7)-SUM(AS$7:AS7),0)</f>
        <v>0</v>
      </c>
      <c r="AV7" s="45">
        <f>IF(AT7&gt;0,IF(AS7&gt;0,AT7/AS7,0),0)</f>
        <v>0</v>
      </c>
      <c r="AW7" s="75"/>
      <c r="AX7" s="75"/>
      <c r="AY7" s="75">
        <f>IF(AX7&gt;0,SUM(AX$7:AX7)-SUM(AW$7:AW7),0)</f>
        <v>0</v>
      </c>
      <c r="AZ7" s="45">
        <f>IF(AX7&gt;0,IF(AW7&gt;0,AX7/AW7,0),0)</f>
        <v>0</v>
      </c>
      <c r="BA7" s="35">
        <f t="shared" ref="BA7:BB38" si="2">IF(SUM(AO7,AS7,AW7)&gt;0,SUM(AO7,AS7,AW7),0)</f>
        <v>0</v>
      </c>
      <c r="BB7" s="35">
        <f t="shared" si="2"/>
        <v>0</v>
      </c>
      <c r="BC7" s="35">
        <f>IF(BB7&gt;0,SUM(BB$7:BB7)-SUM(BA$7:BA7),0)</f>
        <v>0</v>
      </c>
      <c r="BD7" s="45">
        <f>IF(BB7&gt;0,IF(BA7&gt;0,BB7/BA7,0),0)</f>
        <v>0</v>
      </c>
      <c r="BF7" s="47">
        <v>40817</v>
      </c>
      <c r="BG7" s="54" t="s">
        <v>22</v>
      </c>
      <c r="BH7" s="75"/>
      <c r="BI7" s="77"/>
      <c r="BJ7" s="75">
        <f>IF(BI7&gt;0,SUM(BI$7:BI7)-SUM(BH$7:BH7),0)</f>
        <v>0</v>
      </c>
      <c r="BK7" s="45">
        <f>IF(BI7&gt;0,IF(BH7&gt;0,BI7/BH7,0),0)</f>
        <v>0</v>
      </c>
      <c r="BL7" s="75"/>
      <c r="BM7" s="75"/>
      <c r="BN7" s="75">
        <f>IF(BM7&gt;0,SUM(BM$7:BM7)-SUM(BL$7:BL7),0)</f>
        <v>0</v>
      </c>
      <c r="BO7" s="45">
        <f>IF(BM7&gt;0,IF(BL7&gt;0,BM7/BL7,0),0)</f>
        <v>0</v>
      </c>
      <c r="BP7" s="75"/>
      <c r="BQ7" s="75"/>
      <c r="BR7" s="75">
        <f>IF(BQ7&gt;0,SUM(BQ$7:BQ7)-SUM(BP$7:BP7),0)</f>
        <v>0</v>
      </c>
      <c r="BS7" s="45">
        <f>IF(BQ7&gt;0,IF(BP7&gt;0,BQ7/BP7,0),0)</f>
        <v>0</v>
      </c>
      <c r="BT7" s="35">
        <f t="shared" ref="BT7:BU38" si="3">IF(SUM(BH7,BL7,BP7)&gt;0,SUM(BH7,BL7,BP7),0)</f>
        <v>0</v>
      </c>
      <c r="BU7" s="35">
        <f t="shared" si="3"/>
        <v>0</v>
      </c>
      <c r="BV7" s="35">
        <f>IF(BU7&gt;0,SUM(BU$7:BU7)-SUM(BT$7:BT7),0)</f>
        <v>0</v>
      </c>
      <c r="BW7" s="45">
        <f>IF(BU7&gt;0,IF(BT7&gt;0,BU7/BT7,0),0)</f>
        <v>0</v>
      </c>
      <c r="BY7" s="47">
        <v>40817</v>
      </c>
      <c r="BZ7" s="48" t="s">
        <v>22</v>
      </c>
      <c r="CA7" s="75"/>
      <c r="CB7" s="75"/>
      <c r="CC7" s="75">
        <f>IF(CB7&gt;0,SUM(CB$7:CB7)-SUM(CA7:CA$7),0)</f>
        <v>0</v>
      </c>
      <c r="CD7" s="45">
        <f>IF(CB7&gt;0,IF(CA7&gt;0,CB7/CA7,0),0)</f>
        <v>0</v>
      </c>
    </row>
    <row r="8" spans="1:82" x14ac:dyDescent="0.25">
      <c r="A8" s="47">
        <f>A7+1</f>
        <v>40818</v>
      </c>
      <c r="B8" s="54" t="s">
        <v>23</v>
      </c>
      <c r="C8" s="75">
        <v>19000</v>
      </c>
      <c r="D8" s="75">
        <v>13790</v>
      </c>
      <c r="E8" s="75">
        <f>IF(D8&gt;0,SUM(D$7:D8)-SUM(C$7:C8),0)</f>
        <v>-5210</v>
      </c>
      <c r="F8" s="45">
        <f>IF(D8&gt;0,IF(C8&gt;0,D8/C8,0),0)</f>
        <v>0.72578947368421054</v>
      </c>
      <c r="G8" s="80" t="s">
        <v>40</v>
      </c>
      <c r="H8" s="36"/>
      <c r="I8" s="75">
        <f>IF(H8&gt;0,SUM(H$7:H8)-SUM(G$7:G8),0)</f>
        <v>0</v>
      </c>
      <c r="J8" s="45">
        <f>IF(H8&gt;0,IF(G8&gt;0,H8/G8,0),0)</f>
        <v>0</v>
      </c>
      <c r="K8" s="75">
        <v>17000</v>
      </c>
      <c r="L8" s="36">
        <v>10608</v>
      </c>
      <c r="M8" s="75">
        <f>IF(L8&gt;0,SUM(L$7:L8)-SUM(K$7:K8),0)</f>
        <v>-6392</v>
      </c>
      <c r="N8" s="45">
        <f>IF(L8&gt;0,IF(K8&gt;0,L8/K8,0),0)</f>
        <v>0.624</v>
      </c>
      <c r="O8" s="35">
        <f t="shared" si="0"/>
        <v>36000</v>
      </c>
      <c r="P8" s="35">
        <f t="shared" si="0"/>
        <v>24398</v>
      </c>
      <c r="Q8" s="35">
        <f>IF(P8&gt;0,SUM(P$7:P8)-SUM(O$7:O8),0)</f>
        <v>-11602</v>
      </c>
      <c r="R8" s="45">
        <f>IF(P8&gt;0,IF(O8&gt;0,P8/O8,0),0)</f>
        <v>0.67772222222222223</v>
      </c>
      <c r="T8" s="47">
        <f>T7+1</f>
        <v>40818</v>
      </c>
      <c r="U8" s="48" t="s">
        <v>23</v>
      </c>
      <c r="V8" s="76">
        <v>17000</v>
      </c>
      <c r="W8" s="38">
        <v>13301</v>
      </c>
      <c r="X8" s="76">
        <f>IF(W8&gt;0,SUM(W$7:W8)-SUM(V$7:V8),0)</f>
        <v>-3699</v>
      </c>
      <c r="Y8" s="60">
        <f>IF(W8&gt;0,IF(V8&gt;0,W8/V8,0),0)</f>
        <v>0.78241176470588236</v>
      </c>
      <c r="Z8" s="80" t="s">
        <v>40</v>
      </c>
      <c r="AA8" s="38"/>
      <c r="AB8" s="76">
        <f>IF(AA8&gt;0,SUM(AA$7:AA8)-SUM(Z$7:Z8),0)</f>
        <v>0</v>
      </c>
      <c r="AC8" s="60">
        <f>IF(AA8&gt;0,IF(Z8&gt;0,AA8/Z8,0),0)</f>
        <v>0</v>
      </c>
      <c r="AD8" s="76">
        <v>17000</v>
      </c>
      <c r="AE8" s="76">
        <v>14033</v>
      </c>
      <c r="AF8" s="76">
        <f>IF(AE8&gt;0,SUM(AE$7:AE8)-SUM(AD$7:AD8),0)</f>
        <v>-2967</v>
      </c>
      <c r="AG8" s="60">
        <f>IF(AE8&gt;0,IF(AD8&gt;0,AE8/AD8,0),0)</f>
        <v>0.82547058823529407</v>
      </c>
      <c r="AH8" s="41">
        <f t="shared" si="1"/>
        <v>34000</v>
      </c>
      <c r="AI8" s="41">
        <f t="shared" si="1"/>
        <v>27334</v>
      </c>
      <c r="AJ8" s="41">
        <f>IF(AI8&gt;0,SUM(AI$7:AI8)-SUM(AH$7:AH8),0)</f>
        <v>-6666</v>
      </c>
      <c r="AK8" s="60">
        <f>IF(AI8&gt;0,IF(AH8&gt;0,AI8/AH8,0),0)</f>
        <v>0.80394117647058827</v>
      </c>
      <c r="AM8" s="47">
        <f>AM7+1</f>
        <v>40818</v>
      </c>
      <c r="AN8" s="54" t="s">
        <v>23</v>
      </c>
      <c r="AO8" s="75">
        <v>14000</v>
      </c>
      <c r="AP8" s="75">
        <v>15682</v>
      </c>
      <c r="AQ8" s="75">
        <f>IF(AP8&gt;0,SUM(AP$7:AP8)-SUM(AO$7:AO8),0)</f>
        <v>1682</v>
      </c>
      <c r="AR8" s="45">
        <f>IF(AP8&gt;0,IF(AO8&gt;0,AP8/AO8,0),0)</f>
        <v>1.1201428571428571</v>
      </c>
      <c r="AS8" s="80" t="s">
        <v>40</v>
      </c>
      <c r="AT8" s="75"/>
      <c r="AU8" s="75">
        <f>IF(AT8&gt;0,SUM(AT$7:AT8)-SUM(AS$7:AS8),0)</f>
        <v>0</v>
      </c>
      <c r="AV8" s="45">
        <f>IF(AT8&gt;0,IF(AS8&gt;0,AT8/AS8,0),0)</f>
        <v>0</v>
      </c>
      <c r="AW8" s="75">
        <v>13000</v>
      </c>
      <c r="AX8" s="75">
        <v>8708</v>
      </c>
      <c r="AY8" s="75">
        <f>IF(AX8&gt;0,SUM(AX$7:AX8)-SUM(AW$7:AW8),0)</f>
        <v>-4292</v>
      </c>
      <c r="AZ8" s="45">
        <f>IF(AX8&gt;0,IF(AW8&gt;0,AX8/AW8,0),0)</f>
        <v>0.66984615384615387</v>
      </c>
      <c r="BA8" s="35">
        <f t="shared" si="2"/>
        <v>27000</v>
      </c>
      <c r="BB8" s="35">
        <f t="shared" si="2"/>
        <v>24390</v>
      </c>
      <c r="BC8" s="35">
        <f>IF(BB8&gt;0,SUM(BB$7:BB8)-SUM(BA$7:BA8),0)</f>
        <v>-2610</v>
      </c>
      <c r="BD8" s="45">
        <f>IF(BB8&gt;0,IF(BA8&gt;0,BB8/BA8,0),0)</f>
        <v>0.90333333333333332</v>
      </c>
      <c r="BF8" s="47">
        <f>BF7+1</f>
        <v>40818</v>
      </c>
      <c r="BG8" s="54" t="s">
        <v>23</v>
      </c>
      <c r="BH8" s="75">
        <v>20000</v>
      </c>
      <c r="BI8" s="77">
        <v>17891</v>
      </c>
      <c r="BJ8" s="75">
        <f>IF(BI8&gt;0,SUM(BI$7:BI8)-SUM(BH$7:BH8),0)</f>
        <v>-2109</v>
      </c>
      <c r="BK8" s="45">
        <f>IF(BI8&gt;0,IF(BH8&gt;0,BI8/BH8,0),0)</f>
        <v>0.89454999999999996</v>
      </c>
      <c r="BL8" s="75">
        <v>6900</v>
      </c>
      <c r="BM8" s="75">
        <v>6509</v>
      </c>
      <c r="BN8" s="75">
        <f>IF(BM8&gt;0,SUM(BM$7:BM8)-SUM(BL$7:BL8),0)</f>
        <v>-391</v>
      </c>
      <c r="BO8" s="45">
        <f>IF(BM8&gt;0,IF(BL8&gt;0,BM8/BL8,0),0)</f>
        <v>0.94333333333333336</v>
      </c>
      <c r="BP8" s="75">
        <v>7100</v>
      </c>
      <c r="BQ8" s="75">
        <v>2011</v>
      </c>
      <c r="BR8" s="75">
        <f>IF(BQ8&gt;0,SUM(BQ$7:BQ8)-SUM(BP$7:BP8),0)</f>
        <v>-5089</v>
      </c>
      <c r="BS8" s="45">
        <f>IF(BQ8&gt;0,IF(BP8&gt;0,BQ8/BP8,0),0)</f>
        <v>0.28323943661971829</v>
      </c>
      <c r="BT8" s="35">
        <f t="shared" si="3"/>
        <v>34000</v>
      </c>
      <c r="BU8" s="35">
        <f t="shared" si="3"/>
        <v>26411</v>
      </c>
      <c r="BV8" s="35">
        <f>IF(BU8&gt;0,SUM(BU$7:BU8)-SUM(BT$7:BT8),0)</f>
        <v>-7589</v>
      </c>
      <c r="BW8" s="45">
        <f>IF(BU8&gt;0,IF(BT8&gt;0,BU8/BT8,0),0)</f>
        <v>0.77679411764705886</v>
      </c>
      <c r="BY8" s="47">
        <f>BY7+1</f>
        <v>40818</v>
      </c>
      <c r="BZ8" s="48" t="s">
        <v>23</v>
      </c>
      <c r="CA8" s="75">
        <v>3500</v>
      </c>
      <c r="CB8" s="75">
        <v>0</v>
      </c>
      <c r="CC8" s="75">
        <f>IF(CB8&gt;0,SUM(CB$7:CB8)-SUM(CA$7:CA8),0)</f>
        <v>0</v>
      </c>
      <c r="CD8" s="45">
        <f>IF(CB8&gt;0,IF(CA8&gt;0,CB8/CA8,0),0)</f>
        <v>0</v>
      </c>
    </row>
    <row r="9" spans="1:82" x14ac:dyDescent="0.25">
      <c r="A9" s="47">
        <f t="shared" ref="A9:A37" si="4">A8+1</f>
        <v>40819</v>
      </c>
      <c r="B9" s="54" t="s">
        <v>24</v>
      </c>
      <c r="C9" s="75">
        <v>19000</v>
      </c>
      <c r="D9" s="75">
        <v>14988</v>
      </c>
      <c r="E9" s="75">
        <f>IF(D9&gt;0,SUM(D$7:D9)-SUM(C$7:C9),0)</f>
        <v>-9222</v>
      </c>
      <c r="F9" s="45">
        <f t="shared" ref="F9:F38" si="5">IF(D9&gt;0,IF(C9&gt;0,D9/C9,0),0)</f>
        <v>0.7888421052631579</v>
      </c>
      <c r="G9" s="80" t="s">
        <v>40</v>
      </c>
      <c r="H9" s="75"/>
      <c r="I9" s="75">
        <f>IF(H9&gt;0,SUM(H$7:H9)-SUM(G$7:G9),0)</f>
        <v>0</v>
      </c>
      <c r="J9" s="45">
        <f t="shared" ref="J9:J38" si="6">IF(H9&gt;0,IF(G9&gt;0,H9/G9,0),0)</f>
        <v>0</v>
      </c>
      <c r="K9" s="75">
        <v>17000</v>
      </c>
      <c r="L9" s="75">
        <v>9435</v>
      </c>
      <c r="M9" s="75">
        <f>IF(L9&gt;0,SUM(L$7:L9)-SUM(K$7:K9),0)</f>
        <v>-13957</v>
      </c>
      <c r="N9" s="45">
        <f t="shared" ref="N9:N38" si="7">IF(L9&gt;0,IF(K9&gt;0,L9/K9,0),0)</f>
        <v>0.55500000000000005</v>
      </c>
      <c r="O9" s="35">
        <f t="shared" si="0"/>
        <v>36000</v>
      </c>
      <c r="P9" s="35">
        <f t="shared" si="0"/>
        <v>24423</v>
      </c>
      <c r="Q9" s="35">
        <f>IF(P9&gt;0,SUM(P$7:P9)-SUM(O$7:O9),0)</f>
        <v>-23179</v>
      </c>
      <c r="R9" s="45">
        <f t="shared" ref="R9:R38" si="8">IF(P9&gt;0,IF(O9&gt;0,P9/O9,0),0)</f>
        <v>0.67841666666666667</v>
      </c>
      <c r="T9" s="47">
        <f t="shared" ref="T9:T37" si="9">T8+1</f>
        <v>40819</v>
      </c>
      <c r="U9" s="48" t="s">
        <v>24</v>
      </c>
      <c r="V9" s="76">
        <v>17000</v>
      </c>
      <c r="W9" s="76">
        <v>11144</v>
      </c>
      <c r="X9" s="76">
        <f>IF(W9&gt;0,SUM(W$7:W9)-SUM(V$7:V9),0)</f>
        <v>-9555</v>
      </c>
      <c r="Y9" s="60">
        <f t="shared" ref="Y9:Y38" si="10">IF(W9&gt;0,IF(V9&gt;0,W9/V9,0),0)</f>
        <v>0.65552941176470592</v>
      </c>
      <c r="Z9" s="80" t="s">
        <v>40</v>
      </c>
      <c r="AA9" s="76"/>
      <c r="AB9" s="76">
        <f>IF(AA9&gt;0,SUM(AA$7:AA9)-SUM(Z$7:Z9),0)</f>
        <v>0</v>
      </c>
      <c r="AC9" s="60">
        <f t="shared" ref="AC9:AC38" si="11">IF(AA9&gt;0,IF(Z9&gt;0,AA9/Z9,0),0)</f>
        <v>0</v>
      </c>
      <c r="AD9" s="76">
        <v>17000</v>
      </c>
      <c r="AE9" s="76">
        <v>12701</v>
      </c>
      <c r="AF9" s="76">
        <f>IF(AE9&gt;0,SUM(AE$7:AE9)-SUM(AD$7:AD9),0)</f>
        <v>-7266</v>
      </c>
      <c r="AG9" s="60">
        <f t="shared" ref="AG9:AG38" si="12">IF(AE9&gt;0,IF(AD9&gt;0,AE9/AD9,0),0)</f>
        <v>0.74711764705882355</v>
      </c>
      <c r="AH9" s="41">
        <f t="shared" si="1"/>
        <v>34000</v>
      </c>
      <c r="AI9" s="41">
        <f t="shared" si="1"/>
        <v>23845</v>
      </c>
      <c r="AJ9" s="41">
        <f>IF(AI9&gt;0,SUM(AI$7:AI9)-SUM(AH$7:AH9),0)</f>
        <v>-16821</v>
      </c>
      <c r="AK9" s="60">
        <f t="shared" ref="AK9:AK38" si="13">IF(AI9&gt;0,IF(AH9&gt;0,AI9/AH9,0),0)</f>
        <v>0.70132352941176468</v>
      </c>
      <c r="AM9" s="47">
        <f t="shared" ref="AM9:AM37" si="14">AM8+1</f>
        <v>40819</v>
      </c>
      <c r="AN9" s="54" t="s">
        <v>24</v>
      </c>
      <c r="AO9" s="75">
        <v>14000</v>
      </c>
      <c r="AP9" s="75">
        <v>13638</v>
      </c>
      <c r="AQ9" s="75">
        <f>IF(AP9&gt;0,SUM(AP$7:AP9)-SUM(AO$7:AO9),0)</f>
        <v>1320</v>
      </c>
      <c r="AR9" s="45">
        <f t="shared" ref="AR9:AR38" si="15">IF(AP9&gt;0,IF(AO9&gt;0,AP9/AO9,0),0)</f>
        <v>0.97414285714285709</v>
      </c>
      <c r="AS9" s="80" t="s">
        <v>40</v>
      </c>
      <c r="AT9" s="36"/>
      <c r="AU9" s="75">
        <f>IF(AT9&gt;0,SUM(AT$7:AT9)-SUM(AS$7:AS9),0)</f>
        <v>0</v>
      </c>
      <c r="AV9" s="45">
        <f t="shared" ref="AV9:AV38" si="16">IF(AT9&gt;0,IF(AS9&gt;0,AT9/AS9,0),0)</f>
        <v>0</v>
      </c>
      <c r="AW9" s="75">
        <v>13000</v>
      </c>
      <c r="AX9" s="36">
        <v>9899</v>
      </c>
      <c r="AY9" s="75">
        <f>IF(AX9&gt;0,SUM(AX$7:AX9)-SUM(AW$7:AW9),0)</f>
        <v>-7393</v>
      </c>
      <c r="AZ9" s="45">
        <f>IF(AX9&gt;0,IF(AW9&gt;0,AX9/AW9,0),0)</f>
        <v>0.76146153846153841</v>
      </c>
      <c r="BA9" s="35">
        <f>IF(SUM(AO9,AS9,AW9)&gt;0,SUM(AO9,AS9,AW9),0)</f>
        <v>27000</v>
      </c>
      <c r="BB9" s="35">
        <f t="shared" si="2"/>
        <v>23537</v>
      </c>
      <c r="BC9" s="35">
        <f>IF(BB9&gt;0,SUM(BB$7:BB9)-SUM(BA$7:BA9),0)</f>
        <v>-6073</v>
      </c>
      <c r="BD9" s="45">
        <f t="shared" ref="BD9:BD38" si="17">IF(BB9&gt;0,IF(BA9&gt;0,BB9/BA9,0),0)</f>
        <v>0.8717407407407407</v>
      </c>
      <c r="BF9" s="47">
        <f t="shared" ref="BF9:BF37" si="18">BF8+1</f>
        <v>40819</v>
      </c>
      <c r="BG9" s="54" t="s">
        <v>24</v>
      </c>
      <c r="BH9" s="75">
        <v>20000</v>
      </c>
      <c r="BI9" s="75">
        <v>15923</v>
      </c>
      <c r="BJ9" s="75">
        <f>IF(BI9&gt;0,SUM(BI$7:BI9)-SUM(BH$7:BH9),0)</f>
        <v>-6186</v>
      </c>
      <c r="BK9" s="45">
        <f t="shared" ref="BK9:BK38" si="19">IF(BI9&gt;0,IF(BH9&gt;0,BI9/BH9,0),0)</f>
        <v>0.79615000000000002</v>
      </c>
      <c r="BL9" s="75">
        <v>6900</v>
      </c>
      <c r="BM9" s="42">
        <v>7618</v>
      </c>
      <c r="BN9" s="75">
        <f>IF(BM9&gt;0,SUM(BM$7:BM9)-SUM(BL$7:BL9),0)</f>
        <v>327</v>
      </c>
      <c r="BO9" s="45">
        <f t="shared" ref="BO9:BO38" si="20">IF(BM9&gt;0,IF(BL9&gt;0,BM9/BL9,0),0)</f>
        <v>1.1040579710144927</v>
      </c>
      <c r="BP9" s="75">
        <v>7100</v>
      </c>
      <c r="BQ9" s="42">
        <v>5006</v>
      </c>
      <c r="BR9" s="75">
        <f>IF(BQ9&gt;0,SUM(BQ$7:BQ9)-SUM(BP$7:BP9),0)</f>
        <v>-7183</v>
      </c>
      <c r="BS9" s="45">
        <f>IF(BQ9&gt;0,IF(BP9&gt;0,BQ9/BP9,0),0)</f>
        <v>0.70507042253521124</v>
      </c>
      <c r="BT9" s="35">
        <f>IF(SUM(BH9,BL9,BP9)&gt;0,SUM(BH9,BL9,BP9),0)</f>
        <v>34000</v>
      </c>
      <c r="BU9" s="35">
        <f t="shared" si="3"/>
        <v>28547</v>
      </c>
      <c r="BV9" s="35">
        <f>IF(BU9&gt;0,SUM(BU$7:BU9)-SUM(BT$7:BT9),0)</f>
        <v>-13042</v>
      </c>
      <c r="BW9" s="45">
        <f t="shared" ref="BW9:BW38" si="21">IF(BU9&gt;0,IF(BT9&gt;0,BU9/BT9,0),0)</f>
        <v>0.83961764705882358</v>
      </c>
      <c r="BY9" s="47">
        <f t="shared" ref="BY9:BY37" si="22">BY8+1</f>
        <v>40819</v>
      </c>
      <c r="BZ9" s="48" t="s">
        <v>24</v>
      </c>
      <c r="CA9" s="75">
        <v>3500</v>
      </c>
      <c r="CB9" s="75">
        <v>0</v>
      </c>
      <c r="CC9" s="75">
        <f>IF(CB9&gt;0,SUM(CB$7:CB9)-SUM(CA$7:CA9),0)</f>
        <v>0</v>
      </c>
      <c r="CD9" s="45">
        <f t="shared" ref="CD9:CD38" si="23">IF(CB9&gt;0,IF(CA9&gt;0,CB9/CA9,0),0)</f>
        <v>0</v>
      </c>
    </row>
    <row r="10" spans="1:82" x14ac:dyDescent="0.25">
      <c r="A10" s="47">
        <f t="shared" si="4"/>
        <v>40820</v>
      </c>
      <c r="B10" s="54" t="s">
        <v>25</v>
      </c>
      <c r="C10" s="75"/>
      <c r="D10" s="75">
        <v>15515</v>
      </c>
      <c r="E10" s="75">
        <f>IF(D10&gt;0,SUM(D$7:D10)-SUM(C$7:C10),0)</f>
        <v>6293</v>
      </c>
      <c r="F10" s="45">
        <f t="shared" si="5"/>
        <v>0</v>
      </c>
      <c r="G10" s="80" t="s">
        <v>40</v>
      </c>
      <c r="H10" s="75"/>
      <c r="I10" s="75">
        <f>IF(H10&gt;0,SUM(H$7:H10)-SUM(G$7:G10),0)</f>
        <v>0</v>
      </c>
      <c r="J10" s="45">
        <f t="shared" si="6"/>
        <v>0</v>
      </c>
      <c r="K10" s="75"/>
      <c r="L10" s="75">
        <v>13842</v>
      </c>
      <c r="M10" s="75">
        <f>IF(L10&gt;0,SUM(L$7:L10)-SUM(K$7:K10),0)</f>
        <v>-115</v>
      </c>
      <c r="N10" s="45">
        <f t="shared" si="7"/>
        <v>0</v>
      </c>
      <c r="O10" s="35">
        <f t="shared" si="0"/>
        <v>0</v>
      </c>
      <c r="P10" s="35">
        <f t="shared" si="0"/>
        <v>29357</v>
      </c>
      <c r="Q10" s="35">
        <f>IF(P10&gt;0,SUM(P$7:P10)-SUM(O$7:O10),0)</f>
        <v>6178</v>
      </c>
      <c r="R10" s="45">
        <f t="shared" si="8"/>
        <v>0</v>
      </c>
      <c r="T10" s="47">
        <f t="shared" si="9"/>
        <v>40820</v>
      </c>
      <c r="U10" s="48" t="s">
        <v>25</v>
      </c>
      <c r="V10" s="76"/>
      <c r="W10" s="76">
        <v>10090</v>
      </c>
      <c r="X10" s="76">
        <f>IF(W10&gt;0,SUM(W$7:W10)-SUM(V$7:V10),0)</f>
        <v>535</v>
      </c>
      <c r="Y10" s="60">
        <f t="shared" si="10"/>
        <v>0</v>
      </c>
      <c r="Z10" s="80" t="s">
        <v>40</v>
      </c>
      <c r="AA10" s="76"/>
      <c r="AB10" s="76">
        <f>IF(AA10&gt;0,SUM(AA$7:AA10)-SUM(Z$7:Z10),0)</f>
        <v>0</v>
      </c>
      <c r="AC10" s="60">
        <f t="shared" si="11"/>
        <v>0</v>
      </c>
      <c r="AD10" s="76"/>
      <c r="AE10" s="76">
        <v>12013</v>
      </c>
      <c r="AF10" s="76">
        <f>IF(AE10&gt;0,SUM(AE$7:AE10)-SUM(AD$7:AD10),0)</f>
        <v>4747</v>
      </c>
      <c r="AG10" s="60">
        <f t="shared" si="12"/>
        <v>0</v>
      </c>
      <c r="AH10" s="41">
        <f t="shared" si="1"/>
        <v>0</v>
      </c>
      <c r="AI10" s="41">
        <f t="shared" si="1"/>
        <v>22103</v>
      </c>
      <c r="AJ10" s="41">
        <f>IF(AI10&gt;0,SUM(AI$7:AI10)-SUM(AH$7:AH10),0)</f>
        <v>5282</v>
      </c>
      <c r="AK10" s="60">
        <f t="shared" si="13"/>
        <v>0</v>
      </c>
      <c r="AM10" s="47">
        <f t="shared" si="14"/>
        <v>40820</v>
      </c>
      <c r="AN10" s="54" t="s">
        <v>25</v>
      </c>
      <c r="AO10" s="75"/>
      <c r="AP10" s="75"/>
      <c r="AQ10" s="75">
        <f>IF(AP10&gt;0,SUM(AP$7:AP10)-SUM(AO$7:AO10),0)</f>
        <v>0</v>
      </c>
      <c r="AR10" s="45">
        <f t="shared" si="15"/>
        <v>0</v>
      </c>
      <c r="AS10" s="80" t="s">
        <v>40</v>
      </c>
      <c r="AT10" s="75"/>
      <c r="AU10" s="75">
        <f>IF(AT10&gt;0,SUM(AT$7:AT10)-SUM(AS$7:AS10),0)</f>
        <v>0</v>
      </c>
      <c r="AV10" s="45">
        <f t="shared" si="16"/>
        <v>0</v>
      </c>
      <c r="AW10" s="75"/>
      <c r="AX10" s="37"/>
      <c r="AY10" s="75">
        <f>IF(AX10&gt;0,SUM(AX$7:AX10)-SUM(AW$7:AW10),0)</f>
        <v>0</v>
      </c>
      <c r="AZ10" s="45">
        <f>IF(AX10&gt;0,IF(AW10&gt;0,AX10/AW10,0),0)</f>
        <v>0</v>
      </c>
      <c r="BA10" s="35">
        <f>IF(SUM(AO10,AS10,AW10)&gt;0,SUM(AO10,AS10,AW10),0)</f>
        <v>0</v>
      </c>
      <c r="BB10" s="35">
        <f t="shared" si="2"/>
        <v>0</v>
      </c>
      <c r="BC10" s="35">
        <f>IF(BB10&gt;0,SUM(BB$7:BB10)-SUM(BA$7:BA10),0)</f>
        <v>0</v>
      </c>
      <c r="BD10" s="45">
        <f t="shared" si="17"/>
        <v>0</v>
      </c>
      <c r="BF10" s="47">
        <f t="shared" si="18"/>
        <v>40820</v>
      </c>
      <c r="BG10" s="54" t="s">
        <v>25</v>
      </c>
      <c r="BH10" s="75"/>
      <c r="BI10" s="75"/>
      <c r="BJ10" s="75">
        <f>IF(BI10&gt;0,SUM(BI$7:BI10)-SUM(BH$7:BH10),0)</f>
        <v>0</v>
      </c>
      <c r="BK10" s="45">
        <f t="shared" si="19"/>
        <v>0</v>
      </c>
      <c r="BL10" s="75"/>
      <c r="BM10" s="43"/>
      <c r="BN10" s="75">
        <f>IF(BM10&gt;0,SUM(BM$7:BM10)-SUM(BL$7:BL10),0)</f>
        <v>0</v>
      </c>
      <c r="BO10" s="45">
        <f t="shared" si="20"/>
        <v>0</v>
      </c>
      <c r="BP10" s="75"/>
      <c r="BQ10" s="43"/>
      <c r="BR10" s="75">
        <f>IF(BQ10&gt;0,SUM(BQ$7:BQ10)-SUM(BP$7:BP10),0)</f>
        <v>0</v>
      </c>
      <c r="BS10" s="45">
        <f>IF(BQ10&gt;0,IF(BP10&gt;0,BQ10/BP10,0),0)</f>
        <v>0</v>
      </c>
      <c r="BT10" s="35">
        <f>IF(SUM(BH10,BL10,BP10)&gt;0,SUM(BH10,BL10,BP10),0)</f>
        <v>0</v>
      </c>
      <c r="BU10" s="35">
        <f t="shared" si="3"/>
        <v>0</v>
      </c>
      <c r="BV10" s="35">
        <f>IF(BU10&gt;0,SUM(BU$7:BU10)-SUM(BT$7:BT10),0)</f>
        <v>0</v>
      </c>
      <c r="BW10" s="45">
        <f t="shared" si="21"/>
        <v>0</v>
      </c>
      <c r="BY10" s="47">
        <f t="shared" si="22"/>
        <v>40820</v>
      </c>
      <c r="BZ10" s="48" t="s">
        <v>25</v>
      </c>
      <c r="CA10" s="75"/>
      <c r="CB10" s="75"/>
      <c r="CC10" s="75">
        <f>IF(CB10&gt;0,SUM(CB$7:CB10)-SUM(CA$7:CA10),0)</f>
        <v>0</v>
      </c>
      <c r="CD10" s="45">
        <f t="shared" si="23"/>
        <v>0</v>
      </c>
    </row>
    <row r="11" spans="1:82" x14ac:dyDescent="0.25">
      <c r="A11" s="47">
        <f t="shared" si="4"/>
        <v>40821</v>
      </c>
      <c r="B11" s="54" t="s">
        <v>26</v>
      </c>
      <c r="C11" s="75"/>
      <c r="D11" s="75"/>
      <c r="E11" s="75">
        <f>IF(D11&gt;0,SUM(D$7:D11)-SUM(C$7:C11),0)</f>
        <v>0</v>
      </c>
      <c r="F11" s="45">
        <f t="shared" si="5"/>
        <v>0</v>
      </c>
      <c r="G11" s="80" t="s">
        <v>40</v>
      </c>
      <c r="H11" s="75"/>
      <c r="I11" s="75">
        <f>IF(H11&gt;0,SUM(H$7:H11)-SUM(G$7:G11),0)</f>
        <v>0</v>
      </c>
      <c r="J11" s="45">
        <f t="shared" si="6"/>
        <v>0</v>
      </c>
      <c r="K11" s="75"/>
      <c r="L11" s="75"/>
      <c r="M11" s="75">
        <f>IF(L11&gt;0,SUM(L$7:L11)-SUM(K$7:K11),0)</f>
        <v>0</v>
      </c>
      <c r="N11" s="45">
        <f t="shared" si="7"/>
        <v>0</v>
      </c>
      <c r="O11" s="35">
        <f t="shared" si="0"/>
        <v>0</v>
      </c>
      <c r="P11" s="35">
        <f t="shared" si="0"/>
        <v>0</v>
      </c>
      <c r="Q11" s="35">
        <f>IF(P11&gt;0,SUM(P$7:P11)-SUM(O$7:O11),0)</f>
        <v>0</v>
      </c>
      <c r="R11" s="45">
        <f t="shared" si="8"/>
        <v>0</v>
      </c>
      <c r="T11" s="47">
        <f t="shared" si="9"/>
        <v>40821</v>
      </c>
      <c r="U11" s="48" t="s">
        <v>26</v>
      </c>
      <c r="V11" s="76"/>
      <c r="W11" s="76">
        <v>12000</v>
      </c>
      <c r="X11" s="76">
        <f>IF(W11&gt;0,SUM(W$7:W11)-SUM(V$7:V11),0)</f>
        <v>12535</v>
      </c>
      <c r="Y11" s="81">
        <f t="shared" si="10"/>
        <v>0</v>
      </c>
      <c r="Z11" s="80" t="s">
        <v>40</v>
      </c>
      <c r="AA11" s="76"/>
      <c r="AB11" s="76">
        <f>IF(AA11&gt;0,SUM(AA$7:AA11)-SUM(Z$7:Z11),0)</f>
        <v>0</v>
      </c>
      <c r="AC11" s="60">
        <f t="shared" si="11"/>
        <v>0</v>
      </c>
      <c r="AD11" s="76"/>
      <c r="AE11" s="76">
        <v>6020</v>
      </c>
      <c r="AF11" s="76">
        <f>IF(AE11&gt;0,SUM(AE$7:AE11)-SUM(AD$7:AD11),0)</f>
        <v>10767</v>
      </c>
      <c r="AG11" s="60">
        <f t="shared" si="12"/>
        <v>0</v>
      </c>
      <c r="AH11" s="41">
        <f t="shared" si="1"/>
        <v>0</v>
      </c>
      <c r="AI11" s="41">
        <f t="shared" si="1"/>
        <v>18020</v>
      </c>
      <c r="AJ11" s="41">
        <f>IF(AI11&gt;0,SUM(AI$7:AI11)-SUM(AH$7:AH11),0)</f>
        <v>23302</v>
      </c>
      <c r="AK11" s="60">
        <f t="shared" si="13"/>
        <v>0</v>
      </c>
      <c r="AM11" s="47">
        <f t="shared" si="14"/>
        <v>40821</v>
      </c>
      <c r="AN11" s="54" t="s">
        <v>26</v>
      </c>
      <c r="AO11" s="75"/>
      <c r="AP11" s="75"/>
      <c r="AQ11" s="75">
        <f>IF(AP11&gt;0,SUM(AP$7:AP11)-SUM(AO$7:AO11),0)</f>
        <v>0</v>
      </c>
      <c r="AR11" s="45">
        <f t="shared" si="15"/>
        <v>0</v>
      </c>
      <c r="AS11" s="80" t="s">
        <v>40</v>
      </c>
      <c r="AT11" s="75"/>
      <c r="AU11" s="75">
        <f>IF(AT11&gt;0,SUM(AT$7:AT11)-SUM(AS$7:AS11),0)</f>
        <v>0</v>
      </c>
      <c r="AV11" s="45">
        <f t="shared" si="16"/>
        <v>0</v>
      </c>
      <c r="AW11" s="75"/>
      <c r="AX11" s="37"/>
      <c r="AY11" s="75">
        <f>IF(AX11&gt;0,SUM(AX$7:AX11)-SUM(AW$7:AW11),0)</f>
        <v>0</v>
      </c>
      <c r="AZ11" s="45">
        <f t="shared" ref="AZ11:AZ38" si="24">IF(AX11&gt;0,IF(AW11&gt;0,AX11/AW11,0),0)</f>
        <v>0</v>
      </c>
      <c r="BA11" s="35">
        <f t="shared" si="2"/>
        <v>0</v>
      </c>
      <c r="BB11" s="35">
        <f t="shared" si="2"/>
        <v>0</v>
      </c>
      <c r="BC11" s="35">
        <f>IF(BB11&gt;0,SUM(BB$7:BB11)-SUM(BA$7:BA11),0)</f>
        <v>0</v>
      </c>
      <c r="BD11" s="45">
        <f t="shared" si="17"/>
        <v>0</v>
      </c>
      <c r="BF11" s="47">
        <f t="shared" si="18"/>
        <v>40821</v>
      </c>
      <c r="BG11" s="54" t="s">
        <v>26</v>
      </c>
      <c r="BH11" s="75"/>
      <c r="BI11" s="75"/>
      <c r="BJ11" s="75">
        <f>IF(BI11&gt;0,SUM(BI$7:BI11)-SUM(BH$7:BH11),0)</f>
        <v>0</v>
      </c>
      <c r="BK11" s="45">
        <f t="shared" si="19"/>
        <v>0</v>
      </c>
      <c r="BL11" s="75"/>
      <c r="BM11" s="43"/>
      <c r="BN11" s="75">
        <f>IF(BM11&gt;0,SUM(BM$7:BM11)-SUM(BL$7:BL11),0)</f>
        <v>0</v>
      </c>
      <c r="BO11" s="45">
        <f t="shared" si="20"/>
        <v>0</v>
      </c>
      <c r="BP11" s="75"/>
      <c r="BQ11" s="43"/>
      <c r="BR11" s="75">
        <f>IF(BQ11&gt;0,SUM(BQ$7:BQ11)-SUM(BP$7:BP11),0)</f>
        <v>0</v>
      </c>
      <c r="BS11" s="45">
        <f t="shared" ref="BS11:BS38" si="25">IF(BQ11&gt;0,IF(BP11&gt;0,BQ11/BP11,0),0)</f>
        <v>0</v>
      </c>
      <c r="BT11" s="35">
        <f t="shared" si="3"/>
        <v>0</v>
      </c>
      <c r="BU11" s="35">
        <f t="shared" si="3"/>
        <v>0</v>
      </c>
      <c r="BV11" s="35">
        <f>IF(BU11&gt;0,SUM(BU$7:BU11)-SUM(BT$7:BT11),0)</f>
        <v>0</v>
      </c>
      <c r="BW11" s="45">
        <f t="shared" si="21"/>
        <v>0</v>
      </c>
      <c r="BY11" s="47">
        <f t="shared" si="22"/>
        <v>40821</v>
      </c>
      <c r="BZ11" s="48" t="s">
        <v>26</v>
      </c>
      <c r="CA11" s="75"/>
      <c r="CB11" s="75"/>
      <c r="CC11" s="75">
        <f>IF(CB11&gt;0,SUM(CB$7:CB11)-SUM(CA$7:CA11),0)</f>
        <v>0</v>
      </c>
      <c r="CD11" s="45">
        <f t="shared" si="23"/>
        <v>0</v>
      </c>
    </row>
    <row r="12" spans="1:82" x14ac:dyDescent="0.25">
      <c r="A12" s="47">
        <f t="shared" si="4"/>
        <v>40822</v>
      </c>
      <c r="B12" s="54" t="s">
        <v>27</v>
      </c>
      <c r="C12" s="75">
        <v>19000</v>
      </c>
      <c r="D12" s="75">
        <v>8251</v>
      </c>
      <c r="E12" s="75">
        <f>IF(D12&gt;0,SUM(D$7:D12)-SUM(C$7:C12),0)</f>
        <v>-4456</v>
      </c>
      <c r="F12" s="45">
        <f t="shared" si="5"/>
        <v>0.43426315789473685</v>
      </c>
      <c r="G12" s="80" t="s">
        <v>40</v>
      </c>
      <c r="H12" s="75"/>
      <c r="I12" s="75">
        <f>IF(H12&gt;0,SUM(H$7:H12)-SUM(G$7:G12),0)</f>
        <v>0</v>
      </c>
      <c r="J12" s="45">
        <f t="shared" si="6"/>
        <v>0</v>
      </c>
      <c r="K12" s="75">
        <v>17000</v>
      </c>
      <c r="L12" s="75">
        <v>5312</v>
      </c>
      <c r="M12" s="75">
        <f>IF(L12&gt;0,SUM(L$7:L12)-SUM(K$7:K12),0)</f>
        <v>-11803</v>
      </c>
      <c r="N12" s="45">
        <f t="shared" si="7"/>
        <v>0.31247058823529411</v>
      </c>
      <c r="O12" s="35">
        <f t="shared" si="0"/>
        <v>36000</v>
      </c>
      <c r="P12" s="35">
        <f t="shared" si="0"/>
        <v>13563</v>
      </c>
      <c r="Q12" s="35">
        <f>IF(P12&gt;0,SUM(P$7:P12)-SUM(O$7:O12),0)</f>
        <v>-16259</v>
      </c>
      <c r="R12" s="45">
        <f t="shared" si="8"/>
        <v>0.37674999999999997</v>
      </c>
      <c r="T12" s="47">
        <f t="shared" si="9"/>
        <v>40822</v>
      </c>
      <c r="U12" s="48" t="s">
        <v>27</v>
      </c>
      <c r="V12" s="76">
        <v>17000</v>
      </c>
      <c r="W12" s="76">
        <v>16701</v>
      </c>
      <c r="X12" s="76">
        <f>IF(W12&gt;0,SUM(W$7:W12)-SUM(V$7:V12),0)</f>
        <v>12236</v>
      </c>
      <c r="Y12" s="60">
        <f t="shared" si="10"/>
        <v>0.98241176470588232</v>
      </c>
      <c r="Z12" s="80" t="s">
        <v>40</v>
      </c>
      <c r="AA12" s="76"/>
      <c r="AB12" s="76">
        <f>IF(AA12&gt;0,SUM(AA$7:AA12)-SUM(Z$7:Z12),0)</f>
        <v>0</v>
      </c>
      <c r="AC12" s="60">
        <f t="shared" si="11"/>
        <v>0</v>
      </c>
      <c r="AD12" s="76">
        <v>17000</v>
      </c>
      <c r="AE12" s="76">
        <v>9380</v>
      </c>
      <c r="AF12" s="76">
        <f>IF(AE12&gt;0,SUM(AE$7:AE12)-SUM(AD$7:AD12),0)</f>
        <v>3147</v>
      </c>
      <c r="AG12" s="60">
        <f t="shared" si="12"/>
        <v>0.55176470588235293</v>
      </c>
      <c r="AH12" s="41">
        <f t="shared" si="1"/>
        <v>34000</v>
      </c>
      <c r="AI12" s="41">
        <f t="shared" si="1"/>
        <v>26081</v>
      </c>
      <c r="AJ12" s="41">
        <f>IF(AI12&gt;0,SUM(AI$7:AI12)-SUM(AH$7:AH12),0)</f>
        <v>15383</v>
      </c>
      <c r="AK12" s="60">
        <f t="shared" si="13"/>
        <v>0.76708823529411763</v>
      </c>
      <c r="AM12" s="47">
        <f t="shared" si="14"/>
        <v>40822</v>
      </c>
      <c r="AN12" s="54" t="s">
        <v>27</v>
      </c>
      <c r="AO12" s="75">
        <v>14000</v>
      </c>
      <c r="AP12" s="75">
        <v>18282</v>
      </c>
      <c r="AQ12" s="75">
        <f>IF(AP12&gt;0,SUM(AP$7:AP12)-SUM(AO$7:AO12),0)</f>
        <v>5602</v>
      </c>
      <c r="AR12" s="45">
        <f t="shared" si="15"/>
        <v>1.3058571428571428</v>
      </c>
      <c r="AS12" s="80" t="s">
        <v>40</v>
      </c>
      <c r="AT12" s="75"/>
      <c r="AU12" s="75">
        <f>IF(AT12&gt;0,SUM(AT$7:AT12)-SUM(AS$7:AS12),0)</f>
        <v>0</v>
      </c>
      <c r="AV12" s="45">
        <f t="shared" si="16"/>
        <v>0</v>
      </c>
      <c r="AW12" s="75">
        <v>13000</v>
      </c>
      <c r="AX12" s="36">
        <v>13971</v>
      </c>
      <c r="AY12" s="75">
        <f>IF(AX12&gt;0,SUM(AX$7:AX12)-SUM(AW$7:AW12),0)</f>
        <v>-6422</v>
      </c>
      <c r="AZ12" s="45">
        <f t="shared" si="24"/>
        <v>1.0746923076923076</v>
      </c>
      <c r="BA12" s="35">
        <f t="shared" si="2"/>
        <v>27000</v>
      </c>
      <c r="BB12" s="35">
        <f t="shared" si="2"/>
        <v>32253</v>
      </c>
      <c r="BC12" s="35">
        <f>IF(BB12&gt;0,SUM(BB$7:BB12)-SUM(BA$7:BA12),0)</f>
        <v>-820</v>
      </c>
      <c r="BD12" s="45">
        <f t="shared" si="17"/>
        <v>1.1945555555555556</v>
      </c>
      <c r="BF12" s="47">
        <f t="shared" si="18"/>
        <v>40822</v>
      </c>
      <c r="BG12" s="54" t="s">
        <v>27</v>
      </c>
      <c r="BH12" s="75">
        <v>20000</v>
      </c>
      <c r="BI12" s="75">
        <v>23239</v>
      </c>
      <c r="BJ12" s="75">
        <f>IF(BI12&gt;0,SUM(BI$7:BI12)-SUM(BH$7:BH12),0)</f>
        <v>-2947</v>
      </c>
      <c r="BK12" s="45">
        <f t="shared" si="19"/>
        <v>1.16195</v>
      </c>
      <c r="BL12" s="75">
        <v>6900</v>
      </c>
      <c r="BM12" s="43">
        <v>9020</v>
      </c>
      <c r="BN12" s="75">
        <f>IF(BM12&gt;0,SUM(BM$7:BM12)-SUM(BL$7:BL12),0)</f>
        <v>2447</v>
      </c>
      <c r="BO12" s="45">
        <f t="shared" si="20"/>
        <v>1.3072463768115943</v>
      </c>
      <c r="BP12" s="75">
        <v>7100</v>
      </c>
      <c r="BQ12" s="42">
        <v>4166</v>
      </c>
      <c r="BR12" s="75">
        <f>IF(BQ12&gt;0,SUM(BQ$7:BQ12)-SUM(BP$7:BP12),0)</f>
        <v>-10117</v>
      </c>
      <c r="BS12" s="45">
        <f t="shared" si="25"/>
        <v>0.58676056338028171</v>
      </c>
      <c r="BT12" s="35">
        <f t="shared" si="3"/>
        <v>34000</v>
      </c>
      <c r="BU12" s="35">
        <f t="shared" si="3"/>
        <v>36425</v>
      </c>
      <c r="BV12" s="35">
        <f>IF(BU12&gt;0,SUM(BU$7:BU12)-SUM(BT$7:BT12),0)</f>
        <v>-10617</v>
      </c>
      <c r="BW12" s="45">
        <f t="shared" si="21"/>
        <v>1.0713235294117647</v>
      </c>
      <c r="BY12" s="47">
        <f t="shared" si="22"/>
        <v>40822</v>
      </c>
      <c r="BZ12" s="48" t="s">
        <v>27</v>
      </c>
      <c r="CA12" s="75">
        <v>3500</v>
      </c>
      <c r="CB12" s="75">
        <v>4914</v>
      </c>
      <c r="CC12" s="75">
        <f>IF(CB12&gt;0,SUM(CB$7:CB12)-SUM(CA$7:CA12),0)</f>
        <v>-5586</v>
      </c>
      <c r="CD12" s="45">
        <f t="shared" si="23"/>
        <v>1.4039999999999999</v>
      </c>
    </row>
    <row r="13" spans="1:82" x14ac:dyDescent="0.25">
      <c r="A13" s="47">
        <f t="shared" si="4"/>
        <v>40823</v>
      </c>
      <c r="B13" s="54" t="s">
        <v>28</v>
      </c>
      <c r="C13" s="75">
        <v>19000</v>
      </c>
      <c r="D13" s="75">
        <v>16673</v>
      </c>
      <c r="E13" s="75">
        <f>IF(D13&gt;0,SUM(D$7:D13)-SUM(C$7:C13),0)</f>
        <v>-6783</v>
      </c>
      <c r="F13" s="45">
        <f t="shared" si="5"/>
        <v>0.87752631578947371</v>
      </c>
      <c r="G13" s="80" t="s">
        <v>40</v>
      </c>
      <c r="H13" s="75"/>
      <c r="I13" s="75">
        <f>IF(H13&gt;0,SUM(H$7:H13)-SUM(G$7:G13),0)</f>
        <v>0</v>
      </c>
      <c r="J13" s="45">
        <f t="shared" si="6"/>
        <v>0</v>
      </c>
      <c r="K13" s="75">
        <v>17000</v>
      </c>
      <c r="L13" s="75">
        <v>14822</v>
      </c>
      <c r="M13" s="75">
        <f>IF(L13&gt;0,SUM(L$7:L13)-SUM(K$7:K13),0)</f>
        <v>-13981</v>
      </c>
      <c r="N13" s="45">
        <f t="shared" si="7"/>
        <v>0.87188235294117644</v>
      </c>
      <c r="O13" s="35">
        <f t="shared" si="0"/>
        <v>36000</v>
      </c>
      <c r="P13" s="35">
        <f t="shared" si="0"/>
        <v>31495</v>
      </c>
      <c r="Q13" s="35">
        <f>IF(P13&gt;0,SUM(P$7:P13)-SUM(O$7:O13),0)</f>
        <v>-20764</v>
      </c>
      <c r="R13" s="45">
        <f t="shared" si="8"/>
        <v>0.87486111111111109</v>
      </c>
      <c r="T13" s="47">
        <f t="shared" si="9"/>
        <v>40823</v>
      </c>
      <c r="U13" s="48" t="s">
        <v>28</v>
      </c>
      <c r="V13" s="76">
        <v>17000</v>
      </c>
      <c r="W13" s="76">
        <v>11616</v>
      </c>
      <c r="X13" s="76">
        <f>IF(W13&gt;0,SUM(W$7:W13)-SUM(V$7:V13),0)</f>
        <v>6852</v>
      </c>
      <c r="Y13" s="60">
        <f t="shared" si="10"/>
        <v>0.68329411764705883</v>
      </c>
      <c r="Z13" s="80" t="s">
        <v>40</v>
      </c>
      <c r="AA13" s="76"/>
      <c r="AB13" s="76">
        <f>IF(AA13&gt;0,SUM(AA$7:AA13)-SUM(Z$7:Z13),0)</f>
        <v>0</v>
      </c>
      <c r="AC13" s="60">
        <f t="shared" si="11"/>
        <v>0</v>
      </c>
      <c r="AD13" s="76">
        <v>17000</v>
      </c>
      <c r="AE13" s="76">
        <v>12885</v>
      </c>
      <c r="AF13" s="76">
        <f>IF(AE13&gt;0,SUM(AE$7:AE13)-SUM(AD$7:AD13),0)</f>
        <v>-968</v>
      </c>
      <c r="AG13" s="60">
        <f t="shared" si="12"/>
        <v>0.75794117647058823</v>
      </c>
      <c r="AH13" s="41">
        <f t="shared" si="1"/>
        <v>34000</v>
      </c>
      <c r="AI13" s="41">
        <f t="shared" si="1"/>
        <v>24501</v>
      </c>
      <c r="AJ13" s="41">
        <f>IF(AI13&gt;0,SUM(AI$7:AI13)-SUM(AH$7:AH13),0)</f>
        <v>5884</v>
      </c>
      <c r="AK13" s="60">
        <f t="shared" si="13"/>
        <v>0.72061764705882347</v>
      </c>
      <c r="AM13" s="47">
        <f t="shared" si="14"/>
        <v>40823</v>
      </c>
      <c r="AN13" s="54" t="s">
        <v>28</v>
      </c>
      <c r="AO13" s="75">
        <v>14000</v>
      </c>
      <c r="AP13" s="75">
        <v>17265</v>
      </c>
      <c r="AQ13" s="75">
        <f>IF(AP13&gt;0,SUM(AP$7:AP13)-SUM(AO$7:AO13),0)</f>
        <v>8867</v>
      </c>
      <c r="AR13" s="45">
        <f t="shared" si="15"/>
        <v>1.2332142857142858</v>
      </c>
      <c r="AS13" s="80" t="s">
        <v>40</v>
      </c>
      <c r="AT13" s="75"/>
      <c r="AU13" s="75">
        <f>IF(AT13&gt;0,SUM(AT$7:AT13)-SUM(AS$7:AS13),0)</f>
        <v>0</v>
      </c>
      <c r="AV13" s="45">
        <f t="shared" si="16"/>
        <v>0</v>
      </c>
      <c r="AW13" s="75">
        <v>13000</v>
      </c>
      <c r="AX13" s="37">
        <v>12109</v>
      </c>
      <c r="AY13" s="75">
        <f>IF(AX13&gt;0,SUM(AX$7:AX13)-SUM(AW$7:AW13),0)</f>
        <v>-7313</v>
      </c>
      <c r="AZ13" s="45">
        <f t="shared" si="24"/>
        <v>0.93146153846153845</v>
      </c>
      <c r="BA13" s="35">
        <f t="shared" si="2"/>
        <v>27000</v>
      </c>
      <c r="BB13" s="35">
        <f t="shared" si="2"/>
        <v>29374</v>
      </c>
      <c r="BC13" s="35">
        <f>IF(BB13&gt;0,SUM(BB$7:BB13)-SUM(BA$7:BA13),0)</f>
        <v>1554</v>
      </c>
      <c r="BD13" s="45">
        <f t="shared" si="17"/>
        <v>1.087925925925926</v>
      </c>
      <c r="BF13" s="47">
        <f t="shared" si="18"/>
        <v>40823</v>
      </c>
      <c r="BG13" s="54" t="s">
        <v>28</v>
      </c>
      <c r="BH13" s="75">
        <v>20000</v>
      </c>
      <c r="BI13" s="75">
        <v>20108</v>
      </c>
      <c r="BJ13" s="75">
        <f>IF(BI13&gt;0,SUM(BI$7:BI13)-SUM(BH$7:BH13),0)</f>
        <v>-2839</v>
      </c>
      <c r="BK13" s="45">
        <f t="shared" si="19"/>
        <v>1.0054000000000001</v>
      </c>
      <c r="BL13" s="75">
        <v>6900</v>
      </c>
      <c r="BM13" s="43">
        <v>9271</v>
      </c>
      <c r="BN13" s="75">
        <f>IF(BM13&gt;0,SUM(BM$7:BM13)-SUM(BL$7:BL13),0)</f>
        <v>4818</v>
      </c>
      <c r="BO13" s="45">
        <f t="shared" si="20"/>
        <v>1.3436231884057972</v>
      </c>
      <c r="BP13" s="75">
        <v>7100</v>
      </c>
      <c r="BQ13" s="43">
        <v>10528</v>
      </c>
      <c r="BR13" s="75">
        <f>IF(BQ13&gt;0,SUM(BQ$7:BQ13)-SUM(BP$7:BP13),0)</f>
        <v>-6689</v>
      </c>
      <c r="BS13" s="45">
        <f t="shared" si="25"/>
        <v>1.4828169014084507</v>
      </c>
      <c r="BT13" s="35">
        <f t="shared" si="3"/>
        <v>34000</v>
      </c>
      <c r="BU13" s="35">
        <f t="shared" si="3"/>
        <v>39907</v>
      </c>
      <c r="BV13" s="35">
        <f>IF(BU13&gt;0,SUM(BU$7:BU13)-SUM(BT$7:BT13),0)</f>
        <v>-4710</v>
      </c>
      <c r="BW13" s="45">
        <f t="shared" si="21"/>
        <v>1.1737352941176471</v>
      </c>
      <c r="BY13" s="47">
        <f t="shared" si="22"/>
        <v>40823</v>
      </c>
      <c r="BZ13" s="48" t="s">
        <v>28</v>
      </c>
      <c r="CA13" s="75">
        <v>3500</v>
      </c>
      <c r="CB13" s="75">
        <v>4526</v>
      </c>
      <c r="CC13" s="75">
        <f>IF(CB13&gt;0,SUM(CB$7:CB13)-SUM(CA$7:CA13),0)</f>
        <v>-4560</v>
      </c>
      <c r="CD13" s="45">
        <f t="shared" si="23"/>
        <v>1.2931428571428571</v>
      </c>
    </row>
    <row r="14" spans="1:82" x14ac:dyDescent="0.25">
      <c r="A14" s="47">
        <f t="shared" si="4"/>
        <v>40824</v>
      </c>
      <c r="B14" s="54" t="s">
        <v>22</v>
      </c>
      <c r="C14" s="75">
        <v>19000</v>
      </c>
      <c r="D14" s="75">
        <v>36168</v>
      </c>
      <c r="E14" s="75">
        <f>IF(D14&gt;0,SUM(D$7:D14)-SUM(C$7:C14),0)</f>
        <v>10385</v>
      </c>
      <c r="F14" s="45">
        <f t="shared" si="5"/>
        <v>1.903578947368421</v>
      </c>
      <c r="G14" s="80" t="s">
        <v>40</v>
      </c>
      <c r="H14" s="75"/>
      <c r="I14" s="75">
        <f>IF(H14&gt;0,SUM(H$7:H14)-SUM(G$7:G14),0)</f>
        <v>0</v>
      </c>
      <c r="J14" s="45">
        <f t="shared" si="6"/>
        <v>0</v>
      </c>
      <c r="K14" s="75">
        <v>17000</v>
      </c>
      <c r="L14" s="75">
        <v>10792</v>
      </c>
      <c r="M14" s="75">
        <f>IF(L14&gt;0,SUM(L$7:L14)-SUM(K$7:K14),0)</f>
        <v>-20189</v>
      </c>
      <c r="N14" s="45">
        <f t="shared" si="7"/>
        <v>0.63482352941176468</v>
      </c>
      <c r="O14" s="35">
        <f t="shared" si="0"/>
        <v>36000</v>
      </c>
      <c r="P14" s="35">
        <f t="shared" si="0"/>
        <v>46960</v>
      </c>
      <c r="Q14" s="35">
        <f>IF(P14&gt;0,SUM(P$7:P14)-SUM(O$7:O14),0)</f>
        <v>-9804</v>
      </c>
      <c r="R14" s="45">
        <f t="shared" si="8"/>
        <v>1.3044444444444445</v>
      </c>
      <c r="T14" s="47">
        <f t="shared" si="9"/>
        <v>40824</v>
      </c>
      <c r="U14" s="48" t="s">
        <v>22</v>
      </c>
      <c r="V14" s="76">
        <v>17000</v>
      </c>
      <c r="W14" s="76">
        <v>17055</v>
      </c>
      <c r="X14" s="76">
        <f>IF(W14&gt;0,SUM(W$7:W14)-SUM(V$7:V14),0)</f>
        <v>6907</v>
      </c>
      <c r="Y14" s="60">
        <f t="shared" si="10"/>
        <v>1.003235294117647</v>
      </c>
      <c r="Z14" s="80" t="s">
        <v>40</v>
      </c>
      <c r="AA14" s="76"/>
      <c r="AB14" s="76">
        <f>IF(AA14&gt;0,SUM(AA$7:AA14)-SUM(Z$7:Z14),0)</f>
        <v>0</v>
      </c>
      <c r="AC14" s="60">
        <f t="shared" si="11"/>
        <v>0</v>
      </c>
      <c r="AD14" s="76">
        <v>17000</v>
      </c>
      <c r="AE14" s="76">
        <v>16602</v>
      </c>
      <c r="AF14" s="76">
        <f>IF(AE14&gt;0,SUM(AE$7:AE14)-SUM(AD$7:AD14),0)</f>
        <v>-1366</v>
      </c>
      <c r="AG14" s="60">
        <f t="shared" si="12"/>
        <v>0.97658823529411765</v>
      </c>
      <c r="AH14" s="41">
        <f t="shared" si="1"/>
        <v>34000</v>
      </c>
      <c r="AI14" s="41">
        <f t="shared" si="1"/>
        <v>33657</v>
      </c>
      <c r="AJ14" s="41">
        <f>IF(AI14&gt;0,SUM(AI$7:AI14)-SUM(AH$7:AH14),0)</f>
        <v>5541</v>
      </c>
      <c r="AK14" s="60">
        <f t="shared" si="13"/>
        <v>0.98991176470588238</v>
      </c>
      <c r="AM14" s="47">
        <f t="shared" si="14"/>
        <v>40824</v>
      </c>
      <c r="AN14" s="54" t="s">
        <v>22</v>
      </c>
      <c r="AO14" s="75">
        <v>14000</v>
      </c>
      <c r="AP14" s="75">
        <v>17940</v>
      </c>
      <c r="AQ14" s="75">
        <f>IF(AP14&gt;0,SUM(AP$7:AP14)-SUM(AO$7:AO14),0)</f>
        <v>12807</v>
      </c>
      <c r="AR14" s="45">
        <f t="shared" si="15"/>
        <v>1.2814285714285714</v>
      </c>
      <c r="AS14" s="80" t="s">
        <v>40</v>
      </c>
      <c r="AT14" s="75"/>
      <c r="AU14" s="75">
        <f>IF(AT14&gt;0,SUM(AT$7:AT14)-SUM(AS$7:AS14),0)</f>
        <v>0</v>
      </c>
      <c r="AV14" s="45">
        <f t="shared" si="16"/>
        <v>0</v>
      </c>
      <c r="AW14" s="75">
        <v>13000</v>
      </c>
      <c r="AX14" s="37">
        <v>11705</v>
      </c>
      <c r="AY14" s="75">
        <f>IF(AX14&gt;0,SUM(AX$7:AX14)-SUM(AW$7:AW14),0)</f>
        <v>-8608</v>
      </c>
      <c r="AZ14" s="45">
        <f t="shared" si="24"/>
        <v>0.90038461538461534</v>
      </c>
      <c r="BA14" s="35">
        <f t="shared" si="2"/>
        <v>27000</v>
      </c>
      <c r="BB14" s="35">
        <f t="shared" si="2"/>
        <v>29645</v>
      </c>
      <c r="BC14" s="35">
        <f>IF(BB14&gt;0,SUM(BB$7:BB14)-SUM(BA$7:BA14),0)</f>
        <v>4199</v>
      </c>
      <c r="BD14" s="45">
        <f t="shared" si="17"/>
        <v>1.097962962962963</v>
      </c>
      <c r="BF14" s="47">
        <f t="shared" si="18"/>
        <v>40824</v>
      </c>
      <c r="BG14" s="54" t="s">
        <v>22</v>
      </c>
      <c r="BH14" s="75">
        <v>20000</v>
      </c>
      <c r="BI14" s="75">
        <v>20651</v>
      </c>
      <c r="BJ14" s="75">
        <f>IF(BI14&gt;0,SUM(BI$7:BI14)-SUM(BH$7:BH14),0)</f>
        <v>-2188</v>
      </c>
      <c r="BK14" s="45">
        <f t="shared" si="19"/>
        <v>1.0325500000000001</v>
      </c>
      <c r="BL14" s="75">
        <v>6900</v>
      </c>
      <c r="BM14" s="43">
        <v>9622</v>
      </c>
      <c r="BN14" s="75">
        <f>IF(BM14&gt;0,SUM(BM$7:BM14)-SUM(BL$7:BL14),0)</f>
        <v>7540</v>
      </c>
      <c r="BO14" s="45">
        <f t="shared" si="20"/>
        <v>1.3944927536231884</v>
      </c>
      <c r="BP14" s="75">
        <v>7100</v>
      </c>
      <c r="BQ14" s="43">
        <v>7843</v>
      </c>
      <c r="BR14" s="75">
        <f>IF(BQ14&gt;0,SUM(BQ$7:BQ14)-SUM(BP$7:BP14),0)</f>
        <v>-5946</v>
      </c>
      <c r="BS14" s="45">
        <f t="shared" si="25"/>
        <v>1.1046478873239436</v>
      </c>
      <c r="BT14" s="35">
        <f t="shared" si="3"/>
        <v>34000</v>
      </c>
      <c r="BU14" s="35">
        <f t="shared" si="3"/>
        <v>38116</v>
      </c>
      <c r="BV14" s="35">
        <f>IF(BU14&gt;0,SUM(BU$7:BU14)-SUM(BT$7:BT14),0)</f>
        <v>-594</v>
      </c>
      <c r="BW14" s="45">
        <f t="shared" si="21"/>
        <v>1.1210588235294117</v>
      </c>
      <c r="BY14" s="47">
        <f t="shared" si="22"/>
        <v>40824</v>
      </c>
      <c r="BZ14" s="48" t="s">
        <v>22</v>
      </c>
      <c r="CA14" s="75">
        <v>3500</v>
      </c>
      <c r="CB14" s="75">
        <v>10274</v>
      </c>
      <c r="CC14" s="75">
        <f>IF(CB14&gt;0,SUM(CB$7:CB14)-SUM(CA$7:CA14),0)</f>
        <v>2214</v>
      </c>
      <c r="CD14" s="45">
        <f t="shared" si="23"/>
        <v>2.9354285714285715</v>
      </c>
    </row>
    <row r="15" spans="1:82" x14ac:dyDescent="0.25">
      <c r="A15" s="47">
        <f t="shared" si="4"/>
        <v>40825</v>
      </c>
      <c r="B15" s="54" t="s">
        <v>23</v>
      </c>
      <c r="C15" s="75">
        <v>19000</v>
      </c>
      <c r="D15" s="75">
        <v>17935</v>
      </c>
      <c r="E15" s="75">
        <f>IF(D15&gt;0,SUM(D$7:D15)-SUM(C$7:C15),0)</f>
        <v>9320</v>
      </c>
      <c r="F15" s="45">
        <f t="shared" si="5"/>
        <v>0.94394736842105265</v>
      </c>
      <c r="G15" s="80" t="s">
        <v>40</v>
      </c>
      <c r="H15" s="75"/>
      <c r="I15" s="75">
        <f>IF(H15&gt;0,SUM(H$7:H15)-SUM(G$7:G15),0)</f>
        <v>0</v>
      </c>
      <c r="J15" s="45">
        <f t="shared" si="6"/>
        <v>0</v>
      </c>
      <c r="K15" s="75">
        <v>17000</v>
      </c>
      <c r="L15" s="75">
        <v>9861</v>
      </c>
      <c r="M15" s="75">
        <f>IF(L15&gt;0,SUM(L$7:L15)-SUM(K$7:K15),0)</f>
        <v>-27328</v>
      </c>
      <c r="N15" s="45">
        <f t="shared" si="7"/>
        <v>0.58005882352941174</v>
      </c>
      <c r="O15" s="35">
        <f t="shared" si="0"/>
        <v>36000</v>
      </c>
      <c r="P15" s="35">
        <f t="shared" si="0"/>
        <v>27796</v>
      </c>
      <c r="Q15" s="35">
        <f>IF(P15&gt;0,SUM(P$7:P15)-SUM(O$7:O15),0)</f>
        <v>-18008</v>
      </c>
      <c r="R15" s="45">
        <f t="shared" si="8"/>
        <v>0.77211111111111108</v>
      </c>
      <c r="T15" s="47">
        <f t="shared" si="9"/>
        <v>40825</v>
      </c>
      <c r="U15" s="48" t="s">
        <v>23</v>
      </c>
      <c r="V15" s="76">
        <v>17000</v>
      </c>
      <c r="W15" s="76">
        <v>18143</v>
      </c>
      <c r="X15" s="76">
        <f>IF(W15&gt;0,SUM(W$7:W15)-SUM(V$7:V15),0)</f>
        <v>8050</v>
      </c>
      <c r="Y15" s="60">
        <f t="shared" si="10"/>
        <v>1.0672352941176471</v>
      </c>
      <c r="Z15" s="80" t="s">
        <v>40</v>
      </c>
      <c r="AA15" s="76"/>
      <c r="AB15" s="76">
        <f>IF(AA15&gt;0,SUM(AA$7:AA15)-SUM(Z$7:Z15),0)</f>
        <v>0</v>
      </c>
      <c r="AC15" s="60">
        <f t="shared" si="11"/>
        <v>0</v>
      </c>
      <c r="AD15" s="76">
        <v>17000</v>
      </c>
      <c r="AE15" s="76">
        <v>14384</v>
      </c>
      <c r="AF15" s="76">
        <f>IF(AE15&gt;0,SUM(AE$7:AE15)-SUM(AD$7:AD15),0)</f>
        <v>-3982</v>
      </c>
      <c r="AG15" s="60">
        <f t="shared" si="12"/>
        <v>0.84611764705882353</v>
      </c>
      <c r="AH15" s="41">
        <f t="shared" si="1"/>
        <v>34000</v>
      </c>
      <c r="AI15" s="41">
        <f t="shared" si="1"/>
        <v>32527</v>
      </c>
      <c r="AJ15" s="41">
        <f>IF(AI15&gt;0,SUM(AI$7:AI15)-SUM(AH$7:AH15),0)</f>
        <v>4068</v>
      </c>
      <c r="AK15" s="60">
        <f t="shared" si="13"/>
        <v>0.95667647058823524</v>
      </c>
      <c r="AM15" s="47">
        <f t="shared" si="14"/>
        <v>40825</v>
      </c>
      <c r="AN15" s="54" t="s">
        <v>23</v>
      </c>
      <c r="AO15" s="75">
        <v>14000</v>
      </c>
      <c r="AP15" s="75">
        <v>17143</v>
      </c>
      <c r="AQ15" s="75">
        <f>IF(AP15&gt;0,SUM(AP$7:AP15)-SUM(AO$7:AO15),0)</f>
        <v>15950</v>
      </c>
      <c r="AR15" s="45">
        <f t="shared" si="15"/>
        <v>1.2244999999999999</v>
      </c>
      <c r="AS15" s="80" t="s">
        <v>40</v>
      </c>
      <c r="AT15" s="36"/>
      <c r="AU15" s="75">
        <f>IF(AT15&gt;0,SUM(AT$7:AT15)-SUM(AS$7:AS15),0)</f>
        <v>0</v>
      </c>
      <c r="AV15" s="45">
        <f t="shared" si="16"/>
        <v>0</v>
      </c>
      <c r="AW15" s="75">
        <v>13000</v>
      </c>
      <c r="AX15" s="36">
        <v>13275</v>
      </c>
      <c r="AY15" s="75">
        <f>IF(AX15&gt;0,SUM(AX$7:AX15)-SUM(AW$7:AW15),0)</f>
        <v>-8333</v>
      </c>
      <c r="AZ15" s="45">
        <f t="shared" si="24"/>
        <v>1.0211538461538461</v>
      </c>
      <c r="BA15" s="35">
        <f t="shared" si="2"/>
        <v>27000</v>
      </c>
      <c r="BB15" s="35">
        <f t="shared" si="2"/>
        <v>30418</v>
      </c>
      <c r="BC15" s="35">
        <f>IF(BB15&gt;0,SUM(BB$7:BB15)-SUM(BA$7:BA15),0)</f>
        <v>7617</v>
      </c>
      <c r="BD15" s="45">
        <f t="shared" si="17"/>
        <v>1.1265925925925926</v>
      </c>
      <c r="BF15" s="47">
        <f t="shared" si="18"/>
        <v>40825</v>
      </c>
      <c r="BG15" s="54" t="s">
        <v>23</v>
      </c>
      <c r="BH15" s="75">
        <v>20000</v>
      </c>
      <c r="BI15" s="75">
        <v>24203</v>
      </c>
      <c r="BJ15" s="75">
        <f>IF(BI15&gt;0,SUM(BI$7:BI15)-SUM(BH$7:BH15),0)</f>
        <v>2015</v>
      </c>
      <c r="BK15" s="45">
        <f t="shared" si="19"/>
        <v>1.2101500000000001</v>
      </c>
      <c r="BL15" s="75">
        <v>6900</v>
      </c>
      <c r="BM15" s="42">
        <v>6219</v>
      </c>
      <c r="BN15" s="75">
        <f>IF(BM15&gt;0,SUM(BM$7:BM15)-SUM(BL$7:BL15),0)</f>
        <v>6859</v>
      </c>
      <c r="BO15" s="45">
        <f t="shared" si="20"/>
        <v>0.90130434782608693</v>
      </c>
      <c r="BP15" s="75">
        <v>7100</v>
      </c>
      <c r="BQ15" s="42">
        <v>8268</v>
      </c>
      <c r="BR15" s="75">
        <f>IF(BQ15&gt;0,SUM(BQ$7:BQ15)-SUM(BP$7:BP15),0)</f>
        <v>-4778</v>
      </c>
      <c r="BS15" s="45">
        <f t="shared" si="25"/>
        <v>1.1645070422535211</v>
      </c>
      <c r="BT15" s="35">
        <f t="shared" si="3"/>
        <v>34000</v>
      </c>
      <c r="BU15" s="35">
        <f t="shared" si="3"/>
        <v>38690</v>
      </c>
      <c r="BV15" s="35">
        <f>IF(BU15&gt;0,SUM(BU$7:BU15)-SUM(BT$7:BT15),0)</f>
        <v>4096</v>
      </c>
      <c r="BW15" s="45">
        <f t="shared" si="21"/>
        <v>1.1379411764705882</v>
      </c>
      <c r="BY15" s="47">
        <f t="shared" si="22"/>
        <v>40825</v>
      </c>
      <c r="BZ15" s="48" t="s">
        <v>23</v>
      </c>
      <c r="CA15" s="75">
        <v>3500</v>
      </c>
      <c r="CB15" s="75">
        <v>1</v>
      </c>
      <c r="CC15" s="75">
        <f>IF(CB15&gt;0,SUM(CB$7:CB15)-SUM(CA$7:CA15),0)</f>
        <v>-1285</v>
      </c>
      <c r="CD15" s="45">
        <f t="shared" si="23"/>
        <v>2.8571428571428574E-4</v>
      </c>
    </row>
    <row r="16" spans="1:82" x14ac:dyDescent="0.25">
      <c r="A16" s="47">
        <f t="shared" si="4"/>
        <v>40826</v>
      </c>
      <c r="B16" s="54" t="s">
        <v>24</v>
      </c>
      <c r="C16" s="75">
        <v>19000</v>
      </c>
      <c r="D16" s="75">
        <v>20581</v>
      </c>
      <c r="E16" s="75">
        <f>IF(D16&gt;0,SUM(D$7:D16)-SUM(C$7:C16),0)</f>
        <v>10901</v>
      </c>
      <c r="F16" s="45">
        <f t="shared" si="5"/>
        <v>1.0832105263157894</v>
      </c>
      <c r="G16" s="80" t="s">
        <v>40</v>
      </c>
      <c r="H16" s="75"/>
      <c r="I16" s="75">
        <f>IF(H16&gt;0,SUM(H$7:H16)-SUM(G$7:G16),0)</f>
        <v>0</v>
      </c>
      <c r="J16" s="45">
        <f t="shared" si="6"/>
        <v>0</v>
      </c>
      <c r="K16" s="75">
        <v>17000</v>
      </c>
      <c r="L16" s="75">
        <v>14402</v>
      </c>
      <c r="M16" s="75">
        <f>IF(L16&gt;0,SUM(L$7:L16)-SUM(K$7:K16),0)</f>
        <v>-29926</v>
      </c>
      <c r="N16" s="45">
        <f t="shared" si="7"/>
        <v>0.84717647058823531</v>
      </c>
      <c r="O16" s="35">
        <f t="shared" si="0"/>
        <v>36000</v>
      </c>
      <c r="P16" s="35">
        <f t="shared" si="0"/>
        <v>34983</v>
      </c>
      <c r="Q16" s="35">
        <f>IF(P16&gt;0,SUM(P$7:P16)-SUM(O$7:O16),0)</f>
        <v>-19025</v>
      </c>
      <c r="R16" s="45">
        <f t="shared" si="8"/>
        <v>0.97175</v>
      </c>
      <c r="T16" s="47">
        <f t="shared" si="9"/>
        <v>40826</v>
      </c>
      <c r="U16" s="48" t="s">
        <v>24</v>
      </c>
      <c r="V16" s="76">
        <v>17000</v>
      </c>
      <c r="W16" s="76">
        <v>12490</v>
      </c>
      <c r="X16" s="76">
        <f>IF(W16&gt;0,SUM(W$7:W16)-SUM(V$7:V16),0)</f>
        <v>3540</v>
      </c>
      <c r="Y16" s="60">
        <f t="shared" si="10"/>
        <v>0.73470588235294121</v>
      </c>
      <c r="Z16" s="80" t="s">
        <v>40</v>
      </c>
      <c r="AA16" s="76"/>
      <c r="AB16" s="76">
        <f>IF(AA16&gt;0,SUM(AA$7:AA16)-SUM(Z$7:Z16),0)</f>
        <v>0</v>
      </c>
      <c r="AC16" s="60">
        <f t="shared" si="11"/>
        <v>0</v>
      </c>
      <c r="AD16" s="76">
        <v>17000</v>
      </c>
      <c r="AE16" s="76">
        <v>12475</v>
      </c>
      <c r="AF16" s="76">
        <f>IF(AE16&gt;0,SUM(AE$7:AE16)-SUM(AD$7:AD16),0)</f>
        <v>-8507</v>
      </c>
      <c r="AG16" s="60">
        <f t="shared" si="12"/>
        <v>0.73382352941176465</v>
      </c>
      <c r="AH16" s="41">
        <f t="shared" si="1"/>
        <v>34000</v>
      </c>
      <c r="AI16" s="41">
        <f t="shared" si="1"/>
        <v>24965</v>
      </c>
      <c r="AJ16" s="41">
        <f>IF(AI16&gt;0,SUM(AI$7:AI16)-SUM(AH$7:AH16),0)</f>
        <v>-4967</v>
      </c>
      <c r="AK16" s="60">
        <f t="shared" si="13"/>
        <v>0.73426470588235293</v>
      </c>
      <c r="AM16" s="47">
        <f t="shared" si="14"/>
        <v>40826</v>
      </c>
      <c r="AN16" s="54" t="s">
        <v>24</v>
      </c>
      <c r="AO16" s="75">
        <v>14000</v>
      </c>
      <c r="AP16" s="75">
        <v>10820</v>
      </c>
      <c r="AQ16" s="75">
        <f>IF(AP16&gt;0,SUM(AP$7:AP16)-SUM(AO$7:AO16),0)</f>
        <v>12770</v>
      </c>
      <c r="AR16" s="45">
        <f t="shared" si="15"/>
        <v>0.77285714285714291</v>
      </c>
      <c r="AS16" s="80" t="s">
        <v>40</v>
      </c>
      <c r="AT16" s="75"/>
      <c r="AU16" s="75">
        <f>IF(AT16&gt;0,SUM(AT$7:AT16)-SUM(AS$7:AS16),0)</f>
        <v>0</v>
      </c>
      <c r="AV16" s="45">
        <f t="shared" si="16"/>
        <v>0</v>
      </c>
      <c r="AW16" s="75">
        <v>13000</v>
      </c>
      <c r="AX16" s="75">
        <v>11761</v>
      </c>
      <c r="AY16" s="75">
        <f>IF(AX16&gt;0,SUM(AX$7:AX16)-SUM(AW$7:AW16),0)</f>
        <v>-9572</v>
      </c>
      <c r="AZ16" s="45">
        <f t="shared" si="24"/>
        <v>0.90469230769230768</v>
      </c>
      <c r="BA16" s="35">
        <f t="shared" si="2"/>
        <v>27000</v>
      </c>
      <c r="BB16" s="35">
        <f t="shared" si="2"/>
        <v>22581</v>
      </c>
      <c r="BC16" s="35">
        <f>IF(BB16&gt;0,SUM(BB$7:BB16)-SUM(BA$7:BA16),0)</f>
        <v>3198</v>
      </c>
      <c r="BD16" s="45">
        <f t="shared" si="17"/>
        <v>0.83633333333333337</v>
      </c>
      <c r="BF16" s="47">
        <f t="shared" si="18"/>
        <v>40826</v>
      </c>
      <c r="BG16" s="54" t="s">
        <v>24</v>
      </c>
      <c r="BH16" s="75">
        <v>20000</v>
      </c>
      <c r="BI16" s="75">
        <v>19446</v>
      </c>
      <c r="BJ16" s="75">
        <f>IF(BI16&gt;0,SUM(BI$7:BI16)-SUM(BH$7:BH16),0)</f>
        <v>1461</v>
      </c>
      <c r="BK16" s="45">
        <f t="shared" si="19"/>
        <v>0.97230000000000005</v>
      </c>
      <c r="BL16" s="75">
        <v>6900</v>
      </c>
      <c r="BM16" s="75">
        <v>3139</v>
      </c>
      <c r="BN16" s="75">
        <f>IF(BM16&gt;0,SUM(BM$7:BM16)-SUM(BL$7:BL16),0)</f>
        <v>3098</v>
      </c>
      <c r="BO16" s="45">
        <f t="shared" si="20"/>
        <v>0.45492753623188403</v>
      </c>
      <c r="BP16" s="75">
        <v>7100</v>
      </c>
      <c r="BQ16" s="75">
        <v>6160</v>
      </c>
      <c r="BR16" s="75">
        <f>IF(BQ16&gt;0,SUM(BQ$7:BQ16)-SUM(BP$7:BP16),0)</f>
        <v>-5718</v>
      </c>
      <c r="BS16" s="45">
        <f t="shared" si="25"/>
        <v>0.86760563380281686</v>
      </c>
      <c r="BT16" s="35">
        <f t="shared" si="3"/>
        <v>34000</v>
      </c>
      <c r="BU16" s="35">
        <f t="shared" si="3"/>
        <v>28745</v>
      </c>
      <c r="BV16" s="35">
        <f>IF(BU16&gt;0,SUM(BU$7:BU16)-SUM(BT$7:BT16),0)</f>
        <v>-1159</v>
      </c>
      <c r="BW16" s="45">
        <f t="shared" si="21"/>
        <v>0.84544117647058825</v>
      </c>
      <c r="BY16" s="47">
        <f t="shared" si="22"/>
        <v>40826</v>
      </c>
      <c r="BZ16" s="48" t="s">
        <v>24</v>
      </c>
      <c r="CA16" s="75">
        <v>3500</v>
      </c>
      <c r="CB16" s="75">
        <v>14069</v>
      </c>
      <c r="CC16" s="75">
        <f>IF(CB16&gt;0,SUM(CB$7:CB16)-SUM(CA$7:CA16),0)</f>
        <v>9284</v>
      </c>
      <c r="CD16" s="45">
        <f t="shared" si="23"/>
        <v>4.0197142857142856</v>
      </c>
    </row>
    <row r="17" spans="1:82" x14ac:dyDescent="0.25">
      <c r="A17" s="47">
        <f t="shared" si="4"/>
        <v>40827</v>
      </c>
      <c r="B17" s="54" t="s">
        <v>25</v>
      </c>
      <c r="C17" s="75"/>
      <c r="D17" s="75">
        <v>11672</v>
      </c>
      <c r="E17" s="75">
        <f>IF(D17&gt;0,SUM(D$7:D17)-SUM(C$7:C17),0)</f>
        <v>22573</v>
      </c>
      <c r="F17" s="45">
        <f t="shared" si="5"/>
        <v>0</v>
      </c>
      <c r="G17" s="80" t="s">
        <v>40</v>
      </c>
      <c r="H17" s="75"/>
      <c r="I17" s="75">
        <f>IF(H17&gt;0,SUM(H$7:H17)-SUM(G$7:G17),0)</f>
        <v>0</v>
      </c>
      <c r="J17" s="45">
        <f t="shared" si="6"/>
        <v>0</v>
      </c>
      <c r="K17" s="75"/>
      <c r="L17" s="75"/>
      <c r="M17" s="75">
        <f>IF(L17&gt;0,SUM(L$7:L17)-SUM(K$7:K17),0)</f>
        <v>0</v>
      </c>
      <c r="N17" s="45">
        <f t="shared" si="7"/>
        <v>0</v>
      </c>
      <c r="O17" s="35">
        <f t="shared" si="0"/>
        <v>0</v>
      </c>
      <c r="P17" s="35">
        <f t="shared" si="0"/>
        <v>11672</v>
      </c>
      <c r="Q17" s="35">
        <f>IF(P17&gt;0,SUM(P$7:P17)-SUM(O$7:O17),0)</f>
        <v>-7353</v>
      </c>
      <c r="R17" s="45">
        <f t="shared" si="8"/>
        <v>0</v>
      </c>
      <c r="T17" s="47">
        <f t="shared" si="9"/>
        <v>40827</v>
      </c>
      <c r="U17" s="48" t="s">
        <v>25</v>
      </c>
      <c r="V17" s="76"/>
      <c r="W17" s="76"/>
      <c r="X17" s="76">
        <f>IF(W17&gt;0,SUM(W$7:W17)-SUM(V$7:V17),0)</f>
        <v>0</v>
      </c>
      <c r="Y17" s="60">
        <f t="shared" si="10"/>
        <v>0</v>
      </c>
      <c r="Z17" s="80" t="s">
        <v>40</v>
      </c>
      <c r="AA17" s="76"/>
      <c r="AB17" s="76">
        <f>IF(AA17&gt;0,SUM(AA$7:AA17)-SUM(Z$7:Z17),0)</f>
        <v>0</v>
      </c>
      <c r="AC17" s="60">
        <f t="shared" si="11"/>
        <v>0</v>
      </c>
      <c r="AD17" s="76"/>
      <c r="AE17" s="76"/>
      <c r="AF17" s="76">
        <f>IF(AE17&gt;0,SUM(AE$7:AE17)-SUM(AD$7:AD17),0)</f>
        <v>0</v>
      </c>
      <c r="AG17" s="60">
        <f t="shared" si="12"/>
        <v>0</v>
      </c>
      <c r="AH17" s="41">
        <f t="shared" si="1"/>
        <v>0</v>
      </c>
      <c r="AI17" s="41">
        <f t="shared" si="1"/>
        <v>0</v>
      </c>
      <c r="AJ17" s="41">
        <f>IF(AI17&gt;0,SUM(AI$7:AI17)-SUM(AH$7:AH17),0)</f>
        <v>0</v>
      </c>
      <c r="AK17" s="60">
        <f t="shared" si="13"/>
        <v>0</v>
      </c>
      <c r="AM17" s="47">
        <f t="shared" si="14"/>
        <v>40827</v>
      </c>
      <c r="AN17" s="54" t="s">
        <v>25</v>
      </c>
      <c r="AO17" s="75"/>
      <c r="AP17" s="75"/>
      <c r="AQ17" s="75">
        <f>IF(AP17&gt;0,SUM(AP$7:AP17)-SUM(AO$7:AO17),0)</f>
        <v>0</v>
      </c>
      <c r="AR17" s="45">
        <f t="shared" si="15"/>
        <v>0</v>
      </c>
      <c r="AS17" s="80" t="s">
        <v>40</v>
      </c>
      <c r="AT17" s="75"/>
      <c r="AU17" s="75">
        <f>IF(AT17&gt;0,SUM(AT$7:AT17)-SUM(AS$7:AS17),0)</f>
        <v>0</v>
      </c>
      <c r="AV17" s="45">
        <f t="shared" si="16"/>
        <v>0</v>
      </c>
      <c r="AW17" s="75"/>
      <c r="AX17" s="75"/>
      <c r="AY17" s="75">
        <f>IF(AX17&gt;0,SUM(AX$7:AX17)-SUM(AW$7:AW17),0)</f>
        <v>0</v>
      </c>
      <c r="AZ17" s="45">
        <f t="shared" si="24"/>
        <v>0</v>
      </c>
      <c r="BA17" s="35">
        <f t="shared" si="2"/>
        <v>0</v>
      </c>
      <c r="BB17" s="35">
        <f t="shared" si="2"/>
        <v>0</v>
      </c>
      <c r="BC17" s="35">
        <f>IF(BB17&gt;0,SUM(BB$7:BB17)-SUM(BA$7:BA17),0)</f>
        <v>0</v>
      </c>
      <c r="BD17" s="45">
        <f t="shared" si="17"/>
        <v>0</v>
      </c>
      <c r="BF17" s="47">
        <f t="shared" si="18"/>
        <v>40827</v>
      </c>
      <c r="BG17" s="54" t="s">
        <v>25</v>
      </c>
      <c r="BH17" s="75"/>
      <c r="BI17" s="75"/>
      <c r="BJ17" s="75">
        <f>IF(BI17&gt;0,SUM(BI$7:BI17)-SUM(BH$7:BH17),0)</f>
        <v>0</v>
      </c>
      <c r="BK17" s="45">
        <f t="shared" si="19"/>
        <v>0</v>
      </c>
      <c r="BL17" s="75"/>
      <c r="BM17" s="75"/>
      <c r="BN17" s="75">
        <f>IF(BM17&gt;0,SUM(BM$7:BM17)-SUM(BL$7:BL17),0)</f>
        <v>0</v>
      </c>
      <c r="BO17" s="45">
        <f t="shared" si="20"/>
        <v>0</v>
      </c>
      <c r="BP17" s="75"/>
      <c r="BQ17" s="75"/>
      <c r="BR17" s="75">
        <f>IF(BQ17&gt;0,SUM(BQ$7:BQ17)-SUM(BP$7:BP17),0)</f>
        <v>0</v>
      </c>
      <c r="BS17" s="45">
        <f t="shared" si="25"/>
        <v>0</v>
      </c>
      <c r="BT17" s="35">
        <f t="shared" si="3"/>
        <v>0</v>
      </c>
      <c r="BU17" s="35">
        <f t="shared" si="3"/>
        <v>0</v>
      </c>
      <c r="BV17" s="35">
        <f>IF(BU17&gt;0,SUM(BU$7:BU17)-SUM(BT$7:BT17),0)</f>
        <v>0</v>
      </c>
      <c r="BW17" s="45">
        <f t="shared" si="21"/>
        <v>0</v>
      </c>
      <c r="BY17" s="47">
        <f t="shared" si="22"/>
        <v>40827</v>
      </c>
      <c r="BZ17" s="48" t="s">
        <v>25</v>
      </c>
      <c r="CA17" s="75"/>
      <c r="CB17" s="75"/>
      <c r="CC17" s="75">
        <f>IF(CB17&gt;0,SUM(CB$7:CB17)-SUM(CA$7:CA17),0)</f>
        <v>0</v>
      </c>
      <c r="CD17" s="45">
        <f t="shared" si="23"/>
        <v>0</v>
      </c>
    </row>
    <row r="18" spans="1:82" x14ac:dyDescent="0.25">
      <c r="A18" s="47">
        <f t="shared" si="4"/>
        <v>40828</v>
      </c>
      <c r="B18" s="54" t="s">
        <v>26</v>
      </c>
      <c r="C18" s="75"/>
      <c r="D18" s="75">
        <v>6512</v>
      </c>
      <c r="E18" s="75">
        <f>IF(D18&gt;0,SUM(D$7:D18)-SUM(C$7:C18),0)</f>
        <v>29085</v>
      </c>
      <c r="F18" s="45">
        <f t="shared" si="5"/>
        <v>0</v>
      </c>
      <c r="G18" s="80" t="s">
        <v>40</v>
      </c>
      <c r="H18" s="75"/>
      <c r="I18" s="75">
        <f>IF(H18&gt;0,SUM(H$7:H18)-SUM(G$7:G18),0)</f>
        <v>0</v>
      </c>
      <c r="J18" s="45">
        <f t="shared" si="6"/>
        <v>0</v>
      </c>
      <c r="K18" s="75"/>
      <c r="L18" s="75"/>
      <c r="M18" s="75">
        <f>IF(L18&gt;0,SUM(L$7:L18)-SUM(K$7:K18),0)</f>
        <v>0</v>
      </c>
      <c r="N18" s="45">
        <f t="shared" si="7"/>
        <v>0</v>
      </c>
      <c r="O18" s="35">
        <f t="shared" si="0"/>
        <v>0</v>
      </c>
      <c r="P18" s="35">
        <f t="shared" si="0"/>
        <v>6512</v>
      </c>
      <c r="Q18" s="35">
        <f>IF(P18&gt;0,SUM(P$7:P18)-SUM(O$7:O18),0)</f>
        <v>-841</v>
      </c>
      <c r="R18" s="45">
        <f t="shared" si="8"/>
        <v>0</v>
      </c>
      <c r="T18" s="47">
        <f t="shared" si="9"/>
        <v>40828</v>
      </c>
      <c r="U18" s="48" t="s">
        <v>26</v>
      </c>
      <c r="V18" s="76"/>
      <c r="W18" s="76"/>
      <c r="X18" s="76">
        <f>IF(W18&gt;0,SUM(W$7:W18)-SUM(V$7:V18),0)</f>
        <v>0</v>
      </c>
      <c r="Y18" s="60">
        <f t="shared" si="10"/>
        <v>0</v>
      </c>
      <c r="Z18" s="80" t="s">
        <v>40</v>
      </c>
      <c r="AA18" s="76"/>
      <c r="AB18" s="76">
        <f>IF(AA18&gt;0,SUM(AA$7:AA18)-SUM(Z$7:Z18),0)</f>
        <v>0</v>
      </c>
      <c r="AC18" s="60">
        <f t="shared" si="11"/>
        <v>0</v>
      </c>
      <c r="AD18" s="76"/>
      <c r="AE18" s="76"/>
      <c r="AF18" s="76">
        <f>IF(AE18&gt;0,SUM(AE$7:AE18)-SUM(AD$7:AD18),0)</f>
        <v>0</v>
      </c>
      <c r="AG18" s="60">
        <f t="shared" si="12"/>
        <v>0</v>
      </c>
      <c r="AH18" s="41">
        <f t="shared" si="1"/>
        <v>0</v>
      </c>
      <c r="AI18" s="41">
        <f t="shared" si="1"/>
        <v>0</v>
      </c>
      <c r="AJ18" s="41">
        <f>IF(AI18&gt;0,SUM(AI$7:AI18)-SUM(AH$7:AH18),0)</f>
        <v>0</v>
      </c>
      <c r="AK18" s="60">
        <f t="shared" si="13"/>
        <v>0</v>
      </c>
      <c r="AM18" s="47">
        <f t="shared" si="14"/>
        <v>40828</v>
      </c>
      <c r="AN18" s="54" t="s">
        <v>26</v>
      </c>
      <c r="AO18" s="75"/>
      <c r="AP18" s="75"/>
      <c r="AQ18" s="75">
        <f>IF(AP18&gt;0,SUM(AP$7:AP18)-SUM(AO$7:AO18),0)</f>
        <v>0</v>
      </c>
      <c r="AR18" s="45">
        <f t="shared" si="15"/>
        <v>0</v>
      </c>
      <c r="AS18" s="80" t="s">
        <v>40</v>
      </c>
      <c r="AT18" s="75"/>
      <c r="AU18" s="75">
        <f>IF(AT18&gt;0,SUM(AT$7:AT18)-SUM(AS$7:AS18),0)</f>
        <v>0</v>
      </c>
      <c r="AV18" s="45">
        <f t="shared" si="16"/>
        <v>0</v>
      </c>
      <c r="AW18" s="75"/>
      <c r="AX18" s="75"/>
      <c r="AY18" s="75">
        <f>IF(AX18&gt;0,SUM(AX$7:AX18)-SUM(AW$7:AW18),0)</f>
        <v>0</v>
      </c>
      <c r="AZ18" s="45">
        <f t="shared" si="24"/>
        <v>0</v>
      </c>
      <c r="BA18" s="35">
        <f t="shared" si="2"/>
        <v>0</v>
      </c>
      <c r="BB18" s="35">
        <f t="shared" si="2"/>
        <v>0</v>
      </c>
      <c r="BC18" s="35">
        <f>IF(BB18&gt;0,SUM(BB$7:BB18)-SUM(BA$7:BA18),0)</f>
        <v>0</v>
      </c>
      <c r="BD18" s="45">
        <f t="shared" si="17"/>
        <v>0</v>
      </c>
      <c r="BF18" s="47">
        <f t="shared" si="18"/>
        <v>40828</v>
      </c>
      <c r="BG18" s="54" t="s">
        <v>26</v>
      </c>
      <c r="BH18" s="75"/>
      <c r="BI18" s="75"/>
      <c r="BJ18" s="75">
        <f>IF(BI18&gt;0,SUM(BI$7:BI18)-SUM(BH$7:BH18),0)</f>
        <v>0</v>
      </c>
      <c r="BK18" s="45">
        <f t="shared" si="19"/>
        <v>0</v>
      </c>
      <c r="BL18" s="75"/>
      <c r="BM18" s="75"/>
      <c r="BN18" s="75">
        <f>IF(BM18&gt;0,SUM(BM$7:BM18)-SUM(BL$7:BL18),0)</f>
        <v>0</v>
      </c>
      <c r="BO18" s="45">
        <f t="shared" si="20"/>
        <v>0</v>
      </c>
      <c r="BP18" s="75"/>
      <c r="BQ18" s="75"/>
      <c r="BR18" s="75">
        <f>IF(BQ18&gt;0,SUM(BQ$7:BQ18)-SUM(BP$7:BP18),0)</f>
        <v>0</v>
      </c>
      <c r="BS18" s="45">
        <f t="shared" si="25"/>
        <v>0</v>
      </c>
      <c r="BT18" s="35">
        <f t="shared" si="3"/>
        <v>0</v>
      </c>
      <c r="BU18" s="35">
        <f t="shared" si="3"/>
        <v>0</v>
      </c>
      <c r="BV18" s="35">
        <f>IF(BU18&gt;0,SUM(BU$7:BU18)-SUM(BT$7:BT18),0)</f>
        <v>0</v>
      </c>
      <c r="BW18" s="45">
        <f t="shared" si="21"/>
        <v>0</v>
      </c>
      <c r="BY18" s="47">
        <f t="shared" si="22"/>
        <v>40828</v>
      </c>
      <c r="BZ18" s="48" t="s">
        <v>26</v>
      </c>
      <c r="CA18" s="75"/>
      <c r="CB18" s="75"/>
      <c r="CC18" s="75">
        <f>IF(CB18&gt;0,SUM(CB$7:CB18)-SUM(CA$7:CA18),0)</f>
        <v>0</v>
      </c>
      <c r="CD18" s="45">
        <f t="shared" si="23"/>
        <v>0</v>
      </c>
    </row>
    <row r="19" spans="1:82" x14ac:dyDescent="0.25">
      <c r="A19" s="47">
        <f t="shared" si="4"/>
        <v>40829</v>
      </c>
      <c r="B19" s="54" t="s">
        <v>27</v>
      </c>
      <c r="C19" s="75">
        <v>19000</v>
      </c>
      <c r="D19" s="75">
        <v>15114</v>
      </c>
      <c r="E19" s="75">
        <f>IF(D19&gt;0,SUM(D$7:D19)-SUM(C$7:C19),0)</f>
        <v>25199</v>
      </c>
      <c r="F19" s="45">
        <f t="shared" si="5"/>
        <v>0.79547368421052633</v>
      </c>
      <c r="G19" s="80" t="s">
        <v>40</v>
      </c>
      <c r="H19" s="75"/>
      <c r="I19" s="75">
        <f>IF(H19&gt;0,SUM(H$7:H19)-SUM(G$7:G19),0)</f>
        <v>0</v>
      </c>
      <c r="J19" s="45">
        <f t="shared" si="6"/>
        <v>0</v>
      </c>
      <c r="K19" s="75">
        <v>17000</v>
      </c>
      <c r="L19" s="75">
        <v>9469</v>
      </c>
      <c r="M19" s="75">
        <f>IF(L19&gt;0,SUM(L$7:L19)-SUM(K$7:K19),0)</f>
        <v>-37457</v>
      </c>
      <c r="N19" s="45">
        <f t="shared" si="7"/>
        <v>0.55700000000000005</v>
      </c>
      <c r="O19" s="35">
        <f t="shared" si="0"/>
        <v>36000</v>
      </c>
      <c r="P19" s="35">
        <f t="shared" si="0"/>
        <v>24583</v>
      </c>
      <c r="Q19" s="35">
        <f>IF(P19&gt;0,SUM(P$7:P19)-SUM(O$7:O19),0)</f>
        <v>-12258</v>
      </c>
      <c r="R19" s="45">
        <f t="shared" si="8"/>
        <v>0.68286111111111114</v>
      </c>
      <c r="T19" s="47">
        <f t="shared" si="9"/>
        <v>40829</v>
      </c>
      <c r="U19" s="48" t="s">
        <v>27</v>
      </c>
      <c r="V19" s="76">
        <v>17000</v>
      </c>
      <c r="W19" s="76">
        <v>14297</v>
      </c>
      <c r="X19" s="76">
        <f>IF(W19&gt;0,SUM(W$7:W19)-SUM(V$7:V19),0)</f>
        <v>837</v>
      </c>
      <c r="Y19" s="60">
        <f t="shared" si="10"/>
        <v>0.84099999999999997</v>
      </c>
      <c r="Z19" s="80" t="s">
        <v>40</v>
      </c>
      <c r="AA19" s="76"/>
      <c r="AB19" s="76">
        <f>IF(AA19&gt;0,SUM(AA$7:AA19)-SUM(Z$7:Z19),0)</f>
        <v>0</v>
      </c>
      <c r="AC19" s="60">
        <f t="shared" si="11"/>
        <v>0</v>
      </c>
      <c r="AD19" s="76">
        <v>17000</v>
      </c>
      <c r="AE19" s="76">
        <v>14443</v>
      </c>
      <c r="AF19" s="76">
        <f>IF(AE19&gt;0,SUM(AE$7:AE19)-SUM(AD$7:AD19),0)</f>
        <v>-11064</v>
      </c>
      <c r="AG19" s="60">
        <f t="shared" si="12"/>
        <v>0.84958823529411764</v>
      </c>
      <c r="AH19" s="41">
        <f t="shared" si="1"/>
        <v>34000</v>
      </c>
      <c r="AI19" s="41">
        <f t="shared" si="1"/>
        <v>28740</v>
      </c>
      <c r="AJ19" s="41">
        <f>IF(AI19&gt;0,SUM(AI$7:AI19)-SUM(AH$7:AH19),0)</f>
        <v>-10227</v>
      </c>
      <c r="AK19" s="60">
        <f t="shared" si="13"/>
        <v>0.84529411764705886</v>
      </c>
      <c r="AM19" s="47">
        <f t="shared" si="14"/>
        <v>40829</v>
      </c>
      <c r="AN19" s="54" t="s">
        <v>27</v>
      </c>
      <c r="AO19" s="75">
        <v>14000</v>
      </c>
      <c r="AP19" s="75">
        <v>13889</v>
      </c>
      <c r="AQ19" s="75">
        <f>IF(AP19&gt;0,SUM(AP$7:AP19)-SUM(AO$7:AO19),0)</f>
        <v>12659</v>
      </c>
      <c r="AR19" s="45">
        <f t="shared" si="15"/>
        <v>0.9920714285714286</v>
      </c>
      <c r="AS19" s="80" t="s">
        <v>40</v>
      </c>
      <c r="AT19" s="75"/>
      <c r="AU19" s="75">
        <f>IF(AT19&gt;0,SUM(AT$7:AT19)-SUM(AS$7:AS19),0)</f>
        <v>0</v>
      </c>
      <c r="AV19" s="45">
        <f t="shared" si="16"/>
        <v>0</v>
      </c>
      <c r="AW19" s="75">
        <v>13000</v>
      </c>
      <c r="AX19" s="75">
        <v>13530</v>
      </c>
      <c r="AY19" s="75">
        <f>IF(AX19&gt;0,SUM(AX$7:AX19)-SUM(AW$7:AW19),0)</f>
        <v>-9042</v>
      </c>
      <c r="AZ19" s="45">
        <f t="shared" si="24"/>
        <v>1.0407692307692307</v>
      </c>
      <c r="BA19" s="35">
        <f t="shared" si="2"/>
        <v>27000</v>
      </c>
      <c r="BB19" s="35">
        <f t="shared" si="2"/>
        <v>27419</v>
      </c>
      <c r="BC19" s="35">
        <f>IF(BB19&gt;0,SUM(BB$7:BB19)-SUM(BA$7:BA19),0)</f>
        <v>3617</v>
      </c>
      <c r="BD19" s="45">
        <f t="shared" si="17"/>
        <v>1.0155185185185185</v>
      </c>
      <c r="BF19" s="47">
        <f t="shared" si="18"/>
        <v>40829</v>
      </c>
      <c r="BG19" s="54" t="s">
        <v>27</v>
      </c>
      <c r="BH19" s="75">
        <v>20000</v>
      </c>
      <c r="BI19" s="75">
        <v>22741</v>
      </c>
      <c r="BJ19" s="75">
        <f>IF(BI19&gt;0,SUM(BI$7:BI19)-SUM(BH$7:BH19),0)</f>
        <v>4202</v>
      </c>
      <c r="BK19" s="45">
        <f t="shared" si="19"/>
        <v>1.1370499999999999</v>
      </c>
      <c r="BL19" s="75">
        <v>6900</v>
      </c>
      <c r="BM19" s="75">
        <v>2882</v>
      </c>
      <c r="BN19" s="75">
        <f>IF(BM19&gt;0,SUM(BM$7:BM19)-SUM(BL$7:BL19),0)</f>
        <v>-920</v>
      </c>
      <c r="BO19" s="45">
        <f t="shared" si="20"/>
        <v>0.41768115942028988</v>
      </c>
      <c r="BP19" s="75">
        <v>7100</v>
      </c>
      <c r="BQ19" s="75">
        <v>1</v>
      </c>
      <c r="BR19" s="75">
        <f>IF(BQ19&gt;0,SUM(BQ$7:BQ19)-SUM(BP$7:BP19),0)</f>
        <v>-12817</v>
      </c>
      <c r="BS19" s="45">
        <f t="shared" si="25"/>
        <v>1.4084507042253522E-4</v>
      </c>
      <c r="BT19" s="35">
        <f t="shared" si="3"/>
        <v>34000</v>
      </c>
      <c r="BU19" s="35">
        <f t="shared" si="3"/>
        <v>25624</v>
      </c>
      <c r="BV19" s="35">
        <f>IF(BU19&gt;0,SUM(BU$7:BU19)-SUM(BT$7:BT19),0)</f>
        <v>-9535</v>
      </c>
      <c r="BW19" s="45">
        <f t="shared" si="21"/>
        <v>0.75364705882352945</v>
      </c>
      <c r="BY19" s="47">
        <f t="shared" si="22"/>
        <v>40829</v>
      </c>
      <c r="BZ19" s="48" t="s">
        <v>27</v>
      </c>
      <c r="CA19" s="75">
        <v>3500</v>
      </c>
      <c r="CB19" s="75">
        <v>3159</v>
      </c>
      <c r="CC19" s="75">
        <f>IF(CB19&gt;0,SUM(CB$7:CB19)-SUM(CA$7:CA19),0)</f>
        <v>8943</v>
      </c>
      <c r="CD19" s="45">
        <f t="shared" si="23"/>
        <v>0.90257142857142858</v>
      </c>
    </row>
    <row r="20" spans="1:82" x14ac:dyDescent="0.25">
      <c r="A20" s="47">
        <f t="shared" si="4"/>
        <v>40830</v>
      </c>
      <c r="B20" s="54" t="s">
        <v>28</v>
      </c>
      <c r="C20" s="75">
        <v>19000</v>
      </c>
      <c r="D20" s="75">
        <v>13222</v>
      </c>
      <c r="E20" s="75">
        <f>IF(D20&gt;0,SUM(D$7:D20)-SUM(C$7:C20),0)</f>
        <v>19421</v>
      </c>
      <c r="F20" s="45">
        <f t="shared" si="5"/>
        <v>0.69589473684210523</v>
      </c>
      <c r="G20" s="80" t="s">
        <v>40</v>
      </c>
      <c r="H20" s="75"/>
      <c r="I20" s="75">
        <f>IF(H20&gt;0,SUM(H$7:H20)-SUM(G$7:G20),0)</f>
        <v>0</v>
      </c>
      <c r="J20" s="45">
        <f t="shared" si="6"/>
        <v>0</v>
      </c>
      <c r="K20" s="75">
        <v>17000</v>
      </c>
      <c r="L20" s="75">
        <v>6167</v>
      </c>
      <c r="M20" s="75">
        <f>IF(L20&gt;0,SUM(L$7:L20)-SUM(K$7:K20),0)</f>
        <v>-48290</v>
      </c>
      <c r="N20" s="45">
        <f t="shared" si="7"/>
        <v>0.36276470588235293</v>
      </c>
      <c r="O20" s="35">
        <f t="shared" si="0"/>
        <v>36000</v>
      </c>
      <c r="P20" s="35">
        <f t="shared" si="0"/>
        <v>19389</v>
      </c>
      <c r="Q20" s="35">
        <f>IF(P20&gt;0,SUM(P$7:P20)-SUM(O$7:O20),0)</f>
        <v>-28869</v>
      </c>
      <c r="R20" s="45">
        <f t="shared" si="8"/>
        <v>0.5385833333333333</v>
      </c>
      <c r="T20" s="47">
        <f t="shared" si="9"/>
        <v>40830</v>
      </c>
      <c r="U20" s="48" t="s">
        <v>28</v>
      </c>
      <c r="V20" s="76">
        <v>17000</v>
      </c>
      <c r="W20" s="76">
        <v>17107</v>
      </c>
      <c r="X20" s="76">
        <f>IF(W20&gt;0,SUM(W$7:W20)-SUM(V$7:V20),0)</f>
        <v>944</v>
      </c>
      <c r="Y20" s="60">
        <f t="shared" si="10"/>
        <v>1.0062941176470588</v>
      </c>
      <c r="Z20" s="80" t="s">
        <v>40</v>
      </c>
      <c r="AA20" s="76"/>
      <c r="AB20" s="76">
        <f>IF(AA20&gt;0,SUM(AA$7:AA20)-SUM(Z$7:Z20),0)</f>
        <v>0</v>
      </c>
      <c r="AC20" s="60">
        <f t="shared" si="11"/>
        <v>0</v>
      </c>
      <c r="AD20" s="76">
        <v>17000</v>
      </c>
      <c r="AE20" s="76">
        <v>11957</v>
      </c>
      <c r="AF20" s="76">
        <f>IF(AE20&gt;0,SUM(AE$7:AE20)-SUM(AD$7:AD20),0)</f>
        <v>-16107</v>
      </c>
      <c r="AG20" s="60">
        <f t="shared" si="12"/>
        <v>0.70335294117647063</v>
      </c>
      <c r="AH20" s="41">
        <f t="shared" si="1"/>
        <v>34000</v>
      </c>
      <c r="AI20" s="41">
        <f t="shared" si="1"/>
        <v>29064</v>
      </c>
      <c r="AJ20" s="41">
        <f>IF(AI20&gt;0,SUM(AI$7:AI20)-SUM(AH$7:AH20),0)</f>
        <v>-15163</v>
      </c>
      <c r="AK20" s="60">
        <f t="shared" si="13"/>
        <v>0.85482352941176476</v>
      </c>
      <c r="AM20" s="47">
        <f t="shared" si="14"/>
        <v>40830</v>
      </c>
      <c r="AN20" s="54" t="s">
        <v>28</v>
      </c>
      <c r="AO20" s="75">
        <v>14000</v>
      </c>
      <c r="AP20" s="38">
        <v>15854</v>
      </c>
      <c r="AQ20" s="75">
        <f>IF(AP20&gt;0,SUM(AP$7:AP20)-SUM(AO$7:AO20),0)</f>
        <v>14513</v>
      </c>
      <c r="AR20" s="45">
        <f t="shared" si="15"/>
        <v>1.1324285714285713</v>
      </c>
      <c r="AS20" s="80" t="s">
        <v>40</v>
      </c>
      <c r="AT20" s="76"/>
      <c r="AU20" s="75">
        <f>IF(AT20&gt;0,SUM(AT$7:AT20)-SUM(AS$7:AS20),0)</f>
        <v>0</v>
      </c>
      <c r="AV20" s="45">
        <f t="shared" si="16"/>
        <v>0</v>
      </c>
      <c r="AW20" s="75">
        <v>13000</v>
      </c>
      <c r="AX20" s="76">
        <v>12075</v>
      </c>
      <c r="AY20" s="75">
        <f>IF(AX20&gt;0,SUM(AX$7:AX20)-SUM(AW$7:AW20),0)</f>
        <v>-9967</v>
      </c>
      <c r="AZ20" s="45">
        <f t="shared" si="24"/>
        <v>0.92884615384615388</v>
      </c>
      <c r="BA20" s="35">
        <f t="shared" si="2"/>
        <v>27000</v>
      </c>
      <c r="BB20" s="35">
        <f t="shared" si="2"/>
        <v>27929</v>
      </c>
      <c r="BC20" s="35">
        <f>IF(BB20&gt;0,SUM(BB$7:BB20)-SUM(BA$7:BA20),0)</f>
        <v>4546</v>
      </c>
      <c r="BD20" s="45">
        <f t="shared" si="17"/>
        <v>1.0344074074074074</v>
      </c>
      <c r="BF20" s="47">
        <f t="shared" si="18"/>
        <v>40830</v>
      </c>
      <c r="BG20" s="54" t="s">
        <v>28</v>
      </c>
      <c r="BH20" s="75">
        <v>20000</v>
      </c>
      <c r="BI20" s="44">
        <v>23829</v>
      </c>
      <c r="BJ20" s="75">
        <f>IF(BI20&gt;0,SUM(BI$7:BI20)-SUM(BH$7:BH20),0)</f>
        <v>8031</v>
      </c>
      <c r="BK20" s="45">
        <f t="shared" si="19"/>
        <v>1.1914499999999999</v>
      </c>
      <c r="BL20" s="75">
        <v>6900</v>
      </c>
      <c r="BM20" s="76">
        <v>4105</v>
      </c>
      <c r="BN20" s="75">
        <f>IF(BM20&gt;0,SUM(BM$7:BM20)-SUM(BL$7:BL20),0)</f>
        <v>-3715</v>
      </c>
      <c r="BO20" s="45">
        <f t="shared" si="20"/>
        <v>0.5949275362318841</v>
      </c>
      <c r="BP20" s="75">
        <v>7100</v>
      </c>
      <c r="BQ20" s="76">
        <v>5175</v>
      </c>
      <c r="BR20" s="75">
        <f>IF(BQ20&gt;0,SUM(BQ$7:BQ20)-SUM(BP$7:BP20),0)</f>
        <v>-14742</v>
      </c>
      <c r="BS20" s="45">
        <f t="shared" si="25"/>
        <v>0.72887323943661975</v>
      </c>
      <c r="BT20" s="35">
        <f t="shared" si="3"/>
        <v>34000</v>
      </c>
      <c r="BU20" s="35">
        <f t="shared" si="3"/>
        <v>33109</v>
      </c>
      <c r="BV20" s="35">
        <f>IF(BU20&gt;0,SUM(BU$7:BU20)-SUM(BT$7:BT20),0)</f>
        <v>-10426</v>
      </c>
      <c r="BW20" s="45">
        <f t="shared" si="21"/>
        <v>0.97379411764705881</v>
      </c>
      <c r="BY20" s="47">
        <f t="shared" si="22"/>
        <v>40830</v>
      </c>
      <c r="BZ20" s="48" t="s">
        <v>28</v>
      </c>
      <c r="CA20" s="75">
        <v>3500</v>
      </c>
      <c r="CB20" s="75">
        <v>3266</v>
      </c>
      <c r="CC20" s="75">
        <f>IF(CB20&gt;0,SUM(CB$7:CB20)-SUM(CA$7:CA20),0)</f>
        <v>8709</v>
      </c>
      <c r="CD20" s="45">
        <f t="shared" si="23"/>
        <v>0.93314285714285716</v>
      </c>
    </row>
    <row r="21" spans="1:82" x14ac:dyDescent="0.25">
      <c r="A21" s="47">
        <f t="shared" si="4"/>
        <v>40831</v>
      </c>
      <c r="B21" s="54" t="s">
        <v>22</v>
      </c>
      <c r="C21" s="75">
        <v>19000</v>
      </c>
      <c r="D21" s="75">
        <v>8128</v>
      </c>
      <c r="E21" s="75">
        <f>IF(D21&gt;0,SUM(D$7:D21)-SUM(C$7:C21),0)</f>
        <v>8549</v>
      </c>
      <c r="F21" s="45">
        <f t="shared" si="5"/>
        <v>0.42778947368421055</v>
      </c>
      <c r="G21" s="80" t="s">
        <v>40</v>
      </c>
      <c r="H21" s="75"/>
      <c r="I21" s="75">
        <f>IF(H21&gt;0,SUM(H$7:H21)-SUM(G$7:G21),0)</f>
        <v>0</v>
      </c>
      <c r="J21" s="45">
        <f t="shared" si="6"/>
        <v>0</v>
      </c>
      <c r="K21" s="75">
        <v>17000</v>
      </c>
      <c r="L21" s="75">
        <v>6492</v>
      </c>
      <c r="M21" s="75">
        <f>IF(L21&gt;0,SUM(L$7:L21)-SUM(K$7:K21),0)</f>
        <v>-58798</v>
      </c>
      <c r="N21" s="45">
        <f t="shared" si="7"/>
        <v>0.38188235294117645</v>
      </c>
      <c r="O21" s="35">
        <f t="shared" si="0"/>
        <v>36000</v>
      </c>
      <c r="P21" s="35">
        <f t="shared" si="0"/>
        <v>14620</v>
      </c>
      <c r="Q21" s="35">
        <f>IF(P21&gt;0,SUM(P$7:P21)-SUM(O$7:O21),0)</f>
        <v>-50249</v>
      </c>
      <c r="R21" s="45">
        <f t="shared" si="8"/>
        <v>0.40611111111111109</v>
      </c>
      <c r="T21" s="47">
        <f t="shared" si="9"/>
        <v>40831</v>
      </c>
      <c r="U21" s="48" t="s">
        <v>22</v>
      </c>
      <c r="V21" s="76">
        <v>17000</v>
      </c>
      <c r="W21" s="76">
        <v>11017</v>
      </c>
      <c r="X21" s="76">
        <f>IF(W21&gt;0,SUM(W$7:W21)-SUM(V$7:V21),0)</f>
        <v>-5039</v>
      </c>
      <c r="Y21" s="60">
        <f t="shared" si="10"/>
        <v>0.6480588235294118</v>
      </c>
      <c r="Z21" s="80" t="s">
        <v>40</v>
      </c>
      <c r="AA21" s="76"/>
      <c r="AB21" s="76">
        <f>IF(AA21&gt;0,SUM(AA$7:AA21)-SUM(Z$7:Z21),0)</f>
        <v>0</v>
      </c>
      <c r="AC21" s="60">
        <f t="shared" si="11"/>
        <v>0</v>
      </c>
      <c r="AD21" s="76">
        <v>17000</v>
      </c>
      <c r="AE21" s="76">
        <v>7642</v>
      </c>
      <c r="AF21" s="76">
        <f>IF(AE21&gt;0,SUM(AE$7:AE21)-SUM(AD$7:AD21),0)</f>
        <v>-25465</v>
      </c>
      <c r="AG21" s="60">
        <f t="shared" si="12"/>
        <v>0.4495294117647059</v>
      </c>
      <c r="AH21" s="41">
        <f t="shared" si="1"/>
        <v>34000</v>
      </c>
      <c r="AI21" s="41">
        <f t="shared" si="1"/>
        <v>18659</v>
      </c>
      <c r="AJ21" s="41">
        <f>IF(AI21&gt;0,SUM(AI$7:AI21)-SUM(AH$7:AH21),0)</f>
        <v>-30504</v>
      </c>
      <c r="AK21" s="60">
        <f t="shared" si="13"/>
        <v>0.54879411764705888</v>
      </c>
      <c r="AM21" s="47">
        <f t="shared" si="14"/>
        <v>40831</v>
      </c>
      <c r="AN21" s="54" t="s">
        <v>22</v>
      </c>
      <c r="AO21" s="75">
        <v>14000</v>
      </c>
      <c r="AP21" s="76">
        <v>13493</v>
      </c>
      <c r="AQ21" s="75">
        <f>IF(AP21&gt;0,SUM(AP$7:AP21)-SUM(AO$7:AO21),0)</f>
        <v>14006</v>
      </c>
      <c r="AR21" s="45">
        <f t="shared" si="15"/>
        <v>0.96378571428571425</v>
      </c>
      <c r="AS21" s="80" t="s">
        <v>40</v>
      </c>
      <c r="AT21" s="76"/>
      <c r="AU21" s="75">
        <f>IF(AT21&gt;0,SUM(AT$7:AT21)-SUM(AS$7:AS21),0)</f>
        <v>0</v>
      </c>
      <c r="AV21" s="45">
        <f t="shared" si="16"/>
        <v>0</v>
      </c>
      <c r="AW21" s="75">
        <v>13000</v>
      </c>
      <c r="AX21" s="76">
        <v>7585</v>
      </c>
      <c r="AY21" s="75">
        <f>IF(AX21&gt;0,SUM(AX$7:AX21)-SUM(AW$7:AW21),0)</f>
        <v>-15382</v>
      </c>
      <c r="AZ21" s="45">
        <f t="shared" si="24"/>
        <v>0.58346153846153848</v>
      </c>
      <c r="BA21" s="35">
        <f t="shared" si="2"/>
        <v>27000</v>
      </c>
      <c r="BB21" s="35">
        <f t="shared" si="2"/>
        <v>21078</v>
      </c>
      <c r="BC21" s="35">
        <f>IF(BB21&gt;0,SUM(BB$7:BB21)-SUM(BA$7:BA21),0)</f>
        <v>-1376</v>
      </c>
      <c r="BD21" s="45">
        <f t="shared" si="17"/>
        <v>0.78066666666666662</v>
      </c>
      <c r="BF21" s="47">
        <f t="shared" si="18"/>
        <v>40831</v>
      </c>
      <c r="BG21" s="54" t="s">
        <v>22</v>
      </c>
      <c r="BH21" s="75">
        <v>20000</v>
      </c>
      <c r="BI21" s="76">
        <v>17075</v>
      </c>
      <c r="BJ21" s="75">
        <f>IF(BI21&gt;0,SUM(BI$7:BI21)-SUM(BH$7:BH21),0)</f>
        <v>5106</v>
      </c>
      <c r="BK21" s="45">
        <f t="shared" si="19"/>
        <v>0.85375000000000001</v>
      </c>
      <c r="BL21" s="75">
        <v>6900</v>
      </c>
      <c r="BM21" s="76">
        <v>4009</v>
      </c>
      <c r="BN21" s="75">
        <f>IF(BM21&gt;0,SUM(BM$7:BM21)-SUM(BL$7:BL21),0)</f>
        <v>-6606</v>
      </c>
      <c r="BO21" s="45">
        <f t="shared" si="20"/>
        <v>0.58101449275362316</v>
      </c>
      <c r="BP21" s="75">
        <v>7100</v>
      </c>
      <c r="BQ21" s="76">
        <v>3450</v>
      </c>
      <c r="BR21" s="75">
        <f>IF(BQ21&gt;0,SUM(BQ$7:BQ21)-SUM(BP$7:BP21),0)</f>
        <v>-18392</v>
      </c>
      <c r="BS21" s="45">
        <f t="shared" si="25"/>
        <v>0.4859154929577465</v>
      </c>
      <c r="BT21" s="35">
        <f t="shared" si="3"/>
        <v>34000</v>
      </c>
      <c r="BU21" s="35">
        <f t="shared" si="3"/>
        <v>24534</v>
      </c>
      <c r="BV21" s="35">
        <f>IF(BU21&gt;0,SUM(BU$7:BU21)-SUM(BT$7:BT21),0)</f>
        <v>-19892</v>
      </c>
      <c r="BW21" s="45">
        <f t="shared" si="21"/>
        <v>0.72158823529411764</v>
      </c>
      <c r="BY21" s="47">
        <f t="shared" si="22"/>
        <v>40831</v>
      </c>
      <c r="BZ21" s="48" t="s">
        <v>22</v>
      </c>
      <c r="CA21" s="75">
        <v>3500</v>
      </c>
      <c r="CB21" s="75">
        <v>9233</v>
      </c>
      <c r="CC21" s="75">
        <f>IF(CB21&gt;0,SUM(CB$7:CB21)-SUM(CA$7:CA21),0)</f>
        <v>14442</v>
      </c>
      <c r="CD21" s="45">
        <f t="shared" si="23"/>
        <v>2.6379999999999999</v>
      </c>
    </row>
    <row r="22" spans="1:82" x14ac:dyDescent="0.25">
      <c r="A22" s="47">
        <f t="shared" si="4"/>
        <v>40832</v>
      </c>
      <c r="B22" s="54" t="s">
        <v>23</v>
      </c>
      <c r="C22" s="75">
        <v>19000</v>
      </c>
      <c r="D22" s="75">
        <v>19031</v>
      </c>
      <c r="E22" s="75">
        <f>IF(D22&gt;0,SUM(D$7:D22)-SUM(C$7:C22),0)</f>
        <v>8580</v>
      </c>
      <c r="F22" s="45">
        <f t="shared" si="5"/>
        <v>1.0016315789473684</v>
      </c>
      <c r="G22" s="80" t="s">
        <v>40</v>
      </c>
      <c r="H22" s="75"/>
      <c r="I22" s="75">
        <f>IF(H22&gt;0,SUM(H$7:H22)-SUM(G$7:G22),0)</f>
        <v>0</v>
      </c>
      <c r="J22" s="45">
        <f t="shared" si="6"/>
        <v>0</v>
      </c>
      <c r="K22" s="75">
        <v>17000</v>
      </c>
      <c r="L22" s="75">
        <v>18157</v>
      </c>
      <c r="M22" s="75">
        <f>IF(L22&gt;0,SUM(L$7:L22)-SUM(K$7:K22),0)</f>
        <v>-57641</v>
      </c>
      <c r="N22" s="45">
        <f t="shared" si="7"/>
        <v>1.0680588235294117</v>
      </c>
      <c r="O22" s="35">
        <f t="shared" si="0"/>
        <v>36000</v>
      </c>
      <c r="P22" s="35">
        <f t="shared" si="0"/>
        <v>37188</v>
      </c>
      <c r="Q22" s="35">
        <f>IF(P22&gt;0,SUM(P$7:P22)-SUM(O$7:O22),0)</f>
        <v>-49061</v>
      </c>
      <c r="R22" s="45">
        <f t="shared" si="8"/>
        <v>1.0329999999999999</v>
      </c>
      <c r="T22" s="47">
        <f t="shared" si="9"/>
        <v>40832</v>
      </c>
      <c r="U22" s="48" t="s">
        <v>23</v>
      </c>
      <c r="V22" s="76">
        <v>17000</v>
      </c>
      <c r="W22" s="76">
        <v>6729</v>
      </c>
      <c r="X22" s="76">
        <f>IF(W22&gt;0,SUM(W$7:W22)-SUM(V$7:V22),0)</f>
        <v>-15310</v>
      </c>
      <c r="Y22" s="60">
        <f t="shared" si="10"/>
        <v>0.39582352941176469</v>
      </c>
      <c r="Z22" s="80" t="s">
        <v>40</v>
      </c>
      <c r="AA22" s="76"/>
      <c r="AB22" s="76">
        <f>IF(AA22&gt;0,SUM(AA$7:AA22)-SUM(Z$7:Z22),0)</f>
        <v>0</v>
      </c>
      <c r="AC22" s="60">
        <f t="shared" si="11"/>
        <v>0</v>
      </c>
      <c r="AD22" s="76">
        <v>17000</v>
      </c>
      <c r="AE22" s="76">
        <v>7852</v>
      </c>
      <c r="AF22" s="76">
        <f>IF(AE22&gt;0,SUM(AE$7:AE22)-SUM(AD$7:AD22),0)</f>
        <v>-34613</v>
      </c>
      <c r="AG22" s="60">
        <f t="shared" si="12"/>
        <v>0.46188235294117647</v>
      </c>
      <c r="AH22" s="41">
        <f t="shared" si="1"/>
        <v>34000</v>
      </c>
      <c r="AI22" s="41">
        <f t="shared" si="1"/>
        <v>14581</v>
      </c>
      <c r="AJ22" s="41">
        <f>IF(AI22&gt;0,SUM(AI$7:AI22)-SUM(AH$7:AH22),0)</f>
        <v>-49923</v>
      </c>
      <c r="AK22" s="60">
        <f t="shared" si="13"/>
        <v>0.4288529411764706</v>
      </c>
      <c r="AM22" s="47">
        <f t="shared" si="14"/>
        <v>40832</v>
      </c>
      <c r="AN22" s="54" t="s">
        <v>23</v>
      </c>
      <c r="AO22" s="75">
        <v>14000</v>
      </c>
      <c r="AP22" s="75">
        <v>9156</v>
      </c>
      <c r="AQ22" s="75">
        <f>IF(AP22&gt;0,SUM(AP$7:AP22)-SUM(AO$7:AO22),0)</f>
        <v>9162</v>
      </c>
      <c r="AR22" s="45">
        <f t="shared" si="15"/>
        <v>0.65400000000000003</v>
      </c>
      <c r="AS22" s="80" t="s">
        <v>40</v>
      </c>
      <c r="AT22" s="75"/>
      <c r="AU22" s="75">
        <f>IF(AT22&gt;0,SUM(AT$7:AT22)-SUM(AS$7:AS22),0)</f>
        <v>0</v>
      </c>
      <c r="AV22" s="45">
        <f t="shared" si="16"/>
        <v>0</v>
      </c>
      <c r="AW22" s="75">
        <v>13000</v>
      </c>
      <c r="AX22" s="75">
        <v>5625</v>
      </c>
      <c r="AY22" s="75">
        <f>IF(AX22&gt;0,SUM(AX$7:AX22)-SUM(AW$7:AW22),0)</f>
        <v>-22757</v>
      </c>
      <c r="AZ22" s="45">
        <f t="shared" si="24"/>
        <v>0.43269230769230771</v>
      </c>
      <c r="BA22" s="35">
        <f t="shared" si="2"/>
        <v>27000</v>
      </c>
      <c r="BB22" s="35">
        <f t="shared" si="2"/>
        <v>14781</v>
      </c>
      <c r="BC22" s="35">
        <f>IF(BB22&gt;0,SUM(BB$7:BB22)-SUM(BA$7:BA22),0)</f>
        <v>-13595</v>
      </c>
      <c r="BD22" s="45">
        <f t="shared" si="17"/>
        <v>0.5474444444444444</v>
      </c>
      <c r="BF22" s="47">
        <f t="shared" si="18"/>
        <v>40832</v>
      </c>
      <c r="BG22" s="54" t="s">
        <v>23</v>
      </c>
      <c r="BH22" s="75">
        <v>20000</v>
      </c>
      <c r="BI22" s="75">
        <v>12620</v>
      </c>
      <c r="BJ22" s="75">
        <f>IF(BI22&gt;0,SUM(BI$7:BI22)-SUM(BH$7:BH22),0)</f>
        <v>-2274</v>
      </c>
      <c r="BK22" s="45">
        <f t="shared" si="19"/>
        <v>0.63100000000000001</v>
      </c>
      <c r="BL22" s="75">
        <v>6900</v>
      </c>
      <c r="BM22" s="75">
        <v>2164</v>
      </c>
      <c r="BN22" s="75">
        <f>IF(BM22&gt;0,SUM(BM$7:BM22)-SUM(BL$7:BL22),0)</f>
        <v>-11342</v>
      </c>
      <c r="BO22" s="45">
        <f t="shared" si="20"/>
        <v>0.31362318840579712</v>
      </c>
      <c r="BP22" s="75">
        <v>7100</v>
      </c>
      <c r="BQ22" s="75">
        <v>2621</v>
      </c>
      <c r="BR22" s="75">
        <f>IF(BQ22&gt;0,SUM(BQ$7:BQ22)-SUM(BP$7:BP22),0)</f>
        <v>-22871</v>
      </c>
      <c r="BS22" s="45">
        <f t="shared" si="25"/>
        <v>0.36915492957746476</v>
      </c>
      <c r="BT22" s="35">
        <f t="shared" si="3"/>
        <v>34000</v>
      </c>
      <c r="BU22" s="35">
        <f t="shared" si="3"/>
        <v>17405</v>
      </c>
      <c r="BV22" s="35">
        <f>IF(BU22&gt;0,SUM(BU$7:BU22)-SUM(BT$7:BT22),0)</f>
        <v>-36487</v>
      </c>
      <c r="BW22" s="45">
        <f t="shared" si="21"/>
        <v>0.5119117647058824</v>
      </c>
      <c r="BY22" s="47">
        <f t="shared" si="22"/>
        <v>40832</v>
      </c>
      <c r="BZ22" s="48" t="s">
        <v>23</v>
      </c>
      <c r="CA22" s="75">
        <v>3500</v>
      </c>
      <c r="CB22" s="75">
        <v>7971</v>
      </c>
      <c r="CC22" s="75">
        <f>IF(CB22&gt;0,SUM(CB$7:CB22)-SUM(CA$7:CA22),0)</f>
        <v>18913</v>
      </c>
      <c r="CD22" s="45">
        <f t="shared" si="23"/>
        <v>2.2774285714285716</v>
      </c>
    </row>
    <row r="23" spans="1:82" x14ac:dyDescent="0.25">
      <c r="A23" s="47">
        <f t="shared" si="4"/>
        <v>40833</v>
      </c>
      <c r="B23" s="54" t="s">
        <v>24</v>
      </c>
      <c r="C23" s="75">
        <v>19000</v>
      </c>
      <c r="D23" s="75">
        <v>13068</v>
      </c>
      <c r="E23" s="75">
        <f>IF(D23&gt;0,SUM(D$7:D23)-SUM(C$7:C23),0)</f>
        <v>2648</v>
      </c>
      <c r="F23" s="45">
        <f t="shared" si="5"/>
        <v>0.68778947368421051</v>
      </c>
      <c r="G23" s="80" t="s">
        <v>40</v>
      </c>
      <c r="H23" s="75"/>
      <c r="I23" s="75">
        <f>IF(H23&gt;0,SUM(H$7:H23)-SUM(G$7:G23),0)</f>
        <v>0</v>
      </c>
      <c r="J23" s="45">
        <f t="shared" si="6"/>
        <v>0</v>
      </c>
      <c r="K23" s="75">
        <v>17000</v>
      </c>
      <c r="L23" s="75">
        <v>11646</v>
      </c>
      <c r="M23" s="75">
        <f>IF(L23&gt;0,SUM(L$7:L23)-SUM(K$7:K23),0)</f>
        <v>-62995</v>
      </c>
      <c r="N23" s="45">
        <f t="shared" si="7"/>
        <v>0.68505882352941172</v>
      </c>
      <c r="O23" s="35">
        <f t="shared" si="0"/>
        <v>36000</v>
      </c>
      <c r="P23" s="35">
        <f t="shared" si="0"/>
        <v>24714</v>
      </c>
      <c r="Q23" s="35">
        <f>IF(P23&gt;0,SUM(P$7:P23)-SUM(O$7:O23),0)</f>
        <v>-60347</v>
      </c>
      <c r="R23" s="45">
        <f t="shared" si="8"/>
        <v>0.6865</v>
      </c>
      <c r="T23" s="47">
        <f t="shared" si="9"/>
        <v>40833</v>
      </c>
      <c r="U23" s="48" t="s">
        <v>24</v>
      </c>
      <c r="V23" s="76">
        <v>17000</v>
      </c>
      <c r="W23" s="76">
        <v>13511</v>
      </c>
      <c r="X23" s="76">
        <f>IF(W23&gt;0,SUM(W$7:W23)-SUM(V$7:V23),0)</f>
        <v>-18799</v>
      </c>
      <c r="Y23" s="60">
        <f t="shared" si="10"/>
        <v>0.79476470588235293</v>
      </c>
      <c r="Z23" s="80" t="s">
        <v>40</v>
      </c>
      <c r="AA23" s="76"/>
      <c r="AB23" s="76">
        <f>IF(AA23&gt;0,SUM(AA$7:AA23)-SUM(Z$7:Z23),0)</f>
        <v>0</v>
      </c>
      <c r="AC23" s="60">
        <f t="shared" si="11"/>
        <v>0</v>
      </c>
      <c r="AD23" s="76">
        <v>17000</v>
      </c>
      <c r="AE23" s="76">
        <v>11246</v>
      </c>
      <c r="AF23" s="76">
        <f>IF(AE23&gt;0,SUM(AE$7:AE23)-SUM(AD$7:AD23),0)</f>
        <v>-40367</v>
      </c>
      <c r="AG23" s="60">
        <f t="shared" si="12"/>
        <v>0.66152941176470592</v>
      </c>
      <c r="AH23" s="41">
        <f t="shared" si="1"/>
        <v>34000</v>
      </c>
      <c r="AI23" s="41">
        <f t="shared" si="1"/>
        <v>24757</v>
      </c>
      <c r="AJ23" s="41">
        <f>IF(AI23&gt;0,SUM(AI$7:AI23)-SUM(AH$7:AH23),0)</f>
        <v>-59166</v>
      </c>
      <c r="AK23" s="60">
        <f t="shared" si="13"/>
        <v>0.72814705882352937</v>
      </c>
      <c r="AM23" s="47">
        <f t="shared" si="14"/>
        <v>40833</v>
      </c>
      <c r="AN23" s="54" t="s">
        <v>24</v>
      </c>
      <c r="AO23" s="75">
        <v>14000</v>
      </c>
      <c r="AP23" s="75">
        <v>11770</v>
      </c>
      <c r="AQ23" s="75">
        <f>IF(AP23&gt;0,SUM(AP$7:AP23)-SUM(AO$7:AO23),0)</f>
        <v>6932</v>
      </c>
      <c r="AR23" s="45">
        <f t="shared" si="15"/>
        <v>0.84071428571428575</v>
      </c>
      <c r="AS23" s="80" t="s">
        <v>40</v>
      </c>
      <c r="AT23" s="75"/>
      <c r="AU23" s="75">
        <f>IF(AT23&gt;0,SUM(AT$7:AT23)-SUM(AS$7:AS23),0)</f>
        <v>0</v>
      </c>
      <c r="AV23" s="45">
        <f t="shared" si="16"/>
        <v>0</v>
      </c>
      <c r="AW23" s="75">
        <v>13000</v>
      </c>
      <c r="AX23" s="75">
        <v>7628</v>
      </c>
      <c r="AY23" s="75">
        <f>IF(AX23&gt;0,SUM(AX$7:AX23)-SUM(AW$7:AW23),0)</f>
        <v>-28129</v>
      </c>
      <c r="AZ23" s="45">
        <f t="shared" si="24"/>
        <v>0.58676923076923082</v>
      </c>
      <c r="BA23" s="35">
        <f t="shared" si="2"/>
        <v>27000</v>
      </c>
      <c r="BB23" s="35">
        <f t="shared" si="2"/>
        <v>19398</v>
      </c>
      <c r="BC23" s="35">
        <f>IF(BB23&gt;0,SUM(BB$7:BB23)-SUM(BA$7:BA23),0)</f>
        <v>-21197</v>
      </c>
      <c r="BD23" s="45">
        <f t="shared" si="17"/>
        <v>0.71844444444444444</v>
      </c>
      <c r="BF23" s="47">
        <f t="shared" si="18"/>
        <v>40833</v>
      </c>
      <c r="BG23" s="54" t="s">
        <v>24</v>
      </c>
      <c r="BH23" s="75">
        <v>20000</v>
      </c>
      <c r="BI23" s="75">
        <v>14822</v>
      </c>
      <c r="BJ23" s="75">
        <f>IF(BI23&gt;0,SUM(BI$7:BI23)-SUM(BH$7:BH23),0)</f>
        <v>-7452</v>
      </c>
      <c r="BK23" s="45">
        <f t="shared" si="19"/>
        <v>0.74109999999999998</v>
      </c>
      <c r="BL23" s="75">
        <v>6900</v>
      </c>
      <c r="BM23" s="75">
        <v>4581</v>
      </c>
      <c r="BN23" s="75">
        <f>IF(BM23&gt;0,SUM(BM$7:BM23)-SUM(BL$7:BL23),0)</f>
        <v>-13661</v>
      </c>
      <c r="BO23" s="45">
        <f t="shared" si="20"/>
        <v>0.66391304347826086</v>
      </c>
      <c r="BP23" s="75">
        <v>7100</v>
      </c>
      <c r="BQ23" s="75">
        <v>1</v>
      </c>
      <c r="BR23" s="75">
        <f>IF(BQ23&gt;0,SUM(BQ$7:BQ23)-SUM(BP$7:BP23),0)</f>
        <v>-29970</v>
      </c>
      <c r="BS23" s="45">
        <f t="shared" si="25"/>
        <v>1.4084507042253522E-4</v>
      </c>
      <c r="BT23" s="35">
        <f t="shared" si="3"/>
        <v>34000</v>
      </c>
      <c r="BU23" s="35">
        <f t="shared" si="3"/>
        <v>19404</v>
      </c>
      <c r="BV23" s="35">
        <f>IF(BU23&gt;0,SUM(BU$7:BU23)-SUM(BT$7:BT23),0)</f>
        <v>-51083</v>
      </c>
      <c r="BW23" s="45">
        <f t="shared" si="21"/>
        <v>0.57070588235294117</v>
      </c>
      <c r="BY23" s="47">
        <f t="shared" si="22"/>
        <v>40833</v>
      </c>
      <c r="BZ23" s="48" t="s">
        <v>24</v>
      </c>
      <c r="CA23" s="75">
        <v>3500</v>
      </c>
      <c r="CB23" s="75">
        <v>7926</v>
      </c>
      <c r="CC23" s="75">
        <f>IF(CB23&gt;0,SUM(CB$7:CB23)-SUM(CA$7:CA23),0)</f>
        <v>23339</v>
      </c>
      <c r="CD23" s="45">
        <f t="shared" si="23"/>
        <v>2.2645714285714287</v>
      </c>
    </row>
    <row r="24" spans="1:82" x14ac:dyDescent="0.25">
      <c r="A24" s="47">
        <f t="shared" si="4"/>
        <v>40834</v>
      </c>
      <c r="B24" s="54" t="s">
        <v>25</v>
      </c>
      <c r="C24" s="75"/>
      <c r="D24" s="75">
        <v>29253</v>
      </c>
      <c r="E24" s="75">
        <f>IF(D24&gt;0,SUM(D$7:D24)-SUM(C$7:C24),0)</f>
        <v>31901</v>
      </c>
      <c r="F24" s="45">
        <f t="shared" si="5"/>
        <v>0</v>
      </c>
      <c r="G24" s="80" t="s">
        <v>40</v>
      </c>
      <c r="H24" s="75"/>
      <c r="I24" s="75">
        <f>IF(H24&gt;0,SUM(H$7:H24)-SUM(G$7:G24),0)</f>
        <v>0</v>
      </c>
      <c r="J24" s="45">
        <f t="shared" si="6"/>
        <v>0</v>
      </c>
      <c r="K24" s="75"/>
      <c r="L24" s="75">
        <v>11172</v>
      </c>
      <c r="M24" s="75">
        <f>IF(L24&gt;0,SUM(L$7:L24)-SUM(K$7:K24),0)</f>
        <v>-51823</v>
      </c>
      <c r="N24" s="45">
        <f t="shared" si="7"/>
        <v>0</v>
      </c>
      <c r="O24" s="35">
        <f t="shared" si="0"/>
        <v>0</v>
      </c>
      <c r="P24" s="35">
        <f t="shared" si="0"/>
        <v>40425</v>
      </c>
      <c r="Q24" s="35">
        <f>IF(P24&gt;0,SUM(P$7:P24)-SUM(O$7:O24),0)</f>
        <v>-19922</v>
      </c>
      <c r="R24" s="45">
        <f t="shared" si="8"/>
        <v>0</v>
      </c>
      <c r="T24" s="47">
        <f t="shared" si="9"/>
        <v>40834</v>
      </c>
      <c r="U24" s="48" t="s">
        <v>25</v>
      </c>
      <c r="V24" s="76"/>
      <c r="W24" s="76">
        <v>15521</v>
      </c>
      <c r="X24" s="76">
        <f>IF(W24&gt;0,SUM(W$7:W24)-SUM(V$7:V24),0)</f>
        <v>-3278</v>
      </c>
      <c r="Y24" s="60">
        <f t="shared" si="10"/>
        <v>0</v>
      </c>
      <c r="Z24" s="80" t="s">
        <v>40</v>
      </c>
      <c r="AA24" s="76"/>
      <c r="AB24" s="76">
        <f>IF(AA24&gt;0,SUM(AA$7:AA24)-SUM(Z$7:Z24),0)</f>
        <v>0</v>
      </c>
      <c r="AC24" s="60">
        <f t="shared" si="11"/>
        <v>0</v>
      </c>
      <c r="AD24" s="76"/>
      <c r="AE24" s="76">
        <v>6457</v>
      </c>
      <c r="AF24" s="76">
        <f>IF(AE24&gt;0,SUM(AE$7:AE24)-SUM(AD$7:AD24),0)</f>
        <v>-33910</v>
      </c>
      <c r="AG24" s="60">
        <f t="shared" si="12"/>
        <v>0</v>
      </c>
      <c r="AH24" s="41">
        <f t="shared" si="1"/>
        <v>0</v>
      </c>
      <c r="AI24" s="41">
        <f t="shared" si="1"/>
        <v>21978</v>
      </c>
      <c r="AJ24" s="41">
        <f>IF(AI24&gt;0,SUM(AI$7:AI24)-SUM(AH$7:AH24),0)</f>
        <v>-37188</v>
      </c>
      <c r="AK24" s="60">
        <f t="shared" si="13"/>
        <v>0</v>
      </c>
      <c r="AM24" s="47">
        <f t="shared" si="14"/>
        <v>40834</v>
      </c>
      <c r="AN24" s="54" t="s">
        <v>25</v>
      </c>
      <c r="AO24" s="75"/>
      <c r="AP24" s="75">
        <v>11413</v>
      </c>
      <c r="AQ24" s="75">
        <f>IF(AP24&gt;0,SUM(AP$7:AP24)-SUM(AO$7:AO24),0)</f>
        <v>18345</v>
      </c>
      <c r="AR24" s="45">
        <f t="shared" si="15"/>
        <v>0</v>
      </c>
      <c r="AS24" s="80" t="s">
        <v>40</v>
      </c>
      <c r="AT24" s="75"/>
      <c r="AU24" s="75">
        <f>IF(AT24&gt;0,SUM(AT$7:AT24)-SUM(AS$7:AS24),0)</f>
        <v>0</v>
      </c>
      <c r="AV24" s="45">
        <f t="shared" si="16"/>
        <v>0</v>
      </c>
      <c r="AW24" s="75"/>
      <c r="AX24" s="75"/>
      <c r="AY24" s="75">
        <f>IF(AX24&gt;0,SUM(AX$7:AX24)-SUM(AW$7:AW24),0)</f>
        <v>0</v>
      </c>
      <c r="AZ24" s="45">
        <f t="shared" si="24"/>
        <v>0</v>
      </c>
      <c r="BA24" s="35">
        <f t="shared" si="2"/>
        <v>0</v>
      </c>
      <c r="BB24" s="35">
        <f t="shared" si="2"/>
        <v>11413</v>
      </c>
      <c r="BC24" s="35">
        <f>IF(BB24&gt;0,SUM(BB$7:BB24)-SUM(BA$7:BA24),0)</f>
        <v>-9784</v>
      </c>
      <c r="BD24" s="45">
        <f t="shared" si="17"/>
        <v>0</v>
      </c>
      <c r="BF24" s="47">
        <f t="shared" si="18"/>
        <v>40834</v>
      </c>
      <c r="BG24" s="54" t="s">
        <v>25</v>
      </c>
      <c r="BH24" s="75"/>
      <c r="BI24" s="75">
        <v>11413</v>
      </c>
      <c r="BJ24" s="75">
        <f>IF(BI24&gt;0,SUM(BI$7:BI24)-SUM(BH$7:BH24),0)</f>
        <v>3961</v>
      </c>
      <c r="BK24" s="45">
        <f t="shared" si="19"/>
        <v>0</v>
      </c>
      <c r="BL24" s="75"/>
      <c r="BM24" s="75"/>
      <c r="BN24" s="75">
        <f>IF(BM24&gt;0,SUM(BM$7:BM24)-SUM(BL$7:BL24),0)</f>
        <v>0</v>
      </c>
      <c r="BO24" s="45">
        <f t="shared" si="20"/>
        <v>0</v>
      </c>
      <c r="BP24" s="75"/>
      <c r="BQ24" s="75"/>
      <c r="BR24" s="75">
        <f>IF(BQ24&gt;0,SUM(BQ$7:BQ24)-SUM(BP$7:BP24),0)</f>
        <v>0</v>
      </c>
      <c r="BS24" s="45">
        <f t="shared" si="25"/>
        <v>0</v>
      </c>
      <c r="BT24" s="35">
        <f t="shared" si="3"/>
        <v>0</v>
      </c>
      <c r="BU24" s="35">
        <f t="shared" si="3"/>
        <v>11413</v>
      </c>
      <c r="BV24" s="35">
        <f>IF(BU24&gt;0,SUM(BU$7:BU24)-SUM(BT$7:BT24),0)</f>
        <v>-39670</v>
      </c>
      <c r="BW24" s="45">
        <f t="shared" si="21"/>
        <v>0</v>
      </c>
      <c r="BY24" s="47">
        <f t="shared" si="22"/>
        <v>40834</v>
      </c>
      <c r="BZ24" s="48" t="s">
        <v>25</v>
      </c>
      <c r="CA24" s="75"/>
      <c r="CB24" s="75"/>
      <c r="CC24" s="75">
        <f>IF(CB24&gt;0,SUM(CB$7:CB24)-SUM(CA$7:CA24),0)</f>
        <v>0</v>
      </c>
      <c r="CD24" s="45">
        <f t="shared" si="23"/>
        <v>0</v>
      </c>
    </row>
    <row r="25" spans="1:82" x14ac:dyDescent="0.25">
      <c r="A25" s="47">
        <f t="shared" si="4"/>
        <v>40835</v>
      </c>
      <c r="B25" s="54" t="s">
        <v>26</v>
      </c>
      <c r="C25" s="75"/>
      <c r="D25" s="75">
        <v>11789</v>
      </c>
      <c r="E25" s="75">
        <f>IF(D25&gt;0,SUM(D$7:D25)-SUM(C$7:C25),0)</f>
        <v>43690</v>
      </c>
      <c r="F25" s="45">
        <f t="shared" si="5"/>
        <v>0</v>
      </c>
      <c r="G25" s="80" t="s">
        <v>40</v>
      </c>
      <c r="H25" s="75"/>
      <c r="I25" s="75">
        <f>IF(H25&gt;0,SUM(H$7:H25)-SUM(G$7:G25),0)</f>
        <v>0</v>
      </c>
      <c r="J25" s="45">
        <f t="shared" si="6"/>
        <v>0</v>
      </c>
      <c r="K25" s="75"/>
      <c r="L25" s="75"/>
      <c r="M25" s="75">
        <f>IF(L25&gt;0,SUM(L$7:L25)-SUM(K$7:K25),0)</f>
        <v>0</v>
      </c>
      <c r="N25" s="45">
        <f t="shared" si="7"/>
        <v>0</v>
      </c>
      <c r="O25" s="35">
        <f t="shared" si="0"/>
        <v>0</v>
      </c>
      <c r="P25" s="35">
        <f t="shared" si="0"/>
        <v>11789</v>
      </c>
      <c r="Q25" s="35">
        <f>IF(P25&gt;0,SUM(P$7:P25)-SUM(O$7:O25),0)</f>
        <v>-8133</v>
      </c>
      <c r="R25" s="45">
        <f t="shared" si="8"/>
        <v>0</v>
      </c>
      <c r="T25" s="47">
        <f t="shared" si="9"/>
        <v>40835</v>
      </c>
      <c r="U25" s="48" t="s">
        <v>26</v>
      </c>
      <c r="V25" s="76"/>
      <c r="W25" s="76">
        <v>1571</v>
      </c>
      <c r="X25" s="76">
        <f>IF(W25&gt;0,SUM(W$7:W25)-SUM(V$7:V25),0)</f>
        <v>-1707</v>
      </c>
      <c r="Y25" s="60">
        <f t="shared" si="10"/>
        <v>0</v>
      </c>
      <c r="Z25" s="80" t="s">
        <v>40</v>
      </c>
      <c r="AA25" s="76"/>
      <c r="AB25" s="76">
        <f>IF(AA25&gt;0,SUM(AA$7:AA25)-SUM(Z$7:Z25),0)</f>
        <v>0</v>
      </c>
      <c r="AC25" s="60">
        <f t="shared" si="11"/>
        <v>0</v>
      </c>
      <c r="AD25" s="76"/>
      <c r="AE25" s="76">
        <v>4249</v>
      </c>
      <c r="AF25" s="76">
        <f>IF(AE25&gt;0,SUM(AE$7:AE25)-SUM(AD$7:AD25),0)</f>
        <v>-29661</v>
      </c>
      <c r="AG25" s="60">
        <f t="shared" si="12"/>
        <v>0</v>
      </c>
      <c r="AH25" s="41">
        <f t="shared" si="1"/>
        <v>0</v>
      </c>
      <c r="AI25" s="41">
        <f t="shared" si="1"/>
        <v>5820</v>
      </c>
      <c r="AJ25" s="41">
        <f>IF(AI25&gt;0,SUM(AI$7:AI25)-SUM(AH$7:AH25),0)</f>
        <v>-31368</v>
      </c>
      <c r="AK25" s="60">
        <f t="shared" si="13"/>
        <v>0</v>
      </c>
      <c r="AM25" s="47">
        <f t="shared" si="14"/>
        <v>40835</v>
      </c>
      <c r="AN25" s="54" t="s">
        <v>26</v>
      </c>
      <c r="AO25" s="75"/>
      <c r="AP25" s="75"/>
      <c r="AQ25" s="75">
        <f>IF(AP25&gt;0,SUM(AP$7:AP25)-SUM(AO$7:AO25),0)</f>
        <v>0</v>
      </c>
      <c r="AR25" s="45">
        <f t="shared" si="15"/>
        <v>0</v>
      </c>
      <c r="AS25" s="80" t="s">
        <v>40</v>
      </c>
      <c r="AT25" s="75"/>
      <c r="AU25" s="75">
        <f>IF(AT25&gt;0,SUM(AT$7:AT25)-SUM(AS$7:AS25),0)</f>
        <v>0</v>
      </c>
      <c r="AV25" s="45">
        <f t="shared" si="16"/>
        <v>0</v>
      </c>
      <c r="AW25" s="75"/>
      <c r="AX25" s="75"/>
      <c r="AY25" s="75">
        <f>IF(AX25&gt;0,SUM(AX$7:AX25)-SUM(AW$7:AW25),0)</f>
        <v>0</v>
      </c>
      <c r="AZ25" s="45">
        <f t="shared" si="24"/>
        <v>0</v>
      </c>
      <c r="BA25" s="35">
        <f t="shared" si="2"/>
        <v>0</v>
      </c>
      <c r="BB25" s="35">
        <f t="shared" si="2"/>
        <v>0</v>
      </c>
      <c r="BC25" s="35">
        <f>IF(BB25&gt;0,SUM(BB$7:BB25)-SUM(BA$7:BA25),0)</f>
        <v>0</v>
      </c>
      <c r="BD25" s="45">
        <f t="shared" si="17"/>
        <v>0</v>
      </c>
      <c r="BF25" s="47">
        <f t="shared" si="18"/>
        <v>40835</v>
      </c>
      <c r="BG25" s="54" t="s">
        <v>26</v>
      </c>
      <c r="BH25" s="75"/>
      <c r="BI25" s="75"/>
      <c r="BJ25" s="75">
        <f>IF(BI25&gt;0,SUM(BI$7:BI25)-SUM(BH$7:BH25),0)</f>
        <v>0</v>
      </c>
      <c r="BK25" s="45">
        <f t="shared" si="19"/>
        <v>0</v>
      </c>
      <c r="BL25" s="75"/>
      <c r="BM25" s="75"/>
      <c r="BN25" s="75">
        <f>IF(BM25&gt;0,SUM(BM$7:BM25)-SUM(BL$7:BL25),0)</f>
        <v>0</v>
      </c>
      <c r="BO25" s="45">
        <f t="shared" si="20"/>
        <v>0</v>
      </c>
      <c r="BP25" s="75"/>
      <c r="BQ25" s="75"/>
      <c r="BR25" s="75">
        <f>IF(BQ25&gt;0,SUM(BQ$7:BQ25)-SUM(BP$7:BP25),0)</f>
        <v>0</v>
      </c>
      <c r="BS25" s="45">
        <f t="shared" si="25"/>
        <v>0</v>
      </c>
      <c r="BT25" s="35">
        <f t="shared" si="3"/>
        <v>0</v>
      </c>
      <c r="BU25" s="35">
        <f t="shared" si="3"/>
        <v>0</v>
      </c>
      <c r="BV25" s="35">
        <f>IF(BU25&gt;0,SUM(BU$7:BU25)-SUM(BT$7:BT25),0)</f>
        <v>0</v>
      </c>
      <c r="BW25" s="45">
        <f t="shared" si="21"/>
        <v>0</v>
      </c>
      <c r="BY25" s="47">
        <f t="shared" si="22"/>
        <v>40835</v>
      </c>
      <c r="BZ25" s="48" t="s">
        <v>26</v>
      </c>
      <c r="CA25" s="75"/>
      <c r="CB25" s="75"/>
      <c r="CC25" s="75">
        <f>IF(CB25&gt;0,SUM(CB$7:CB25)-SUM(CA$7:CA25),0)</f>
        <v>0</v>
      </c>
      <c r="CD25" s="45">
        <f t="shared" si="23"/>
        <v>0</v>
      </c>
    </row>
    <row r="26" spans="1:82" x14ac:dyDescent="0.25">
      <c r="A26" s="47">
        <f t="shared" si="4"/>
        <v>40836</v>
      </c>
      <c r="B26" s="54" t="s">
        <v>27</v>
      </c>
      <c r="C26" s="75">
        <v>19000</v>
      </c>
      <c r="D26" s="75">
        <v>18163</v>
      </c>
      <c r="E26" s="75">
        <f>IF(D26&gt;0,SUM(D$7:D26)-SUM(C$7:C26),0)</f>
        <v>42853</v>
      </c>
      <c r="F26" s="45">
        <f t="shared" si="5"/>
        <v>0.95594736842105266</v>
      </c>
      <c r="G26" s="80" t="s">
        <v>40</v>
      </c>
      <c r="H26" s="75"/>
      <c r="I26" s="75">
        <f>IF(H26&gt;0,SUM(H$7:H26)-SUM(G$7:G26),0)</f>
        <v>0</v>
      </c>
      <c r="J26" s="45">
        <f t="shared" si="6"/>
        <v>0</v>
      </c>
      <c r="K26" s="75">
        <v>17000</v>
      </c>
      <c r="L26" s="75">
        <v>6790</v>
      </c>
      <c r="M26" s="75">
        <f>IF(L26&gt;0,SUM(L$7:L26)-SUM(K$7:K26),0)</f>
        <v>-62033</v>
      </c>
      <c r="N26" s="45">
        <f t="shared" si="7"/>
        <v>0.39941176470588236</v>
      </c>
      <c r="O26" s="35">
        <f t="shared" si="0"/>
        <v>36000</v>
      </c>
      <c r="P26" s="35">
        <f t="shared" si="0"/>
        <v>24953</v>
      </c>
      <c r="Q26" s="35">
        <f>IF(P26&gt;0,SUM(P$7:P26)-SUM(O$7:O26),0)</f>
        <v>-19180</v>
      </c>
      <c r="R26" s="45">
        <f t="shared" si="8"/>
        <v>0.69313888888888886</v>
      </c>
      <c r="T26" s="47">
        <f t="shared" si="9"/>
        <v>40836</v>
      </c>
      <c r="U26" s="48" t="s">
        <v>27</v>
      </c>
      <c r="V26" s="76">
        <v>17000</v>
      </c>
      <c r="W26" s="76">
        <v>14265</v>
      </c>
      <c r="X26" s="76">
        <f>IF(W26&gt;0,SUM(W$7:W26)-SUM(V$7:V26),0)</f>
        <v>-4442</v>
      </c>
      <c r="Y26" s="60">
        <f t="shared" si="10"/>
        <v>0.83911764705882352</v>
      </c>
      <c r="Z26" s="80" t="s">
        <v>40</v>
      </c>
      <c r="AA26" s="76"/>
      <c r="AB26" s="76">
        <f>IF(AA26&gt;0,SUM(AA$7:AA26)-SUM(Z$7:Z26),0)</f>
        <v>0</v>
      </c>
      <c r="AC26" s="60">
        <f t="shared" si="11"/>
        <v>0</v>
      </c>
      <c r="AD26" s="76">
        <v>17000</v>
      </c>
      <c r="AE26" s="76">
        <v>11922</v>
      </c>
      <c r="AF26" s="76">
        <f>IF(AE26&gt;0,SUM(AE$7:AE26)-SUM(AD$7:AD26),0)</f>
        <v>-34739</v>
      </c>
      <c r="AG26" s="60">
        <f t="shared" si="12"/>
        <v>0.70129411764705885</v>
      </c>
      <c r="AH26" s="41">
        <f t="shared" si="1"/>
        <v>34000</v>
      </c>
      <c r="AI26" s="41">
        <f t="shared" si="1"/>
        <v>26187</v>
      </c>
      <c r="AJ26" s="41">
        <f>IF(AI26&gt;0,SUM(AI$7:AI26)-SUM(AH$7:AH26),0)</f>
        <v>-39181</v>
      </c>
      <c r="AK26" s="60">
        <f t="shared" si="13"/>
        <v>0.77020588235294118</v>
      </c>
      <c r="AM26" s="47">
        <f t="shared" si="14"/>
        <v>40836</v>
      </c>
      <c r="AN26" s="54" t="s">
        <v>27</v>
      </c>
      <c r="AO26" s="75">
        <v>14000</v>
      </c>
      <c r="AP26" s="75">
        <v>14329</v>
      </c>
      <c r="AQ26" s="75">
        <f>IF(AP26&gt;0,SUM(AP$7:AP26)-SUM(AO$7:AO26),0)</f>
        <v>18674</v>
      </c>
      <c r="AR26" s="45">
        <f t="shared" si="15"/>
        <v>1.0235000000000001</v>
      </c>
      <c r="AS26" s="80" t="s">
        <v>40</v>
      </c>
      <c r="AT26" s="75"/>
      <c r="AU26" s="75">
        <f>IF(AT26&gt;0,SUM(AT$7:AT26)-SUM(AS$7:AS26),0)</f>
        <v>0</v>
      </c>
      <c r="AV26" s="45">
        <f t="shared" si="16"/>
        <v>0</v>
      </c>
      <c r="AW26" s="75">
        <v>13000</v>
      </c>
      <c r="AX26" s="75">
        <v>10787</v>
      </c>
      <c r="AY26" s="75">
        <f>IF(AX26&gt;0,SUM(AX$7:AX26)-SUM(AW$7:AW26),0)</f>
        <v>-30342</v>
      </c>
      <c r="AZ26" s="45">
        <f t="shared" si="24"/>
        <v>0.82976923076923081</v>
      </c>
      <c r="BA26" s="35">
        <f t="shared" si="2"/>
        <v>27000</v>
      </c>
      <c r="BB26" s="35">
        <f t="shared" si="2"/>
        <v>25116</v>
      </c>
      <c r="BC26" s="35">
        <f>IF(BB26&gt;0,SUM(BB$7:BB26)-SUM(BA$7:BA26),0)</f>
        <v>-11668</v>
      </c>
      <c r="BD26" s="45">
        <f t="shared" si="17"/>
        <v>0.93022222222222217</v>
      </c>
      <c r="BF26" s="47">
        <f t="shared" si="18"/>
        <v>40836</v>
      </c>
      <c r="BG26" s="54" t="s">
        <v>27</v>
      </c>
      <c r="BH26" s="75">
        <v>20000</v>
      </c>
      <c r="BI26" s="75">
        <v>21407</v>
      </c>
      <c r="BJ26" s="75">
        <f>IF(BI26&gt;0,SUM(BI$7:BI26)-SUM(BH$7:BH26),0)</f>
        <v>5368</v>
      </c>
      <c r="BK26" s="45">
        <f t="shared" si="19"/>
        <v>1.0703499999999999</v>
      </c>
      <c r="BL26" s="75">
        <v>6900</v>
      </c>
      <c r="BM26" s="75">
        <v>3715</v>
      </c>
      <c r="BN26" s="75">
        <f>IF(BM26&gt;0,SUM(BM$7:BM26)-SUM(BL$7:BL26),0)</f>
        <v>-16846</v>
      </c>
      <c r="BO26" s="45">
        <f t="shared" si="20"/>
        <v>0.53840579710144931</v>
      </c>
      <c r="BP26" s="75">
        <v>7100</v>
      </c>
      <c r="BQ26" s="75">
        <v>9428</v>
      </c>
      <c r="BR26" s="75">
        <f>IF(BQ26&gt;0,SUM(BQ$7:BQ26)-SUM(BP$7:BP26),0)</f>
        <v>-27642</v>
      </c>
      <c r="BS26" s="45">
        <f t="shared" si="25"/>
        <v>1.3278873239436619</v>
      </c>
      <c r="BT26" s="35">
        <f t="shared" si="3"/>
        <v>34000</v>
      </c>
      <c r="BU26" s="35">
        <f t="shared" si="3"/>
        <v>34550</v>
      </c>
      <c r="BV26" s="35">
        <f>IF(BU26&gt;0,SUM(BU$7:BU26)-SUM(BT$7:BT26),0)</f>
        <v>-39120</v>
      </c>
      <c r="BW26" s="45">
        <f t="shared" si="21"/>
        <v>1.0161764705882352</v>
      </c>
      <c r="BY26" s="47">
        <f t="shared" si="22"/>
        <v>40836</v>
      </c>
      <c r="BZ26" s="48" t="s">
        <v>27</v>
      </c>
      <c r="CA26" s="75">
        <v>3500</v>
      </c>
      <c r="CB26" s="75">
        <v>1</v>
      </c>
      <c r="CC26" s="75">
        <f>IF(CB26&gt;0,SUM(CB$7:CB26)-SUM(CA$7:CA26),0)</f>
        <v>19840</v>
      </c>
      <c r="CD26" s="45">
        <f t="shared" si="23"/>
        <v>2.8571428571428574E-4</v>
      </c>
    </row>
    <row r="27" spans="1:82" x14ac:dyDescent="0.25">
      <c r="A27" s="47">
        <f t="shared" si="4"/>
        <v>40837</v>
      </c>
      <c r="B27" s="54" t="s">
        <v>28</v>
      </c>
      <c r="C27" s="75">
        <v>19000</v>
      </c>
      <c r="D27" s="75">
        <v>19479</v>
      </c>
      <c r="E27" s="75">
        <f>IF(D27&gt;0,SUM(D$7:D27)-SUM(C$7:C27),0)</f>
        <v>43332</v>
      </c>
      <c r="F27" s="45">
        <f t="shared" si="5"/>
        <v>1.0252105263157896</v>
      </c>
      <c r="G27" s="80" t="s">
        <v>40</v>
      </c>
      <c r="H27" s="75"/>
      <c r="I27" s="75">
        <f>IF(H27&gt;0,SUM(H$7:H27)-SUM(G$7:G27),0)</f>
        <v>0</v>
      </c>
      <c r="J27" s="45">
        <f t="shared" si="6"/>
        <v>0</v>
      </c>
      <c r="K27" s="75">
        <v>17000</v>
      </c>
      <c r="L27" s="75">
        <v>10245</v>
      </c>
      <c r="M27" s="75">
        <f>IF(L27&gt;0,SUM(L$7:L27)-SUM(K$7:K27),0)</f>
        <v>-68788</v>
      </c>
      <c r="N27" s="45">
        <f t="shared" si="7"/>
        <v>0.60264705882352942</v>
      </c>
      <c r="O27" s="35">
        <f t="shared" si="0"/>
        <v>36000</v>
      </c>
      <c r="P27" s="35">
        <f t="shared" si="0"/>
        <v>29724</v>
      </c>
      <c r="Q27" s="35">
        <f>IF(P27&gt;0,SUM(P$7:P27)-SUM(O$7:O27),0)</f>
        <v>-25456</v>
      </c>
      <c r="R27" s="45">
        <f t="shared" si="8"/>
        <v>0.82566666666666666</v>
      </c>
      <c r="T27" s="47">
        <f t="shared" si="9"/>
        <v>40837</v>
      </c>
      <c r="U27" s="48" t="s">
        <v>28</v>
      </c>
      <c r="V27" s="76">
        <v>17000</v>
      </c>
      <c r="W27" s="76">
        <v>15588</v>
      </c>
      <c r="X27" s="76">
        <f>IF(W27&gt;0,SUM(W$7:W27)-SUM(V$7:V27),0)</f>
        <v>-5854</v>
      </c>
      <c r="Y27" s="60">
        <f t="shared" si="10"/>
        <v>0.91694117647058826</v>
      </c>
      <c r="Z27" s="80" t="s">
        <v>40</v>
      </c>
      <c r="AA27" s="76"/>
      <c r="AB27" s="76">
        <f>IF(AA27&gt;0,SUM(AA$7:AA27)-SUM(Z$7:Z27),0)</f>
        <v>0</v>
      </c>
      <c r="AC27" s="60">
        <f t="shared" si="11"/>
        <v>0</v>
      </c>
      <c r="AD27" s="76">
        <v>17000</v>
      </c>
      <c r="AE27" s="76">
        <v>12565</v>
      </c>
      <c r="AF27" s="76">
        <f>IF(AE27&gt;0,SUM(AE$7:AE27)-SUM(AD$7:AD27),0)</f>
        <v>-39174</v>
      </c>
      <c r="AG27" s="60">
        <f t="shared" si="12"/>
        <v>0.73911764705882355</v>
      </c>
      <c r="AH27" s="41">
        <f t="shared" si="1"/>
        <v>34000</v>
      </c>
      <c r="AI27" s="41">
        <f t="shared" si="1"/>
        <v>28153</v>
      </c>
      <c r="AJ27" s="41">
        <f>IF(AI27&gt;0,SUM(AI$7:AI27)-SUM(AH$7:AH27),0)</f>
        <v>-45028</v>
      </c>
      <c r="AK27" s="60">
        <f t="shared" si="13"/>
        <v>0.8280294117647059</v>
      </c>
      <c r="AM27" s="47">
        <f t="shared" si="14"/>
        <v>40837</v>
      </c>
      <c r="AN27" s="54" t="s">
        <v>28</v>
      </c>
      <c r="AO27" s="75">
        <v>14000</v>
      </c>
      <c r="AP27" s="75">
        <v>15740</v>
      </c>
      <c r="AQ27" s="75">
        <f>IF(AP27&gt;0,SUM(AP$7:AP27)-SUM(AO$7:AO27),0)</f>
        <v>20414</v>
      </c>
      <c r="AR27" s="45">
        <f t="shared" si="15"/>
        <v>1.1242857142857143</v>
      </c>
      <c r="AS27" s="80" t="s">
        <v>40</v>
      </c>
      <c r="AT27" s="75"/>
      <c r="AU27" s="75">
        <f>IF(AT27&gt;0,SUM(AT$7:AT27)-SUM(AS$7:AS27),0)</f>
        <v>0</v>
      </c>
      <c r="AV27" s="45">
        <f t="shared" si="16"/>
        <v>0</v>
      </c>
      <c r="AW27" s="75">
        <v>13000</v>
      </c>
      <c r="AX27" s="75">
        <v>10477</v>
      </c>
      <c r="AY27" s="75">
        <f>IF(AX27&gt;0,SUM(AX$7:AX27)-SUM(AW$7:AW27),0)</f>
        <v>-32865</v>
      </c>
      <c r="AZ27" s="45">
        <f t="shared" si="24"/>
        <v>0.80592307692307696</v>
      </c>
      <c r="BA27" s="35">
        <f t="shared" si="2"/>
        <v>27000</v>
      </c>
      <c r="BB27" s="35">
        <f t="shared" si="2"/>
        <v>26217</v>
      </c>
      <c r="BC27" s="35">
        <f>IF(BB27&gt;0,SUM(BB$7:BB27)-SUM(BA$7:BA27),0)</f>
        <v>-12451</v>
      </c>
      <c r="BD27" s="45">
        <f t="shared" si="17"/>
        <v>0.97099999999999997</v>
      </c>
      <c r="BF27" s="47">
        <f t="shared" si="18"/>
        <v>40837</v>
      </c>
      <c r="BG27" s="54" t="s">
        <v>28</v>
      </c>
      <c r="BH27" s="75">
        <v>20000</v>
      </c>
      <c r="BI27" s="75">
        <v>20669</v>
      </c>
      <c r="BJ27" s="75">
        <f>IF(BI27&gt;0,SUM(BI$7:BI27)-SUM(BH$7:BH27),0)</f>
        <v>6037</v>
      </c>
      <c r="BK27" s="45">
        <f t="shared" si="19"/>
        <v>1.03345</v>
      </c>
      <c r="BL27" s="75">
        <v>6900</v>
      </c>
      <c r="BM27" s="75">
        <v>5552</v>
      </c>
      <c r="BN27" s="75">
        <f>IF(BM27&gt;0,SUM(BM$7:BM27)-SUM(BL$7:BL27),0)</f>
        <v>-18194</v>
      </c>
      <c r="BO27" s="45">
        <f t="shared" si="20"/>
        <v>0.80463768115942025</v>
      </c>
      <c r="BP27" s="75">
        <v>7100</v>
      </c>
      <c r="BQ27" s="75">
        <v>8625</v>
      </c>
      <c r="BR27" s="75">
        <f>IF(BQ27&gt;0,SUM(BQ$7:BQ27)-SUM(BP$7:BP27),0)</f>
        <v>-26117</v>
      </c>
      <c r="BS27" s="45">
        <f t="shared" si="25"/>
        <v>1.2147887323943662</v>
      </c>
      <c r="BT27" s="35">
        <f t="shared" si="3"/>
        <v>34000</v>
      </c>
      <c r="BU27" s="35">
        <f t="shared" si="3"/>
        <v>34846</v>
      </c>
      <c r="BV27" s="35">
        <f>IF(BU27&gt;0,SUM(BU$7:BU27)-SUM(BT$7:BT27),0)</f>
        <v>-38274</v>
      </c>
      <c r="BW27" s="45">
        <f t="shared" si="21"/>
        <v>1.0248823529411766</v>
      </c>
      <c r="BY27" s="47">
        <f t="shared" si="22"/>
        <v>40837</v>
      </c>
      <c r="BZ27" s="48" t="s">
        <v>28</v>
      </c>
      <c r="CA27" s="75">
        <v>3500</v>
      </c>
      <c r="CB27" s="75">
        <v>1</v>
      </c>
      <c r="CC27" s="75">
        <f>IF(CB27&gt;0,SUM(CB$7:CB27)-SUM(CA$7:CA27),0)</f>
        <v>16341</v>
      </c>
      <c r="CD27" s="45">
        <f t="shared" si="23"/>
        <v>2.8571428571428574E-4</v>
      </c>
    </row>
    <row r="28" spans="1:82" x14ac:dyDescent="0.25">
      <c r="A28" s="47">
        <f t="shared" si="4"/>
        <v>40838</v>
      </c>
      <c r="B28" s="54" t="s">
        <v>22</v>
      </c>
      <c r="C28" s="75">
        <v>19000</v>
      </c>
      <c r="D28" s="75">
        <v>29023</v>
      </c>
      <c r="E28" s="75">
        <f>IF(D28&gt;0,SUM(D$7:D28)-SUM(C$7:C28),0)</f>
        <v>53355</v>
      </c>
      <c r="F28" s="45">
        <f t="shared" si="5"/>
        <v>1.5275263157894736</v>
      </c>
      <c r="G28" s="80" t="s">
        <v>40</v>
      </c>
      <c r="H28" s="75"/>
      <c r="I28" s="75">
        <f>IF(H28&gt;0,SUM(H$7:H28)-SUM(G$7:G28),0)</f>
        <v>0</v>
      </c>
      <c r="J28" s="45">
        <f t="shared" si="6"/>
        <v>0</v>
      </c>
      <c r="K28" s="75">
        <v>17000</v>
      </c>
      <c r="L28" s="75">
        <v>14829</v>
      </c>
      <c r="M28" s="75">
        <f>IF(L28&gt;0,SUM(L$7:L28)-SUM(K$7:K28),0)</f>
        <v>-70959</v>
      </c>
      <c r="N28" s="45">
        <f t="shared" si="7"/>
        <v>0.87229411764705878</v>
      </c>
      <c r="O28" s="35">
        <f t="shared" si="0"/>
        <v>36000</v>
      </c>
      <c r="P28" s="35">
        <f t="shared" si="0"/>
        <v>43852</v>
      </c>
      <c r="Q28" s="35">
        <f>IF(P28&gt;0,SUM(P$7:P28)-SUM(O$7:O28),0)</f>
        <v>-17604</v>
      </c>
      <c r="R28" s="45">
        <f t="shared" si="8"/>
        <v>1.2181111111111111</v>
      </c>
      <c r="T28" s="47">
        <f t="shared" si="9"/>
        <v>40838</v>
      </c>
      <c r="U28" s="48" t="s">
        <v>22</v>
      </c>
      <c r="V28" s="76">
        <v>17000</v>
      </c>
      <c r="W28" s="76">
        <v>19220</v>
      </c>
      <c r="X28" s="76">
        <f>IF(W28&gt;0,SUM(W$7:W28)-SUM(V$7:V28),0)</f>
        <v>-3634</v>
      </c>
      <c r="Y28" s="60">
        <f t="shared" si="10"/>
        <v>1.1305882352941177</v>
      </c>
      <c r="Z28" s="80" t="s">
        <v>40</v>
      </c>
      <c r="AA28" s="76"/>
      <c r="AB28" s="76">
        <f>IF(AA28&gt;0,SUM(AA$7:AA28)-SUM(Z$7:Z28),0)</f>
        <v>0</v>
      </c>
      <c r="AC28" s="60">
        <f t="shared" si="11"/>
        <v>0</v>
      </c>
      <c r="AD28" s="76">
        <v>17000</v>
      </c>
      <c r="AE28" s="76">
        <v>17340</v>
      </c>
      <c r="AF28" s="76">
        <f>IF(AE28&gt;0,SUM(AE$7:AE28)-SUM(AD$7:AD28),0)</f>
        <v>-38834</v>
      </c>
      <c r="AG28" s="60">
        <f t="shared" si="12"/>
        <v>1.02</v>
      </c>
      <c r="AH28" s="41">
        <f t="shared" si="1"/>
        <v>34000</v>
      </c>
      <c r="AI28" s="41">
        <f t="shared" si="1"/>
        <v>36560</v>
      </c>
      <c r="AJ28" s="41">
        <f>IF(AI28&gt;0,SUM(AI$7:AI28)-SUM(AH$7:AH28),0)</f>
        <v>-42468</v>
      </c>
      <c r="AK28" s="60">
        <f t="shared" si="13"/>
        <v>1.0752941176470587</v>
      </c>
      <c r="AM28" s="47">
        <f t="shared" si="14"/>
        <v>40838</v>
      </c>
      <c r="AN28" s="54" t="s">
        <v>22</v>
      </c>
      <c r="AO28" s="75">
        <v>14000</v>
      </c>
      <c r="AP28" s="75">
        <v>12558</v>
      </c>
      <c r="AQ28" s="75">
        <f>IF(AP28&gt;0,SUM(AP$7:AP28)-SUM(AO$7:AO28),0)</f>
        <v>18972</v>
      </c>
      <c r="AR28" s="45">
        <f t="shared" si="15"/>
        <v>0.89700000000000002</v>
      </c>
      <c r="AS28" s="80" t="s">
        <v>40</v>
      </c>
      <c r="AT28" s="75"/>
      <c r="AU28" s="75">
        <f>IF(AT28&gt;0,SUM(AT$7:AT28)-SUM(AS$7:AS28),0)</f>
        <v>0</v>
      </c>
      <c r="AV28" s="45">
        <f t="shared" si="16"/>
        <v>0</v>
      </c>
      <c r="AW28" s="75">
        <v>13000</v>
      </c>
      <c r="AX28" s="75">
        <v>13232</v>
      </c>
      <c r="AY28" s="75">
        <f>IF(AX28&gt;0,SUM(AX$7:AX28)-SUM(AW$7:AW28),0)</f>
        <v>-32633</v>
      </c>
      <c r="AZ28" s="45">
        <f t="shared" si="24"/>
        <v>1.0178461538461538</v>
      </c>
      <c r="BA28" s="35">
        <f t="shared" si="2"/>
        <v>27000</v>
      </c>
      <c r="BB28" s="35">
        <f t="shared" si="2"/>
        <v>25790</v>
      </c>
      <c r="BC28" s="35">
        <f>IF(BB28&gt;0,SUM(BB$7:BB28)-SUM(BA$7:BA28),0)</f>
        <v>-13661</v>
      </c>
      <c r="BD28" s="45">
        <f t="shared" si="17"/>
        <v>0.95518518518518514</v>
      </c>
      <c r="BF28" s="47">
        <f t="shared" si="18"/>
        <v>40838</v>
      </c>
      <c r="BG28" s="54" t="s">
        <v>22</v>
      </c>
      <c r="BH28" s="75">
        <v>20000</v>
      </c>
      <c r="BI28" s="75">
        <v>20838</v>
      </c>
      <c r="BJ28" s="75">
        <f>IF(BI28&gt;0,SUM(BI$7:BI28)-SUM(BH$7:BH28),0)</f>
        <v>6875</v>
      </c>
      <c r="BK28" s="45">
        <f t="shared" si="19"/>
        <v>1.0419</v>
      </c>
      <c r="BL28" s="75">
        <v>6900</v>
      </c>
      <c r="BM28" s="75">
        <v>4957</v>
      </c>
      <c r="BN28" s="75">
        <f>IF(BM28&gt;0,SUM(BM$7:BM28)-SUM(BL$7:BL28),0)</f>
        <v>-20137</v>
      </c>
      <c r="BO28" s="45">
        <f t="shared" si="20"/>
        <v>0.71840579710144925</v>
      </c>
      <c r="BP28" s="75">
        <v>7100</v>
      </c>
      <c r="BQ28" s="75">
        <v>6868</v>
      </c>
      <c r="BR28" s="75">
        <f>IF(BQ28&gt;0,SUM(BQ$7:BQ28)-SUM(BP$7:BP28),0)</f>
        <v>-26349</v>
      </c>
      <c r="BS28" s="45">
        <f t="shared" si="25"/>
        <v>0.96732394366197183</v>
      </c>
      <c r="BT28" s="35">
        <f t="shared" si="3"/>
        <v>34000</v>
      </c>
      <c r="BU28" s="35">
        <f t="shared" si="3"/>
        <v>32663</v>
      </c>
      <c r="BV28" s="35">
        <f>IF(BU28&gt;0,SUM(BU$7:BU28)-SUM(BT$7:BT28),0)</f>
        <v>-39611</v>
      </c>
      <c r="BW28" s="45">
        <f t="shared" si="21"/>
        <v>0.96067647058823524</v>
      </c>
      <c r="BY28" s="47">
        <f t="shared" si="22"/>
        <v>40838</v>
      </c>
      <c r="BZ28" s="48" t="s">
        <v>22</v>
      </c>
      <c r="CA28" s="75">
        <v>3500</v>
      </c>
      <c r="CB28" s="75">
        <v>1</v>
      </c>
      <c r="CC28" s="75">
        <f>IF(CB28&gt;0,SUM(CB$7:CB28)-SUM(CA$7:CA28),0)</f>
        <v>12842</v>
      </c>
      <c r="CD28" s="45">
        <f t="shared" si="23"/>
        <v>2.8571428571428574E-4</v>
      </c>
    </row>
    <row r="29" spans="1:82" x14ac:dyDescent="0.25">
      <c r="A29" s="47">
        <f t="shared" si="4"/>
        <v>40839</v>
      </c>
      <c r="B29" s="54" t="s">
        <v>23</v>
      </c>
      <c r="C29" s="75">
        <v>19000</v>
      </c>
      <c r="D29" s="75">
        <v>27411</v>
      </c>
      <c r="E29" s="75">
        <f>IF(D29&gt;0,SUM(D$7:D29)-SUM(C$7:C29),0)</f>
        <v>61766</v>
      </c>
      <c r="F29" s="45">
        <f t="shared" si="5"/>
        <v>1.4426842105263158</v>
      </c>
      <c r="G29" s="80" t="s">
        <v>40</v>
      </c>
      <c r="H29" s="75"/>
      <c r="I29" s="75">
        <f>IF(H29&gt;0,SUM(H$7:H29)-SUM(G$7:G29),0)</f>
        <v>0</v>
      </c>
      <c r="J29" s="45">
        <f t="shared" si="6"/>
        <v>0</v>
      </c>
      <c r="K29" s="75">
        <v>17000</v>
      </c>
      <c r="L29" s="75">
        <v>18381</v>
      </c>
      <c r="M29" s="75">
        <f>IF(L29&gt;0,SUM(L$7:L29)-SUM(K$7:K29),0)</f>
        <v>-69578</v>
      </c>
      <c r="N29" s="45">
        <f t="shared" si="7"/>
        <v>1.0812352941176471</v>
      </c>
      <c r="O29" s="35">
        <f t="shared" si="0"/>
        <v>36000</v>
      </c>
      <c r="P29" s="35">
        <f t="shared" si="0"/>
        <v>45792</v>
      </c>
      <c r="Q29" s="35">
        <f>IF(P29&gt;0,SUM(P$7:P29)-SUM(O$7:O29),0)</f>
        <v>-7812</v>
      </c>
      <c r="R29" s="45">
        <f t="shared" si="8"/>
        <v>1.272</v>
      </c>
      <c r="T29" s="47">
        <f t="shared" si="9"/>
        <v>40839</v>
      </c>
      <c r="U29" s="48" t="s">
        <v>23</v>
      </c>
      <c r="V29" s="76">
        <v>17000</v>
      </c>
      <c r="W29" s="76">
        <v>18253</v>
      </c>
      <c r="X29" s="76">
        <f>IF(W29&gt;0,SUM(W$7:W29)-SUM(V$7:V29),0)</f>
        <v>-2381</v>
      </c>
      <c r="Y29" s="60">
        <f t="shared" si="10"/>
        <v>1.0737058823529411</v>
      </c>
      <c r="Z29" s="80" t="s">
        <v>40</v>
      </c>
      <c r="AA29" s="76"/>
      <c r="AB29" s="76">
        <f>IF(AA29&gt;0,SUM(AA$7:AA29)-SUM(Z$7:Z29),0)</f>
        <v>0</v>
      </c>
      <c r="AC29" s="60">
        <f t="shared" si="11"/>
        <v>0</v>
      </c>
      <c r="AD29" s="76">
        <v>17000</v>
      </c>
      <c r="AE29" s="76">
        <v>17047</v>
      </c>
      <c r="AF29" s="76">
        <f>IF(AE29&gt;0,SUM(AE$7:AE29)-SUM(AD$7:AD29),0)</f>
        <v>-38787</v>
      </c>
      <c r="AG29" s="60">
        <f t="shared" si="12"/>
        <v>1.002764705882353</v>
      </c>
      <c r="AH29" s="41">
        <f t="shared" si="1"/>
        <v>34000</v>
      </c>
      <c r="AI29" s="41">
        <f t="shared" si="1"/>
        <v>35300</v>
      </c>
      <c r="AJ29" s="41">
        <f>IF(AI29&gt;0,SUM(AI$7:AI29)-SUM(AH$7:AH29),0)</f>
        <v>-41168</v>
      </c>
      <c r="AK29" s="60">
        <f t="shared" si="13"/>
        <v>1.0382352941176471</v>
      </c>
      <c r="AM29" s="47">
        <f t="shared" si="14"/>
        <v>40839</v>
      </c>
      <c r="AN29" s="54" t="s">
        <v>23</v>
      </c>
      <c r="AO29" s="75">
        <v>14000</v>
      </c>
      <c r="AP29" s="75">
        <v>14151</v>
      </c>
      <c r="AQ29" s="75">
        <f>IF(AP29&gt;0,SUM(AP$7:AP29)-SUM(AO$7:AO29),0)</f>
        <v>19123</v>
      </c>
      <c r="AR29" s="45">
        <f t="shared" si="15"/>
        <v>1.0107857142857142</v>
      </c>
      <c r="AS29" s="80" t="s">
        <v>40</v>
      </c>
      <c r="AT29" s="75"/>
      <c r="AU29" s="75">
        <f>IF(AT29&gt;0,SUM(AT$7:AT29)-SUM(AS$7:AS29),0)</f>
        <v>0</v>
      </c>
      <c r="AV29" s="45">
        <f t="shared" si="16"/>
        <v>0</v>
      </c>
      <c r="AW29" s="75">
        <v>13000</v>
      </c>
      <c r="AX29" s="75">
        <v>13145</v>
      </c>
      <c r="AY29" s="75">
        <f>IF(AX29&gt;0,SUM(AX$7:AX29)-SUM(AW$7:AW29),0)</f>
        <v>-32488</v>
      </c>
      <c r="AZ29" s="45">
        <f t="shared" si="24"/>
        <v>1.0111538461538461</v>
      </c>
      <c r="BA29" s="35">
        <f t="shared" si="2"/>
        <v>27000</v>
      </c>
      <c r="BB29" s="35">
        <f t="shared" si="2"/>
        <v>27296</v>
      </c>
      <c r="BC29" s="35">
        <f>IF(BB29&gt;0,SUM(BB$7:BB29)-SUM(BA$7:BA29),0)</f>
        <v>-13365</v>
      </c>
      <c r="BD29" s="45">
        <f t="shared" si="17"/>
        <v>1.0109629629629631</v>
      </c>
      <c r="BF29" s="47">
        <f t="shared" si="18"/>
        <v>40839</v>
      </c>
      <c r="BG29" s="54" t="s">
        <v>23</v>
      </c>
      <c r="BH29" s="75">
        <v>20000</v>
      </c>
      <c r="BI29" s="75">
        <v>22325</v>
      </c>
      <c r="BJ29" s="75">
        <f>IF(BI29&gt;0,SUM(BI$7:BI29)-SUM(BH$7:BH29),0)</f>
        <v>9200</v>
      </c>
      <c r="BK29" s="45">
        <f t="shared" si="19"/>
        <v>1.11625</v>
      </c>
      <c r="BL29" s="75">
        <v>6900</v>
      </c>
      <c r="BM29" s="75">
        <v>4975</v>
      </c>
      <c r="BN29" s="75">
        <f>IF(BM29&gt;0,SUM(BM$7:BM29)-SUM(BL$7:BL29),0)</f>
        <v>-22062</v>
      </c>
      <c r="BO29" s="45">
        <f t="shared" si="20"/>
        <v>0.72101449275362317</v>
      </c>
      <c r="BP29" s="75">
        <v>7100</v>
      </c>
      <c r="BQ29" s="75">
        <v>3049</v>
      </c>
      <c r="BR29" s="75">
        <f>IF(BQ29&gt;0,SUM(BQ$7:BQ29)-SUM(BP$7:BP29),0)</f>
        <v>-30400</v>
      </c>
      <c r="BS29" s="45">
        <f t="shared" si="25"/>
        <v>0.42943661971830988</v>
      </c>
      <c r="BT29" s="35">
        <f t="shared" si="3"/>
        <v>34000</v>
      </c>
      <c r="BU29" s="35">
        <f t="shared" si="3"/>
        <v>30349</v>
      </c>
      <c r="BV29" s="35">
        <f>IF(BU29&gt;0,SUM(BU$7:BU29)-SUM(BT$7:BT29),0)</f>
        <v>-43262</v>
      </c>
      <c r="BW29" s="45">
        <f t="shared" si="21"/>
        <v>0.89261764705882352</v>
      </c>
      <c r="BY29" s="47">
        <f t="shared" si="22"/>
        <v>40839</v>
      </c>
      <c r="BZ29" s="48" t="s">
        <v>23</v>
      </c>
      <c r="CA29" s="75">
        <v>3500</v>
      </c>
      <c r="CB29" s="75">
        <v>1</v>
      </c>
      <c r="CC29" s="75">
        <f>IF(CB29&gt;0,SUM(CB$7:CB29)-SUM(CA$7:CA29),0)</f>
        <v>9343</v>
      </c>
      <c r="CD29" s="45">
        <f t="shared" si="23"/>
        <v>2.8571428571428574E-4</v>
      </c>
    </row>
    <row r="30" spans="1:82" x14ac:dyDescent="0.25">
      <c r="A30" s="47">
        <f t="shared" si="4"/>
        <v>40840</v>
      </c>
      <c r="B30" s="54" t="s">
        <v>24</v>
      </c>
      <c r="C30" s="75">
        <v>19000</v>
      </c>
      <c r="D30" s="75">
        <v>25278</v>
      </c>
      <c r="E30" s="75">
        <f>IF(D30&gt;0,SUM(D$7:D30)-SUM(C$7:C30),0)</f>
        <v>68044</v>
      </c>
      <c r="F30" s="45">
        <f t="shared" si="5"/>
        <v>1.3304210526315789</v>
      </c>
      <c r="G30" s="80" t="s">
        <v>40</v>
      </c>
      <c r="H30" s="75"/>
      <c r="I30" s="75">
        <f>IF(H30&gt;0,SUM(H$7:H30)-SUM(G$7:G30),0)</f>
        <v>0</v>
      </c>
      <c r="J30" s="45">
        <f t="shared" si="6"/>
        <v>0</v>
      </c>
      <c r="K30" s="75">
        <v>17000</v>
      </c>
      <c r="L30" s="75">
        <v>14579</v>
      </c>
      <c r="M30" s="75">
        <f>IF(L30&gt;0,SUM(L$7:L30)-SUM(K$7:K30),0)</f>
        <v>-71999</v>
      </c>
      <c r="N30" s="45">
        <f t="shared" si="7"/>
        <v>0.85758823529411765</v>
      </c>
      <c r="O30" s="35">
        <f t="shared" si="0"/>
        <v>36000</v>
      </c>
      <c r="P30" s="35">
        <f t="shared" si="0"/>
        <v>39857</v>
      </c>
      <c r="Q30" s="35">
        <f>IF(P30&gt;0,SUM(P$7:P30)-SUM(O$7:O30),0)</f>
        <v>-3955</v>
      </c>
      <c r="R30" s="45">
        <f t="shared" si="8"/>
        <v>1.1071388888888889</v>
      </c>
      <c r="T30" s="47">
        <f t="shared" si="9"/>
        <v>40840</v>
      </c>
      <c r="U30" s="48" t="s">
        <v>24</v>
      </c>
      <c r="V30" s="76">
        <v>17000</v>
      </c>
      <c r="W30" s="76">
        <v>16560</v>
      </c>
      <c r="X30" s="76">
        <f>IF(W30&gt;0,SUM(W$7:W30)-SUM(V$7:V30),0)</f>
        <v>-2821</v>
      </c>
      <c r="Y30" s="60">
        <f t="shared" si="10"/>
        <v>0.97411764705882353</v>
      </c>
      <c r="Z30" s="80" t="s">
        <v>40</v>
      </c>
      <c r="AA30" s="76"/>
      <c r="AB30" s="76">
        <f>IF(AA30&gt;0,SUM(AA$7:AA30)-SUM(Z$7:Z30),0)</f>
        <v>0</v>
      </c>
      <c r="AC30" s="60">
        <f t="shared" si="11"/>
        <v>0</v>
      </c>
      <c r="AD30" s="76">
        <v>17000</v>
      </c>
      <c r="AE30" s="76">
        <v>15813</v>
      </c>
      <c r="AF30" s="76">
        <f>IF(AE30&gt;0,SUM(AE$7:AE30)-SUM(AD$7:AD30),0)</f>
        <v>-39974</v>
      </c>
      <c r="AG30" s="60">
        <f t="shared" si="12"/>
        <v>0.93017647058823527</v>
      </c>
      <c r="AH30" s="41">
        <f t="shared" si="1"/>
        <v>34000</v>
      </c>
      <c r="AI30" s="41">
        <f t="shared" si="1"/>
        <v>32373</v>
      </c>
      <c r="AJ30" s="41">
        <f>IF(AI30&gt;0,SUM(AI$7:AI30)-SUM(AH$7:AH30),0)</f>
        <v>-42795</v>
      </c>
      <c r="AK30" s="60">
        <f t="shared" si="13"/>
        <v>0.95214705882352946</v>
      </c>
      <c r="AM30" s="47">
        <f t="shared" si="14"/>
        <v>40840</v>
      </c>
      <c r="AN30" s="54" t="s">
        <v>24</v>
      </c>
      <c r="AO30" s="75">
        <v>14000</v>
      </c>
      <c r="AP30" s="75">
        <v>15872</v>
      </c>
      <c r="AQ30" s="75">
        <f>IF(AP30&gt;0,SUM(AP$7:AP30)-SUM(AO$7:AO30),0)</f>
        <v>20995</v>
      </c>
      <c r="AR30" s="45">
        <f t="shared" si="15"/>
        <v>1.1337142857142857</v>
      </c>
      <c r="AS30" s="80" t="s">
        <v>40</v>
      </c>
      <c r="AT30" s="75"/>
      <c r="AU30" s="75">
        <f>IF(AT30&gt;0,SUM(AT$7:AT30)-SUM(AS$7:AS30),0)</f>
        <v>0</v>
      </c>
      <c r="AV30" s="45">
        <f t="shared" si="16"/>
        <v>0</v>
      </c>
      <c r="AW30" s="75">
        <v>13000</v>
      </c>
      <c r="AX30" s="75">
        <v>13236</v>
      </c>
      <c r="AY30" s="75">
        <f>IF(AX30&gt;0,SUM(AX$7:AX30)-SUM(AW$7:AW30),0)</f>
        <v>-32252</v>
      </c>
      <c r="AZ30" s="45">
        <f t="shared" si="24"/>
        <v>1.0181538461538462</v>
      </c>
      <c r="BA30" s="35">
        <f t="shared" si="2"/>
        <v>27000</v>
      </c>
      <c r="BB30" s="35">
        <f t="shared" si="2"/>
        <v>29108</v>
      </c>
      <c r="BC30" s="35">
        <f>IF(BB30&gt;0,SUM(BB$7:BB30)-SUM(BA$7:BA30),0)</f>
        <v>-11257</v>
      </c>
      <c r="BD30" s="45">
        <f t="shared" si="17"/>
        <v>1.0780740740740742</v>
      </c>
      <c r="BF30" s="47">
        <f t="shared" si="18"/>
        <v>40840</v>
      </c>
      <c r="BG30" s="54" t="s">
        <v>24</v>
      </c>
      <c r="BH30" s="75">
        <v>20000</v>
      </c>
      <c r="BI30" s="75">
        <v>22567</v>
      </c>
      <c r="BJ30" s="75">
        <f>IF(BI30&gt;0,SUM(BI$7:BI30)-SUM(BH$7:BH30),0)</f>
        <v>11767</v>
      </c>
      <c r="BK30" s="45">
        <f t="shared" si="19"/>
        <v>1.12835</v>
      </c>
      <c r="BL30" s="75">
        <v>6900</v>
      </c>
      <c r="BM30" s="75">
        <v>6550</v>
      </c>
      <c r="BN30" s="75">
        <f>IF(BM30&gt;0,SUM(BM$7:BM30)-SUM(BL$7:BL30),0)</f>
        <v>-22412</v>
      </c>
      <c r="BO30" s="45">
        <f t="shared" si="20"/>
        <v>0.94927536231884058</v>
      </c>
      <c r="BP30" s="75">
        <v>7100</v>
      </c>
      <c r="BQ30" s="75">
        <v>624</v>
      </c>
      <c r="BR30" s="75">
        <f>IF(BQ30&gt;0,SUM(BQ$7:BQ30)-SUM(BP$7:BP30),0)</f>
        <v>-36876</v>
      </c>
      <c r="BS30" s="45">
        <f t="shared" si="25"/>
        <v>8.7887323943661971E-2</v>
      </c>
      <c r="BT30" s="35">
        <f t="shared" si="3"/>
        <v>34000</v>
      </c>
      <c r="BU30" s="35">
        <f t="shared" si="3"/>
        <v>29741</v>
      </c>
      <c r="BV30" s="35">
        <f>IF(BU30&gt;0,SUM(BU$7:BU30)-SUM(BT$7:BT30),0)</f>
        <v>-47521</v>
      </c>
      <c r="BW30" s="45">
        <f t="shared" si="21"/>
        <v>0.87473529411764706</v>
      </c>
      <c r="BY30" s="47">
        <f t="shared" si="22"/>
        <v>40840</v>
      </c>
      <c r="BZ30" s="48" t="s">
        <v>24</v>
      </c>
      <c r="CA30" s="75">
        <v>3500</v>
      </c>
      <c r="CB30" s="75">
        <v>1</v>
      </c>
      <c r="CC30" s="75">
        <f>IF(CB30&gt;0,SUM(CB$7:CB30)-SUM(CA$7:CA30),0)</f>
        <v>5844</v>
      </c>
      <c r="CD30" s="45">
        <f t="shared" si="23"/>
        <v>2.8571428571428574E-4</v>
      </c>
    </row>
    <row r="31" spans="1:82" x14ac:dyDescent="0.25">
      <c r="A31" s="47">
        <f t="shared" si="4"/>
        <v>40841</v>
      </c>
      <c r="B31" s="54" t="s">
        <v>25</v>
      </c>
      <c r="C31" s="75"/>
      <c r="D31" s="75">
        <v>24074</v>
      </c>
      <c r="E31" s="75">
        <f>IF(D31&gt;0,SUM(D$7:D31)-SUM(C$7:C31),0)</f>
        <v>92118</v>
      </c>
      <c r="F31" s="45">
        <f t="shared" si="5"/>
        <v>0</v>
      </c>
      <c r="G31" s="80" t="s">
        <v>40</v>
      </c>
      <c r="H31" s="75"/>
      <c r="I31" s="75">
        <f>IF(H31&gt;0,SUM(H$7:H31)-SUM(G$7:G31),0)</f>
        <v>0</v>
      </c>
      <c r="J31" s="45">
        <f t="shared" si="6"/>
        <v>0</v>
      </c>
      <c r="K31" s="75"/>
      <c r="L31" s="75"/>
      <c r="M31" s="75">
        <f>IF(L31&gt;0,SUM(L$7:L31)-SUM(K$7:K31),0)</f>
        <v>0</v>
      </c>
      <c r="N31" s="45">
        <f t="shared" si="7"/>
        <v>0</v>
      </c>
      <c r="O31" s="35">
        <f t="shared" si="0"/>
        <v>0</v>
      </c>
      <c r="P31" s="35">
        <f t="shared" si="0"/>
        <v>24074</v>
      </c>
      <c r="Q31" s="35">
        <f>IF(P31&gt;0,SUM(P$7:P31)-SUM(O$7:O31),0)</f>
        <v>20119</v>
      </c>
      <c r="R31" s="45">
        <f t="shared" si="8"/>
        <v>0</v>
      </c>
      <c r="T31" s="47">
        <f t="shared" si="9"/>
        <v>40841</v>
      </c>
      <c r="U31" s="48" t="s">
        <v>25</v>
      </c>
      <c r="V31" s="76"/>
      <c r="W31" s="76">
        <v>15994</v>
      </c>
      <c r="X31" s="76">
        <f>IF(W31&gt;0,SUM(W$7:W31)-SUM(V$7:V31),0)</f>
        <v>13173</v>
      </c>
      <c r="Y31" s="60">
        <f t="shared" si="10"/>
        <v>0</v>
      </c>
      <c r="Z31" s="80" t="s">
        <v>40</v>
      </c>
      <c r="AA31" s="76"/>
      <c r="AB31" s="76">
        <f>IF(AA31&gt;0,SUM(AA$7:AA31)-SUM(Z$7:Z31),0)</f>
        <v>0</v>
      </c>
      <c r="AC31" s="60">
        <f t="shared" si="11"/>
        <v>0</v>
      </c>
      <c r="AD31" s="76"/>
      <c r="AE31" s="76"/>
      <c r="AF31" s="76">
        <f>IF(AE31&gt;0,SUM(AE$7:AE31)-SUM(AD$7:AD31),0)</f>
        <v>0</v>
      </c>
      <c r="AG31" s="60">
        <f t="shared" si="12"/>
        <v>0</v>
      </c>
      <c r="AH31" s="41">
        <f t="shared" si="1"/>
        <v>0</v>
      </c>
      <c r="AI31" s="41">
        <f t="shared" si="1"/>
        <v>15994</v>
      </c>
      <c r="AJ31" s="41">
        <f>IF(AI31&gt;0,SUM(AI$7:AI31)-SUM(AH$7:AH31),0)</f>
        <v>-26801</v>
      </c>
      <c r="AK31" s="60">
        <f t="shared" si="13"/>
        <v>0</v>
      </c>
      <c r="AM31" s="47">
        <f t="shared" si="14"/>
        <v>40841</v>
      </c>
      <c r="AN31" s="54" t="s">
        <v>25</v>
      </c>
      <c r="AO31" s="75"/>
      <c r="AP31" s="75">
        <v>9478</v>
      </c>
      <c r="AQ31" s="75">
        <f>IF(AP31&gt;0,SUM(AP$7:AP31)-SUM(AO$7:AO31),0)</f>
        <v>30473</v>
      </c>
      <c r="AR31" s="45">
        <f t="shared" si="15"/>
        <v>0</v>
      </c>
      <c r="AS31" s="80" t="s">
        <v>40</v>
      </c>
      <c r="AT31" s="75"/>
      <c r="AU31" s="75">
        <f>IF(AT31&gt;0,SUM(AT$7:AT31)-SUM(AS$7:AS31),0)</f>
        <v>0</v>
      </c>
      <c r="AV31" s="45">
        <f t="shared" si="16"/>
        <v>0</v>
      </c>
      <c r="AW31" s="75"/>
      <c r="AX31" s="75"/>
      <c r="AY31" s="75">
        <f>IF(AX31&gt;0,SUM(AX$7:AX31)-SUM(AW$7:AW31),0)</f>
        <v>0</v>
      </c>
      <c r="AZ31" s="45">
        <f t="shared" si="24"/>
        <v>0</v>
      </c>
      <c r="BA31" s="35">
        <f t="shared" si="2"/>
        <v>0</v>
      </c>
      <c r="BB31" s="35">
        <f t="shared" si="2"/>
        <v>9478</v>
      </c>
      <c r="BC31" s="35">
        <f>IF(BB31&gt;0,SUM(BB$7:BB31)-SUM(BA$7:BA31),0)</f>
        <v>-1779</v>
      </c>
      <c r="BD31" s="45">
        <f t="shared" si="17"/>
        <v>0</v>
      </c>
      <c r="BF31" s="47">
        <f t="shared" si="18"/>
        <v>40841</v>
      </c>
      <c r="BG31" s="54" t="s">
        <v>25</v>
      </c>
      <c r="BH31" s="75"/>
      <c r="BI31" s="75">
        <v>14130</v>
      </c>
      <c r="BJ31" s="75">
        <f>IF(BI31&gt;0,SUM(BI$7:BI31)-SUM(BH$7:BH31),0)</f>
        <v>25897</v>
      </c>
      <c r="BK31" s="45">
        <f t="shared" si="19"/>
        <v>0</v>
      </c>
      <c r="BL31" s="75"/>
      <c r="BM31" s="75">
        <v>5918</v>
      </c>
      <c r="BN31" s="75">
        <f>IF(BM31&gt;0,SUM(BM$7:BM31)-SUM(BL$7:BL31),0)</f>
        <v>-16494</v>
      </c>
      <c r="BO31" s="45">
        <f t="shared" si="20"/>
        <v>0</v>
      </c>
      <c r="BP31" s="75"/>
      <c r="BQ31" s="75">
        <v>7621</v>
      </c>
      <c r="BR31" s="75">
        <f>IF(BQ31&gt;0,SUM(BQ$7:BQ31)-SUM(BP$7:BP31),0)</f>
        <v>-29255</v>
      </c>
      <c r="BS31" s="45">
        <f t="shared" si="25"/>
        <v>0</v>
      </c>
      <c r="BT31" s="35">
        <f t="shared" si="3"/>
        <v>0</v>
      </c>
      <c r="BU31" s="35">
        <f t="shared" si="3"/>
        <v>27669</v>
      </c>
      <c r="BV31" s="35">
        <f>IF(BU31&gt;0,SUM(BU$7:BU31)-SUM(BT$7:BT31),0)</f>
        <v>-19852</v>
      </c>
      <c r="BW31" s="45">
        <f t="shared" si="21"/>
        <v>0</v>
      </c>
      <c r="BY31" s="47">
        <f t="shared" si="22"/>
        <v>40841</v>
      </c>
      <c r="BZ31" s="48" t="s">
        <v>25</v>
      </c>
      <c r="CA31" s="75"/>
      <c r="CB31" s="75">
        <v>1507</v>
      </c>
      <c r="CC31" s="75">
        <f>IF(CB31&gt;0,SUM(CB$7:CB31)-SUM(CA$7:CA31),0)</f>
        <v>7351</v>
      </c>
      <c r="CD31" s="45">
        <f t="shared" si="23"/>
        <v>0</v>
      </c>
    </row>
    <row r="32" spans="1:82" x14ac:dyDescent="0.25">
      <c r="A32" s="47">
        <f t="shared" si="4"/>
        <v>40842</v>
      </c>
      <c r="B32" s="54" t="s">
        <v>26</v>
      </c>
      <c r="C32" s="75"/>
      <c r="D32" s="75">
        <v>18769</v>
      </c>
      <c r="E32" s="75">
        <f>IF(D32&gt;0,SUM(D$7:D32)-SUM(C$7:C32),0)</f>
        <v>110887</v>
      </c>
      <c r="F32" s="45">
        <f t="shared" si="5"/>
        <v>0</v>
      </c>
      <c r="G32" s="80" t="s">
        <v>40</v>
      </c>
      <c r="H32" s="75"/>
      <c r="I32" s="75">
        <f>IF(H32&gt;0,SUM(H$7:H32)-SUM(G$7:G32),0)</f>
        <v>0</v>
      </c>
      <c r="J32" s="45">
        <f t="shared" si="6"/>
        <v>0</v>
      </c>
      <c r="K32" s="75"/>
      <c r="L32" s="75"/>
      <c r="M32" s="75">
        <f>IF(L32&gt;0,SUM(L$7:L32)-SUM(K$7:K32),0)</f>
        <v>0</v>
      </c>
      <c r="N32" s="45">
        <f t="shared" si="7"/>
        <v>0</v>
      </c>
      <c r="O32" s="35">
        <f t="shared" si="0"/>
        <v>0</v>
      </c>
      <c r="P32" s="35">
        <f>IF(SUM(D32,H32,L32)&gt;0,SUM(D32,H32,L32),0)</f>
        <v>18769</v>
      </c>
      <c r="Q32" s="35">
        <f>IF(P32&gt;0,SUM(P$7:P32)-SUM(O$7:O32),0)</f>
        <v>38888</v>
      </c>
      <c r="R32" s="45">
        <f t="shared" si="8"/>
        <v>0</v>
      </c>
      <c r="T32" s="47">
        <f t="shared" si="9"/>
        <v>40842</v>
      </c>
      <c r="U32" s="48" t="s">
        <v>26</v>
      </c>
      <c r="V32" s="76"/>
      <c r="W32" s="76">
        <v>16253</v>
      </c>
      <c r="X32" s="76">
        <f>IF(W32&gt;0,SUM(W$7:W32)-SUM(V$7:V32),0)</f>
        <v>29426</v>
      </c>
      <c r="Y32" s="60">
        <f t="shared" si="10"/>
        <v>0</v>
      </c>
      <c r="Z32" s="80" t="s">
        <v>40</v>
      </c>
      <c r="AA32" s="76"/>
      <c r="AB32" s="76">
        <f>IF(AA32&gt;0,SUM(AA$7:AA32)-SUM(Z$7:Z32),0)</f>
        <v>0</v>
      </c>
      <c r="AC32" s="60">
        <f t="shared" si="11"/>
        <v>0</v>
      </c>
      <c r="AD32" s="76"/>
      <c r="AE32" s="76"/>
      <c r="AF32" s="76">
        <f>IF(AE32&gt;0,SUM(AE$7:AE32)-SUM(AD$7:AD32),0)</f>
        <v>0</v>
      </c>
      <c r="AG32" s="60">
        <f t="shared" si="12"/>
        <v>0</v>
      </c>
      <c r="AH32" s="41">
        <f t="shared" si="1"/>
        <v>0</v>
      </c>
      <c r="AI32" s="41">
        <f t="shared" si="1"/>
        <v>16253</v>
      </c>
      <c r="AJ32" s="41">
        <f>IF(AI32&gt;0,SUM(AI$7:AI32)-SUM(AH$7:AH32),0)</f>
        <v>-10548</v>
      </c>
      <c r="AK32" s="60">
        <f t="shared" si="13"/>
        <v>0</v>
      </c>
      <c r="AM32" s="47">
        <f t="shared" si="14"/>
        <v>40842</v>
      </c>
      <c r="AN32" s="54" t="s">
        <v>26</v>
      </c>
      <c r="AO32" s="75"/>
      <c r="AP32" s="75">
        <v>10574</v>
      </c>
      <c r="AQ32" s="75">
        <f>IF(AP32&gt;0,SUM(AP$7:AP32)-SUM(AO$7:AO32),0)</f>
        <v>41047</v>
      </c>
      <c r="AR32" s="45">
        <f t="shared" si="15"/>
        <v>0</v>
      </c>
      <c r="AS32" s="80" t="s">
        <v>40</v>
      </c>
      <c r="AT32" s="75"/>
      <c r="AU32" s="75">
        <f>IF(AT32&gt;0,SUM(AT$7:AT32)-SUM(AS$7:AS32),0)</f>
        <v>0</v>
      </c>
      <c r="AV32" s="45">
        <f t="shared" si="16"/>
        <v>0</v>
      </c>
      <c r="AW32" s="75"/>
      <c r="AX32" s="75"/>
      <c r="AY32" s="75">
        <f>IF(AX32&gt;0,SUM(AX$7:AX32)-SUM(AW$7:AW32),0)</f>
        <v>0</v>
      </c>
      <c r="AZ32" s="45">
        <f t="shared" si="24"/>
        <v>0</v>
      </c>
      <c r="BA32" s="35">
        <f t="shared" si="2"/>
        <v>0</v>
      </c>
      <c r="BB32" s="35">
        <f t="shared" si="2"/>
        <v>10574</v>
      </c>
      <c r="BC32" s="35">
        <f>IF(BB32&gt;0,SUM(BB$7:BB32)-SUM(BA$7:BA32),0)</f>
        <v>8795</v>
      </c>
      <c r="BD32" s="45">
        <f t="shared" si="17"/>
        <v>0</v>
      </c>
      <c r="BF32" s="47">
        <f t="shared" si="18"/>
        <v>40842</v>
      </c>
      <c r="BG32" s="54" t="s">
        <v>26</v>
      </c>
      <c r="BH32" s="75"/>
      <c r="BI32" s="75"/>
      <c r="BJ32" s="75">
        <f>IF(BI32&gt;0,SUM(BI$7:BI32)-SUM(BH$7:BH32),0)</f>
        <v>0</v>
      </c>
      <c r="BK32" s="45">
        <f t="shared" si="19"/>
        <v>0</v>
      </c>
      <c r="BL32" s="75"/>
      <c r="BM32" s="75"/>
      <c r="BN32" s="75">
        <f>IF(BM32&gt;0,SUM(BM$7:BM32)-SUM(BL$7:BL32),0)</f>
        <v>0</v>
      </c>
      <c r="BO32" s="45">
        <f t="shared" si="20"/>
        <v>0</v>
      </c>
      <c r="BP32" s="75"/>
      <c r="BQ32" s="75"/>
      <c r="BR32" s="75">
        <f>IF(BQ32&gt;0,SUM(BQ$7:BQ32)-SUM(BP$7:BP32),0)</f>
        <v>0</v>
      </c>
      <c r="BS32" s="45">
        <f t="shared" si="25"/>
        <v>0</v>
      </c>
      <c r="BT32" s="35">
        <f t="shared" si="3"/>
        <v>0</v>
      </c>
      <c r="BU32" s="35">
        <f t="shared" si="3"/>
        <v>0</v>
      </c>
      <c r="BV32" s="35">
        <f>IF(BU32&gt;0,SUM(BU$7:BU32)-SUM(BT$7:BT32),0)</f>
        <v>0</v>
      </c>
      <c r="BW32" s="45">
        <f t="shared" si="21"/>
        <v>0</v>
      </c>
      <c r="BY32" s="47">
        <f t="shared" si="22"/>
        <v>40842</v>
      </c>
      <c r="BZ32" s="48" t="s">
        <v>26</v>
      </c>
      <c r="CA32" s="75"/>
      <c r="CB32" s="75"/>
      <c r="CC32" s="75">
        <f>IF(CB32&gt;0,SUM(CB$7:CB32)-SUM(CA$7:CA32),0)</f>
        <v>0</v>
      </c>
      <c r="CD32" s="45">
        <f t="shared" si="23"/>
        <v>0</v>
      </c>
    </row>
    <row r="33" spans="1:82" x14ac:dyDescent="0.25">
      <c r="A33" s="47">
        <f t="shared" si="4"/>
        <v>40843</v>
      </c>
      <c r="B33" s="54" t="s">
        <v>27</v>
      </c>
      <c r="C33" s="75">
        <v>19000</v>
      </c>
      <c r="D33" s="75">
        <v>10109</v>
      </c>
      <c r="E33" s="75">
        <f>IF(D33&gt;0,SUM(D$7:D33)-SUM(C$7:C33),0)</f>
        <v>101996</v>
      </c>
      <c r="F33" s="45">
        <f t="shared" si="5"/>
        <v>0.53205263157894733</v>
      </c>
      <c r="G33" s="80" t="s">
        <v>40</v>
      </c>
      <c r="H33" s="75"/>
      <c r="I33" s="75">
        <f>IF(H33&gt;0,SUM(H$7:H33)-SUM(G$7:G33),0)</f>
        <v>0</v>
      </c>
      <c r="J33" s="45">
        <f t="shared" si="6"/>
        <v>0</v>
      </c>
      <c r="K33" s="75">
        <v>17000</v>
      </c>
      <c r="L33" s="75">
        <v>16316</v>
      </c>
      <c r="M33" s="75">
        <f>IF(L33&gt;0,SUM(L$7:L33)-SUM(K$7:K33),0)</f>
        <v>-72683</v>
      </c>
      <c r="N33" s="45">
        <f t="shared" si="7"/>
        <v>0.95976470588235296</v>
      </c>
      <c r="O33" s="35">
        <f t="shared" si="0"/>
        <v>36000</v>
      </c>
      <c r="P33" s="35">
        <f t="shared" si="0"/>
        <v>26425</v>
      </c>
      <c r="Q33" s="35">
        <f>IF(P33&gt;0,SUM(P$7:P33)-SUM(O$7:O33),0)</f>
        <v>29313</v>
      </c>
      <c r="R33" s="45">
        <f t="shared" si="8"/>
        <v>0.73402777777777772</v>
      </c>
      <c r="T33" s="47">
        <f t="shared" si="9"/>
        <v>40843</v>
      </c>
      <c r="U33" s="48" t="s">
        <v>27</v>
      </c>
      <c r="V33" s="76">
        <v>17000</v>
      </c>
      <c r="W33" s="76">
        <v>14770</v>
      </c>
      <c r="X33" s="76">
        <f>IF(W33&gt;0,SUM(W$7:W33)-SUM(V$7:V37),0)</f>
        <v>-23804</v>
      </c>
      <c r="Y33" s="60">
        <f t="shared" si="10"/>
        <v>0.86882352941176466</v>
      </c>
      <c r="Z33" s="80" t="s">
        <v>40</v>
      </c>
      <c r="AA33" s="76"/>
      <c r="AB33" s="76">
        <f>IF(AA33&gt;0,SUM(AA$7:AA33)-SUM(Z$7:Z37),0)</f>
        <v>0</v>
      </c>
      <c r="AC33" s="60">
        <f t="shared" si="11"/>
        <v>0</v>
      </c>
      <c r="AD33" s="76">
        <v>17000</v>
      </c>
      <c r="AE33" s="76">
        <v>16883</v>
      </c>
      <c r="AF33" s="76">
        <f>IF(AE33&gt;0,SUM(AE$7:AE33)-SUM(AD$7:AD33),0)</f>
        <v>-40091</v>
      </c>
      <c r="AG33" s="60">
        <f t="shared" si="12"/>
        <v>0.99311764705882355</v>
      </c>
      <c r="AH33" s="41">
        <f t="shared" si="1"/>
        <v>34000</v>
      </c>
      <c r="AI33" s="41">
        <f t="shared" si="1"/>
        <v>31653</v>
      </c>
      <c r="AJ33" s="41">
        <f>IF(AI33&gt;0,SUM(AI$7:AI33)-SUM(AH$7:AH33),0)</f>
        <v>-12895</v>
      </c>
      <c r="AK33" s="60">
        <f t="shared" si="13"/>
        <v>0.93097058823529411</v>
      </c>
      <c r="AM33" s="47">
        <f t="shared" si="14"/>
        <v>40843</v>
      </c>
      <c r="AN33" s="54" t="s">
        <v>27</v>
      </c>
      <c r="AO33" s="75">
        <v>14000</v>
      </c>
      <c r="AP33" s="75">
        <v>16046</v>
      </c>
      <c r="AQ33" s="75">
        <f>IF(AP33&gt;0,SUM(AP$7:AP33)-SUM(AO$7:AO33),0)</f>
        <v>43093</v>
      </c>
      <c r="AR33" s="45">
        <f t="shared" si="15"/>
        <v>1.1461428571428571</v>
      </c>
      <c r="AS33" s="80" t="s">
        <v>40</v>
      </c>
      <c r="AT33" s="75"/>
      <c r="AU33" s="75">
        <f>IF(AT33&gt;0,SUM(AT$7:AT33)-SUM(AS$7:AS33),0)</f>
        <v>0</v>
      </c>
      <c r="AV33" s="45">
        <f t="shared" si="16"/>
        <v>0</v>
      </c>
      <c r="AW33" s="75">
        <v>13000</v>
      </c>
      <c r="AX33" s="75">
        <v>13308</v>
      </c>
      <c r="AY33" s="75">
        <f>IF(AX33&gt;0,SUM(AX$7:AX33)-SUM(AW$7:AW33),0)</f>
        <v>-31944</v>
      </c>
      <c r="AZ33" s="45">
        <f t="shared" si="24"/>
        <v>1.0236923076923077</v>
      </c>
      <c r="BA33" s="35">
        <f t="shared" si="2"/>
        <v>27000</v>
      </c>
      <c r="BB33" s="35">
        <f t="shared" si="2"/>
        <v>29354</v>
      </c>
      <c r="BC33" s="35">
        <f>IF(BB33&gt;0,SUM(BB$7:BB33)-SUM(BA$7:BA33),0)</f>
        <v>11149</v>
      </c>
      <c r="BD33" s="45">
        <f t="shared" si="17"/>
        <v>1.0871851851851853</v>
      </c>
      <c r="BF33" s="47">
        <f t="shared" si="18"/>
        <v>40843</v>
      </c>
      <c r="BG33" s="54" t="s">
        <v>27</v>
      </c>
      <c r="BH33" s="75">
        <v>20000</v>
      </c>
      <c r="BI33" s="75">
        <v>24304</v>
      </c>
      <c r="BJ33" s="75">
        <f>IF(BI33&gt;0,SUM(BI$7:BI33)-SUM(BH$7:BH33),0)</f>
        <v>30201</v>
      </c>
      <c r="BK33" s="45">
        <f t="shared" si="19"/>
        <v>1.2152000000000001</v>
      </c>
      <c r="BL33" s="75">
        <v>6900</v>
      </c>
      <c r="BM33" s="75">
        <v>5060</v>
      </c>
      <c r="BN33" s="75">
        <f>IF(BM33&gt;0,SUM(BM$7:BM33)-SUM(BL$7:BL33),0)</f>
        <v>-18334</v>
      </c>
      <c r="BO33" s="45">
        <f t="shared" si="20"/>
        <v>0.73333333333333328</v>
      </c>
      <c r="BP33" s="75">
        <v>7100</v>
      </c>
      <c r="BQ33" s="75">
        <v>4107</v>
      </c>
      <c r="BR33" s="75">
        <f>IF(BQ33&gt;0,SUM(BQ$7:BQ33)-SUM(BP$7:BP33),0)</f>
        <v>-32248</v>
      </c>
      <c r="BS33" s="45">
        <f t="shared" si="25"/>
        <v>0.57845070422535216</v>
      </c>
      <c r="BT33" s="35">
        <f t="shared" si="3"/>
        <v>34000</v>
      </c>
      <c r="BU33" s="35">
        <f t="shared" si="3"/>
        <v>33471</v>
      </c>
      <c r="BV33" s="35">
        <f>IF(BU33&gt;0,SUM(BU$7:BU33)-SUM(BT$7:BT33),0)</f>
        <v>-20381</v>
      </c>
      <c r="BW33" s="45">
        <f t="shared" si="21"/>
        <v>0.98444117647058826</v>
      </c>
      <c r="BY33" s="47">
        <f t="shared" si="22"/>
        <v>40843</v>
      </c>
      <c r="BZ33" s="48" t="s">
        <v>27</v>
      </c>
      <c r="CA33" s="75">
        <v>3500</v>
      </c>
      <c r="CB33" s="75">
        <v>9092</v>
      </c>
      <c r="CC33" s="75">
        <f>IF(CB33&gt;0,SUM(CB$7:CB33)-SUM(CA$7:CA33),0)</f>
        <v>12943</v>
      </c>
      <c r="CD33" s="45">
        <f t="shared" si="23"/>
        <v>2.5977142857142859</v>
      </c>
    </row>
    <row r="34" spans="1:82" x14ac:dyDescent="0.25">
      <c r="A34" s="47">
        <f t="shared" si="4"/>
        <v>40844</v>
      </c>
      <c r="B34" s="54" t="s">
        <v>28</v>
      </c>
      <c r="C34" s="75">
        <v>19000</v>
      </c>
      <c r="D34" s="75">
        <v>15907</v>
      </c>
      <c r="E34" s="75">
        <f>IF(D34&gt;0,SUM(D$7:D34)-SUM(C$7:C34),0)</f>
        <v>98903</v>
      </c>
      <c r="F34" s="45">
        <f t="shared" si="5"/>
        <v>0.83721052631578952</v>
      </c>
      <c r="G34" s="80" t="s">
        <v>40</v>
      </c>
      <c r="H34" s="75"/>
      <c r="I34" s="75">
        <f>IF(H34&gt;0,SUM(H$7:H34)-SUM(G$7:G34),0)</f>
        <v>0</v>
      </c>
      <c r="J34" s="45">
        <f t="shared" si="6"/>
        <v>0</v>
      </c>
      <c r="K34" s="75">
        <v>17000</v>
      </c>
      <c r="L34" s="75">
        <v>8664</v>
      </c>
      <c r="M34" s="75">
        <f>IF(L34&gt;0,SUM(L$7:L34)-SUM(K$7:K34),0)</f>
        <v>-81019</v>
      </c>
      <c r="N34" s="45">
        <f t="shared" si="7"/>
        <v>0.50964705882352945</v>
      </c>
      <c r="O34" s="35">
        <f t="shared" si="0"/>
        <v>36000</v>
      </c>
      <c r="P34" s="35">
        <f t="shared" si="0"/>
        <v>24571</v>
      </c>
      <c r="Q34" s="35">
        <f>IF(P34&gt;0,SUM(P$7:P34)-SUM(O$7:O34),0)</f>
        <v>17884</v>
      </c>
      <c r="R34" s="45">
        <f t="shared" si="8"/>
        <v>0.68252777777777773</v>
      </c>
      <c r="T34" s="47">
        <f t="shared" si="9"/>
        <v>40844</v>
      </c>
      <c r="U34" s="48" t="s">
        <v>28</v>
      </c>
      <c r="V34" s="76">
        <v>17000</v>
      </c>
      <c r="W34" s="76">
        <v>17975</v>
      </c>
      <c r="X34" s="76">
        <f>IF(W34&gt;0,SUM(W$7:W34)-SUM(V$7:V34),0)</f>
        <v>28171</v>
      </c>
      <c r="Y34" s="60">
        <f t="shared" si="10"/>
        <v>1.0573529411764706</v>
      </c>
      <c r="Z34" s="80" t="s">
        <v>40</v>
      </c>
      <c r="AA34" s="76"/>
      <c r="AB34" s="76">
        <f>IF(AA34&gt;0,SUM(AA$7:AA34)-SUM(Z$7:Z34),0)</f>
        <v>0</v>
      </c>
      <c r="AC34" s="60">
        <f t="shared" si="11"/>
        <v>0</v>
      </c>
      <c r="AD34" s="76">
        <v>17000</v>
      </c>
      <c r="AE34" s="76">
        <v>15066</v>
      </c>
      <c r="AF34" s="76">
        <f>IF(AE34&gt;0,SUM(AE$7:AE34)-SUM(AD$7:AD34),0)</f>
        <v>-42025</v>
      </c>
      <c r="AG34" s="60">
        <f t="shared" si="12"/>
        <v>0.88623529411764701</v>
      </c>
      <c r="AH34" s="41">
        <f t="shared" si="1"/>
        <v>34000</v>
      </c>
      <c r="AI34" s="41">
        <f t="shared" si="1"/>
        <v>33041</v>
      </c>
      <c r="AJ34" s="41">
        <f>IF(AI34&gt;0,SUM(AI$7:AI34)-SUM(AH$7:AH34),0)</f>
        <v>-13854</v>
      </c>
      <c r="AK34" s="60">
        <f t="shared" si="13"/>
        <v>0.97179411764705881</v>
      </c>
      <c r="AM34" s="47">
        <f t="shared" si="14"/>
        <v>40844</v>
      </c>
      <c r="AN34" s="54" t="s">
        <v>28</v>
      </c>
      <c r="AO34" s="75">
        <v>14000</v>
      </c>
      <c r="AP34" s="75">
        <v>17411</v>
      </c>
      <c r="AQ34" s="75">
        <f>IF(AP34&gt;0,SUM(AP$7:AP34)-SUM(AO$7:AO34),0)</f>
        <v>46504</v>
      </c>
      <c r="AR34" s="45">
        <f t="shared" si="15"/>
        <v>1.243642857142857</v>
      </c>
      <c r="AS34" s="80" t="s">
        <v>40</v>
      </c>
      <c r="AT34" s="75"/>
      <c r="AU34" s="75">
        <f>IF(AT34&gt;0,SUM(AT$7:AT34)-SUM(AS$7:AS34),0)</f>
        <v>0</v>
      </c>
      <c r="AV34" s="45">
        <f t="shared" si="16"/>
        <v>0</v>
      </c>
      <c r="AW34" s="75">
        <v>13000</v>
      </c>
      <c r="AX34" s="75">
        <v>14619</v>
      </c>
      <c r="AY34" s="75">
        <f>IF(AX34&gt;0,SUM(AX$7:AX34)-SUM(AW$7:AW34),0)</f>
        <v>-30325</v>
      </c>
      <c r="AZ34" s="45">
        <f t="shared" si="24"/>
        <v>1.1245384615384615</v>
      </c>
      <c r="BA34" s="35">
        <f t="shared" si="2"/>
        <v>27000</v>
      </c>
      <c r="BB34" s="35">
        <f t="shared" si="2"/>
        <v>32030</v>
      </c>
      <c r="BC34" s="35">
        <f>IF(BB34&gt;0,SUM(BB$7:BB34)-SUM(BA$7:BA34),0)</f>
        <v>16179</v>
      </c>
      <c r="BD34" s="45">
        <f t="shared" si="17"/>
        <v>1.1862962962962964</v>
      </c>
      <c r="BF34" s="47">
        <f t="shared" si="18"/>
        <v>40844</v>
      </c>
      <c r="BG34" s="54" t="s">
        <v>28</v>
      </c>
      <c r="BH34" s="75">
        <v>20000</v>
      </c>
      <c r="BI34" s="75">
        <v>23719</v>
      </c>
      <c r="BJ34" s="75">
        <f>IF(BI34&gt;0,SUM(BI$7:BI34)-SUM(BH$7:BH34),0)</f>
        <v>33920</v>
      </c>
      <c r="BK34" s="45">
        <f t="shared" si="19"/>
        <v>1.1859500000000001</v>
      </c>
      <c r="BL34" s="75">
        <v>6900</v>
      </c>
      <c r="BM34" s="75">
        <v>8320</v>
      </c>
      <c r="BN34" s="75">
        <f>IF(BM34&gt;0,SUM(BM$7:BM34)-SUM(BL$7:BL34),0)</f>
        <v>-16914</v>
      </c>
      <c r="BO34" s="45">
        <f t="shared" si="20"/>
        <v>1.2057971014492754</v>
      </c>
      <c r="BP34" s="75">
        <v>7100</v>
      </c>
      <c r="BQ34" s="75">
        <v>3557</v>
      </c>
      <c r="BR34" s="75">
        <f>IF(BQ34&gt;0,SUM(BQ$7:BQ34)-SUM(BP$7:BP34),0)</f>
        <v>-35791</v>
      </c>
      <c r="BS34" s="45">
        <f t="shared" si="25"/>
        <v>0.50098591549295779</v>
      </c>
      <c r="BT34" s="35">
        <f t="shared" si="3"/>
        <v>34000</v>
      </c>
      <c r="BU34" s="35">
        <f t="shared" si="3"/>
        <v>35596</v>
      </c>
      <c r="BV34" s="35">
        <f>IF(BU34&gt;0,SUM(BU$7:BU34)-SUM(BT$7:BT34),0)</f>
        <v>-18785</v>
      </c>
      <c r="BW34" s="45">
        <f t="shared" si="21"/>
        <v>1.0469411764705883</v>
      </c>
      <c r="BY34" s="47">
        <f t="shared" si="22"/>
        <v>40844</v>
      </c>
      <c r="BZ34" s="48" t="s">
        <v>28</v>
      </c>
      <c r="CA34" s="75">
        <v>3500</v>
      </c>
      <c r="CB34" s="75">
        <v>1</v>
      </c>
      <c r="CC34" s="75">
        <f>IF(CB34&gt;0,SUM(CB$7:CB34)-SUM(CA$7:CA34),0)</f>
        <v>9444</v>
      </c>
      <c r="CD34" s="45">
        <f t="shared" si="23"/>
        <v>2.8571428571428574E-4</v>
      </c>
    </row>
    <row r="35" spans="1:82" x14ac:dyDescent="0.25">
      <c r="A35" s="47">
        <f t="shared" si="4"/>
        <v>40845</v>
      </c>
      <c r="B35" s="54" t="s">
        <v>22</v>
      </c>
      <c r="C35" s="75">
        <v>19000</v>
      </c>
      <c r="D35" s="75">
        <v>21149</v>
      </c>
      <c r="E35" s="75">
        <f>IF(D35&gt;0,SUM(D$7:D35)-SUM(C$7:C35),0)</f>
        <v>101052</v>
      </c>
      <c r="F35" s="45">
        <f t="shared" si="5"/>
        <v>1.1131052631578948</v>
      </c>
      <c r="G35" s="80" t="s">
        <v>40</v>
      </c>
      <c r="H35" s="75"/>
      <c r="I35" s="75">
        <f>IF(H35&gt;0,SUM(H$7:H35)-SUM(G$7:G35),0)</f>
        <v>0</v>
      </c>
      <c r="J35" s="45">
        <f t="shared" si="6"/>
        <v>0</v>
      </c>
      <c r="K35" s="75">
        <v>17000</v>
      </c>
      <c r="L35" s="75">
        <v>14318</v>
      </c>
      <c r="M35" s="75">
        <f>IF(L35&gt;0,SUM(L$7:L35)-SUM(K$7:K35),0)</f>
        <v>-83701</v>
      </c>
      <c r="N35" s="45">
        <f t="shared" si="7"/>
        <v>0.84223529411764708</v>
      </c>
      <c r="O35" s="35">
        <f t="shared" si="0"/>
        <v>36000</v>
      </c>
      <c r="P35" s="35">
        <f t="shared" si="0"/>
        <v>35467</v>
      </c>
      <c r="Q35" s="35">
        <f>IF(P35&gt;0,SUM(P$7:P35)-SUM(O$7:O35),0)</f>
        <v>17351</v>
      </c>
      <c r="R35" s="45">
        <f t="shared" si="8"/>
        <v>0.98519444444444448</v>
      </c>
      <c r="T35" s="47">
        <f t="shared" si="9"/>
        <v>40845</v>
      </c>
      <c r="U35" s="48" t="s">
        <v>22</v>
      </c>
      <c r="V35" s="76">
        <v>17000</v>
      </c>
      <c r="W35" s="76">
        <v>17004</v>
      </c>
      <c r="X35" s="76">
        <f>IF(W35&gt;0,SUM(W$7:W35)-SUM(V$7:V35),0)</f>
        <v>28175</v>
      </c>
      <c r="Y35" s="60">
        <f t="shared" si="10"/>
        <v>1.0002352941176471</v>
      </c>
      <c r="Z35" s="80" t="s">
        <v>40</v>
      </c>
      <c r="AA35" s="76"/>
      <c r="AB35" s="76">
        <f>IF(AA35&gt;0,SUM(AA$7:AA35)-SUM(Z$7:Z35),0)</f>
        <v>0</v>
      </c>
      <c r="AC35" s="60">
        <f t="shared" si="11"/>
        <v>0</v>
      </c>
      <c r="AD35" s="76">
        <v>17000</v>
      </c>
      <c r="AE35" s="76">
        <v>16960</v>
      </c>
      <c r="AF35" s="76">
        <f>IF(AE35&gt;0,SUM(AE$7:AE35)-SUM(AD$7:AD35),0)</f>
        <v>-42065</v>
      </c>
      <c r="AG35" s="60">
        <f t="shared" si="12"/>
        <v>0.99764705882352944</v>
      </c>
      <c r="AH35" s="41">
        <f t="shared" si="1"/>
        <v>34000</v>
      </c>
      <c r="AI35" s="41">
        <f t="shared" si="1"/>
        <v>33964</v>
      </c>
      <c r="AJ35" s="41">
        <f>IF(AI35&gt;0,SUM(AI$7:AI35)-SUM(AH$7:AH35),0)</f>
        <v>-13890</v>
      </c>
      <c r="AK35" s="60">
        <f t="shared" si="13"/>
        <v>0.99894117647058822</v>
      </c>
      <c r="AM35" s="47">
        <f t="shared" si="14"/>
        <v>40845</v>
      </c>
      <c r="AN35" s="54" t="s">
        <v>22</v>
      </c>
      <c r="AO35" s="75">
        <v>14000</v>
      </c>
      <c r="AP35" s="75">
        <v>13692</v>
      </c>
      <c r="AQ35" s="75">
        <f>IF(AP35&gt;0,SUM(AP$7:AP35)-SUM(AO$7:AO35),0)</f>
        <v>46196</v>
      </c>
      <c r="AR35" s="45">
        <f t="shared" si="15"/>
        <v>0.97799999999999998</v>
      </c>
      <c r="AS35" s="80" t="s">
        <v>40</v>
      </c>
      <c r="AT35" s="75"/>
      <c r="AU35" s="75">
        <f>IF(AT35&gt;0,SUM(AT$7:AT35)-SUM(AS$7:AS35),0)</f>
        <v>0</v>
      </c>
      <c r="AV35" s="45">
        <f t="shared" si="16"/>
        <v>0</v>
      </c>
      <c r="AW35" s="75">
        <v>13000</v>
      </c>
      <c r="AX35" s="75">
        <v>11906</v>
      </c>
      <c r="AY35" s="75">
        <f>IF(AX35&gt;0,SUM(AX$7:AX35)-SUM(AW$7:AW35),0)</f>
        <v>-31419</v>
      </c>
      <c r="AZ35" s="45">
        <f t="shared" si="24"/>
        <v>0.91584615384615387</v>
      </c>
      <c r="BA35" s="35">
        <f t="shared" si="2"/>
        <v>27000</v>
      </c>
      <c r="BB35" s="35">
        <f t="shared" si="2"/>
        <v>25598</v>
      </c>
      <c r="BC35" s="35">
        <f>IF(BB35&gt;0,SUM(BB$7:BB35)-SUM(BA$7:BA35),0)</f>
        <v>14777</v>
      </c>
      <c r="BD35" s="45">
        <f t="shared" si="17"/>
        <v>0.94807407407407407</v>
      </c>
      <c r="BF35" s="47">
        <f t="shared" si="18"/>
        <v>40845</v>
      </c>
      <c r="BG35" s="54" t="s">
        <v>22</v>
      </c>
      <c r="BH35" s="75">
        <v>20000</v>
      </c>
      <c r="BI35" s="75">
        <v>14919</v>
      </c>
      <c r="BJ35" s="75">
        <f>IF(BI35&gt;0,SUM(BI$7:BI35)-SUM(BH$7:BH35),0)</f>
        <v>28839</v>
      </c>
      <c r="BK35" s="45">
        <f t="shared" si="19"/>
        <v>0.74595</v>
      </c>
      <c r="BL35" s="75">
        <v>6900</v>
      </c>
      <c r="BM35" s="75">
        <v>10684</v>
      </c>
      <c r="BN35" s="75">
        <f>IF(BM35&gt;0,SUM(BM$7:BM35)-SUM(BL$7:BL35),0)</f>
        <v>-13130</v>
      </c>
      <c r="BO35" s="45">
        <f t="shared" si="20"/>
        <v>1.5484057971014493</v>
      </c>
      <c r="BP35" s="75">
        <v>7100</v>
      </c>
      <c r="BQ35" s="75">
        <v>6054</v>
      </c>
      <c r="BR35" s="75">
        <f>IF(BQ35&gt;0,SUM(BQ$7:BQ35)-SUM(BP$7:BP35),0)</f>
        <v>-36837</v>
      </c>
      <c r="BS35" s="45">
        <f t="shared" si="25"/>
        <v>0.85267605633802812</v>
      </c>
      <c r="BT35" s="35">
        <f t="shared" si="3"/>
        <v>34000</v>
      </c>
      <c r="BU35" s="35">
        <f t="shared" si="3"/>
        <v>31657</v>
      </c>
      <c r="BV35" s="35">
        <f>IF(BU35&gt;0,SUM(BU$7:BU35)-SUM(BT$7:BT35),0)</f>
        <v>-21128</v>
      </c>
      <c r="BW35" s="45">
        <f t="shared" si="21"/>
        <v>0.93108823529411766</v>
      </c>
      <c r="BY35" s="47">
        <f t="shared" si="22"/>
        <v>40845</v>
      </c>
      <c r="BZ35" s="48" t="s">
        <v>22</v>
      </c>
      <c r="CA35" s="75">
        <v>3500</v>
      </c>
      <c r="CB35" s="75">
        <v>4229</v>
      </c>
      <c r="CC35" s="75">
        <f>IF(CB35&gt;0,SUM(CB$7:CB35)-SUM(CA$7:CA35),0)</f>
        <v>10173</v>
      </c>
      <c r="CD35" s="45">
        <f t="shared" si="23"/>
        <v>1.2082857142857142</v>
      </c>
    </row>
    <row r="36" spans="1:82" x14ac:dyDescent="0.25">
      <c r="A36" s="47">
        <f t="shared" si="4"/>
        <v>40846</v>
      </c>
      <c r="B36" s="54" t="s">
        <v>23</v>
      </c>
      <c r="C36" s="75"/>
      <c r="D36" s="75"/>
      <c r="E36" s="75">
        <f>IF(D36&gt;0,SUM(D$7:D36)-SUM(C$7:C36),0)</f>
        <v>0</v>
      </c>
      <c r="F36" s="45">
        <f t="shared" si="5"/>
        <v>0</v>
      </c>
      <c r="G36" s="80" t="s">
        <v>40</v>
      </c>
      <c r="H36" s="75"/>
      <c r="I36" s="75">
        <f>IF(H36&gt;0,SUM(H$7:H36)-SUM(G$7:G36),0)</f>
        <v>0</v>
      </c>
      <c r="J36" s="45">
        <f t="shared" si="6"/>
        <v>0</v>
      </c>
      <c r="K36" s="75"/>
      <c r="L36" s="75"/>
      <c r="M36" s="75">
        <f>IF(L36&gt;0,SUM(L$7:L36)-SUM(K$7:K36),0)</f>
        <v>0</v>
      </c>
      <c r="N36" s="45">
        <f t="shared" si="7"/>
        <v>0</v>
      </c>
      <c r="O36" s="35">
        <f t="shared" si="0"/>
        <v>0</v>
      </c>
      <c r="P36" s="35">
        <f t="shared" si="0"/>
        <v>0</v>
      </c>
      <c r="Q36" s="35">
        <f>IF(P36&gt;0,SUM(P$7:P36)-SUM(O$7:O36),0)</f>
        <v>0</v>
      </c>
      <c r="R36" s="45">
        <f t="shared" si="8"/>
        <v>0</v>
      </c>
      <c r="T36" s="47">
        <f t="shared" si="9"/>
        <v>40846</v>
      </c>
      <c r="U36" s="48" t="s">
        <v>23</v>
      </c>
      <c r="V36" s="76"/>
      <c r="W36" s="76"/>
      <c r="X36" s="76">
        <f>IF(W36&gt;0,SUM(W$7:W36)-SUM(V$7:V36),0)</f>
        <v>0</v>
      </c>
      <c r="Y36" s="60">
        <f t="shared" si="10"/>
        <v>0</v>
      </c>
      <c r="Z36" s="80" t="s">
        <v>40</v>
      </c>
      <c r="AA36" s="76"/>
      <c r="AB36" s="76">
        <f>IF(AA36&gt;0,SUM(AA$7:AA36)-SUM(Z$7:Z36),0)</f>
        <v>0</v>
      </c>
      <c r="AC36" s="60">
        <f t="shared" si="11"/>
        <v>0</v>
      </c>
      <c r="AD36" s="76"/>
      <c r="AE36" s="76"/>
      <c r="AF36" s="76">
        <f>IF(AE36&gt;0,SUM(AE$7:AE36)-SUM(AD$7:AD36),0)</f>
        <v>0</v>
      </c>
      <c r="AG36" s="60">
        <f t="shared" si="12"/>
        <v>0</v>
      </c>
      <c r="AH36" s="41">
        <f t="shared" si="1"/>
        <v>0</v>
      </c>
      <c r="AI36" s="41">
        <f t="shared" si="1"/>
        <v>0</v>
      </c>
      <c r="AJ36" s="41">
        <f>IF(AI36&gt;0,SUM(AI$7:AI36)-SUM(AH$7:AH36),0)</f>
        <v>0</v>
      </c>
      <c r="AK36" s="60">
        <f t="shared" si="13"/>
        <v>0</v>
      </c>
      <c r="AM36" s="47">
        <f t="shared" si="14"/>
        <v>40846</v>
      </c>
      <c r="AN36" s="54" t="s">
        <v>23</v>
      </c>
      <c r="AO36" s="75"/>
      <c r="AP36" s="75"/>
      <c r="AQ36" s="75">
        <f>IF(AP36&gt;0,SUM(AP$7:AP36)-SUM(AO$7:AO36),0)</f>
        <v>0</v>
      </c>
      <c r="AR36" s="45">
        <f t="shared" si="15"/>
        <v>0</v>
      </c>
      <c r="AS36" s="80" t="s">
        <v>40</v>
      </c>
      <c r="AT36" s="75"/>
      <c r="AU36" s="75">
        <f>IF(AT36&gt;0,SUM(AT$7:AT36)-SUM(AS$7:AS36),0)</f>
        <v>0</v>
      </c>
      <c r="AV36" s="45">
        <f t="shared" si="16"/>
        <v>0</v>
      </c>
      <c r="AW36" s="75"/>
      <c r="AX36" s="75"/>
      <c r="AY36" s="75">
        <f>IF(AX36&gt;0,SUM(AX$7:AX36)-SUM(AW$7:AW36),0)</f>
        <v>0</v>
      </c>
      <c r="AZ36" s="45">
        <f t="shared" si="24"/>
        <v>0</v>
      </c>
      <c r="BA36" s="35">
        <f t="shared" si="2"/>
        <v>0</v>
      </c>
      <c r="BB36" s="35">
        <f t="shared" si="2"/>
        <v>0</v>
      </c>
      <c r="BC36" s="35">
        <f>IF(BB36&gt;0,SUM(BB$7:BB36)-SUM(BA$7:BA36),0)</f>
        <v>0</v>
      </c>
      <c r="BD36" s="45">
        <f t="shared" si="17"/>
        <v>0</v>
      </c>
      <c r="BF36" s="47">
        <f t="shared" si="18"/>
        <v>40846</v>
      </c>
      <c r="BG36" s="54" t="s">
        <v>23</v>
      </c>
      <c r="BH36" s="75"/>
      <c r="BI36" s="75"/>
      <c r="BJ36" s="75">
        <f>IF(BI36&gt;0,SUM(BI$7:BI36)-SUM(BH$7:BH36),0)</f>
        <v>0</v>
      </c>
      <c r="BK36" s="45">
        <f t="shared" si="19"/>
        <v>0</v>
      </c>
      <c r="BL36" s="75"/>
      <c r="BM36" s="75"/>
      <c r="BN36" s="75">
        <f>IF(BM36&gt;0,SUM(BM$7:BM36)-SUM(BL$7:BL36),0)</f>
        <v>0</v>
      </c>
      <c r="BO36" s="45">
        <f t="shared" si="20"/>
        <v>0</v>
      </c>
      <c r="BP36" s="75"/>
      <c r="BQ36" s="75"/>
      <c r="BR36" s="75">
        <f>IF(BQ36&gt;0,SUM(BQ$7:BQ36)-SUM(BP$7:BP36),0)</f>
        <v>0</v>
      </c>
      <c r="BS36" s="45">
        <f t="shared" si="25"/>
        <v>0</v>
      </c>
      <c r="BT36" s="35">
        <f t="shared" si="3"/>
        <v>0</v>
      </c>
      <c r="BU36" s="35">
        <f t="shared" si="3"/>
        <v>0</v>
      </c>
      <c r="BV36" s="35">
        <f>IF(BU36&gt;0,SUM(BU$7:BU36)-SUM(BT$7:BT36),0)</f>
        <v>0</v>
      </c>
      <c r="BW36" s="45">
        <f t="shared" si="21"/>
        <v>0</v>
      </c>
      <c r="BY36" s="47">
        <f t="shared" si="22"/>
        <v>40846</v>
      </c>
      <c r="BZ36" s="48" t="s">
        <v>23</v>
      </c>
      <c r="CA36" s="75"/>
      <c r="CB36" s="75"/>
      <c r="CC36" s="75">
        <f>IF(CB36&gt;0,SUM(CB$7:CB36)-SUM(CA$7:CA36),0)</f>
        <v>0</v>
      </c>
      <c r="CD36" s="45">
        <f t="shared" si="23"/>
        <v>0</v>
      </c>
    </row>
    <row r="37" spans="1:82" ht="15.75" thickBot="1" x14ac:dyDescent="0.3">
      <c r="A37" s="47">
        <f t="shared" si="4"/>
        <v>40847</v>
      </c>
      <c r="B37" s="54" t="s">
        <v>24</v>
      </c>
      <c r="C37" s="75">
        <v>19000</v>
      </c>
      <c r="D37" s="75">
        <v>21133</v>
      </c>
      <c r="E37" s="75">
        <f>IF(D37&gt;0,SUM(D$7:D37)-SUM(C$7:C37),0)</f>
        <v>103185</v>
      </c>
      <c r="F37" s="45">
        <f t="shared" si="5"/>
        <v>1.1122631578947368</v>
      </c>
      <c r="G37" s="80" t="s">
        <v>40</v>
      </c>
      <c r="H37" s="75"/>
      <c r="I37" s="75">
        <f>IF(H37&gt;0,SUM(H$7:H37)-SUM(G$7:G37),0)</f>
        <v>0</v>
      </c>
      <c r="J37" s="45">
        <f t="shared" si="6"/>
        <v>0</v>
      </c>
      <c r="K37" s="75">
        <v>17000</v>
      </c>
      <c r="L37" s="75">
        <v>9590</v>
      </c>
      <c r="M37" s="75">
        <f>IF(L37&gt;0,SUM(L$7:L37)-SUM(K$7:K37),0)</f>
        <v>-91111</v>
      </c>
      <c r="N37" s="45">
        <f t="shared" si="7"/>
        <v>0.5641176470588235</v>
      </c>
      <c r="O37" s="35">
        <f t="shared" si="0"/>
        <v>36000</v>
      </c>
      <c r="P37" s="35">
        <f t="shared" si="0"/>
        <v>30723</v>
      </c>
      <c r="Q37" s="35">
        <f>IF(P37&gt;0,SUM(P$7:P37)-SUM(O$7:O37),0)</f>
        <v>12074</v>
      </c>
      <c r="R37" s="45">
        <f t="shared" si="8"/>
        <v>0.85341666666666671</v>
      </c>
      <c r="T37" s="47">
        <f t="shared" si="9"/>
        <v>40847</v>
      </c>
      <c r="U37" s="48" t="s">
        <v>24</v>
      </c>
      <c r="V37" s="76">
        <v>17000</v>
      </c>
      <c r="W37" s="76">
        <v>15612</v>
      </c>
      <c r="X37" s="76">
        <f>IF(W37&gt;0,SUM(W$7:W37)-SUM(V$7:V37),0)</f>
        <v>26787</v>
      </c>
      <c r="Y37" s="60">
        <f t="shared" si="10"/>
        <v>0.91835294117647059</v>
      </c>
      <c r="Z37" s="80" t="s">
        <v>40</v>
      </c>
      <c r="AA37" s="76"/>
      <c r="AB37" s="76">
        <f>IF(AA37&gt;0,SUM(AA$7:AA37)-SUM(Z$7:Z37),0)</f>
        <v>0</v>
      </c>
      <c r="AC37" s="60">
        <f t="shared" si="11"/>
        <v>0</v>
      </c>
      <c r="AD37" s="76">
        <v>17000</v>
      </c>
      <c r="AE37" s="76">
        <v>15372</v>
      </c>
      <c r="AF37" s="76">
        <f>IF(AE37&gt;0,SUM(AE$7:AE37)-SUM(AD$7:AD37),0)</f>
        <v>-43693</v>
      </c>
      <c r="AG37" s="60">
        <f t="shared" si="12"/>
        <v>0.90423529411764703</v>
      </c>
      <c r="AH37" s="41">
        <f t="shared" si="1"/>
        <v>34000</v>
      </c>
      <c r="AI37" s="41">
        <f t="shared" si="1"/>
        <v>30984</v>
      </c>
      <c r="AJ37" s="41">
        <f>IF(AI37&gt;0,SUM(AI$7:AI37)-SUM(AH$7:AH37),0)</f>
        <v>-16906</v>
      </c>
      <c r="AK37" s="60">
        <f t="shared" si="13"/>
        <v>0.91129411764705881</v>
      </c>
      <c r="AM37" s="59">
        <f t="shared" si="14"/>
        <v>40847</v>
      </c>
      <c r="AN37" s="54" t="s">
        <v>24</v>
      </c>
      <c r="AO37" s="75">
        <v>14000</v>
      </c>
      <c r="AP37" s="75">
        <v>12717</v>
      </c>
      <c r="AQ37" s="75">
        <f>IF(AP37&gt;0,SUM(AP$7:AP37)-SUM(AO$7:AO37),0)</f>
        <v>44913</v>
      </c>
      <c r="AR37" s="45">
        <f t="shared" si="15"/>
        <v>0.90835714285714286</v>
      </c>
      <c r="AS37" s="80" t="s">
        <v>40</v>
      </c>
      <c r="AT37" s="75"/>
      <c r="AU37" s="75">
        <f>IF(AT37&gt;0,SUM(AT$7:AT37)-SUM(AS$7:AS37),0)</f>
        <v>0</v>
      </c>
      <c r="AV37" s="45">
        <f t="shared" si="16"/>
        <v>0</v>
      </c>
      <c r="AW37" s="75">
        <v>13000</v>
      </c>
      <c r="AX37" s="75">
        <v>11804</v>
      </c>
      <c r="AY37" s="75">
        <f>IF(AX37&gt;0,SUM(AX$7:AX37)-SUM(AW$7:AW37),0)</f>
        <v>-32615</v>
      </c>
      <c r="AZ37" s="45">
        <f t="shared" si="24"/>
        <v>0.90800000000000003</v>
      </c>
      <c r="BA37" s="35">
        <f t="shared" si="2"/>
        <v>27000</v>
      </c>
      <c r="BB37" s="35">
        <f t="shared" si="2"/>
        <v>24521</v>
      </c>
      <c r="BC37" s="35">
        <f>IF(BB37&gt;0,SUM(BB$7:BB37)-SUM(BA$7:BA37),0)</f>
        <v>12298</v>
      </c>
      <c r="BD37" s="45">
        <f t="shared" si="17"/>
        <v>0.90818518518518521</v>
      </c>
      <c r="BF37" s="47">
        <f t="shared" si="18"/>
        <v>40847</v>
      </c>
      <c r="BG37" s="54" t="s">
        <v>24</v>
      </c>
      <c r="BH37" s="75">
        <v>20000</v>
      </c>
      <c r="BI37" s="75">
        <v>12960</v>
      </c>
      <c r="BJ37" s="75">
        <f>IF(BI37&gt;0,SUM(BI$7:BI37)-SUM(BH$7:BH37),0)</f>
        <v>21799</v>
      </c>
      <c r="BK37" s="45">
        <f t="shared" si="19"/>
        <v>0.64800000000000002</v>
      </c>
      <c r="BL37" s="75">
        <v>6900</v>
      </c>
      <c r="BM37" s="75">
        <v>11574</v>
      </c>
      <c r="BN37" s="75">
        <f>IF(BM37&gt;0,SUM(BM$7:BM37)-SUM(BL$7:BL37),0)</f>
        <v>-8456</v>
      </c>
      <c r="BO37" s="45">
        <f t="shared" si="20"/>
        <v>1.6773913043478261</v>
      </c>
      <c r="BP37" s="75">
        <v>7100</v>
      </c>
      <c r="BQ37" s="75">
        <v>11729</v>
      </c>
      <c r="BR37" s="75">
        <f>IF(BQ37&gt;0,SUM(BQ$7:BQ37)-SUM(BP$7:BP37),0)</f>
        <v>-32208</v>
      </c>
      <c r="BS37" s="45">
        <f t="shared" si="25"/>
        <v>1.6519718309859155</v>
      </c>
      <c r="BT37" s="35">
        <f t="shared" si="3"/>
        <v>34000</v>
      </c>
      <c r="BU37" s="35">
        <f t="shared" si="3"/>
        <v>36263</v>
      </c>
      <c r="BV37" s="35">
        <f>IF(BU37&gt;0,SUM(BU$7:BU37)-SUM(BT$7:BT37),0)</f>
        <v>-18865</v>
      </c>
      <c r="BW37" s="45">
        <f t="shared" si="21"/>
        <v>1.0665588235294117</v>
      </c>
      <c r="BY37" s="47">
        <f t="shared" si="22"/>
        <v>40847</v>
      </c>
      <c r="BZ37" s="48" t="s">
        <v>24</v>
      </c>
      <c r="CA37" s="75">
        <v>3500</v>
      </c>
      <c r="CB37" s="75"/>
      <c r="CC37" s="75">
        <f>IF(CB37&gt;0,SUM(CB$7:CB37)-SUM(CA$7:CA37),0)</f>
        <v>0</v>
      </c>
      <c r="CD37" s="45">
        <f t="shared" si="23"/>
        <v>0</v>
      </c>
    </row>
    <row r="38" spans="1:82" ht="17.25" customHeight="1" thickBot="1" x14ac:dyDescent="0.25">
      <c r="A38" s="46" t="s">
        <v>17</v>
      </c>
      <c r="B38" s="63"/>
      <c r="C38" s="78">
        <f>SUM(C7:C37)</f>
        <v>399000</v>
      </c>
      <c r="D38" s="78">
        <f>SUM(D7:D37)</f>
        <v>502185</v>
      </c>
      <c r="E38" s="78">
        <f>D38-C38</f>
        <v>103185</v>
      </c>
      <c r="F38" s="53">
        <f t="shared" si="5"/>
        <v>1.2586090225563911</v>
      </c>
      <c r="G38" s="78">
        <f>SUM(G7:G37)</f>
        <v>0</v>
      </c>
      <c r="H38" s="78">
        <f>SUM(H7:H37)</f>
        <v>0</v>
      </c>
      <c r="I38" s="78">
        <f>H38-G38</f>
        <v>0</v>
      </c>
      <c r="J38" s="53">
        <f t="shared" si="6"/>
        <v>0</v>
      </c>
      <c r="K38" s="78">
        <f>SUM(K7:K37)</f>
        <v>357000</v>
      </c>
      <c r="L38" s="78">
        <f>SUM(L7:L37)</f>
        <v>265889</v>
      </c>
      <c r="M38" s="78">
        <f>L38-K38</f>
        <v>-91111</v>
      </c>
      <c r="N38" s="53">
        <f t="shared" si="7"/>
        <v>0.7447871148459384</v>
      </c>
      <c r="O38" s="58">
        <f t="shared" si="0"/>
        <v>756000</v>
      </c>
      <c r="P38" s="58">
        <f t="shared" si="0"/>
        <v>768074</v>
      </c>
      <c r="Q38" s="58">
        <f>P38-O38</f>
        <v>12074</v>
      </c>
      <c r="R38" s="53">
        <f t="shared" si="8"/>
        <v>1.0159708994708996</v>
      </c>
      <c r="T38" s="134" t="s">
        <v>17</v>
      </c>
      <c r="U38" s="134"/>
      <c r="V38" s="79">
        <f>SUM(V7:V37)</f>
        <v>357000</v>
      </c>
      <c r="W38" s="79">
        <f>SUM(W7:W37)</f>
        <v>383787</v>
      </c>
      <c r="X38" s="79">
        <f>W38-V38</f>
        <v>26787</v>
      </c>
      <c r="Y38" s="61">
        <f t="shared" si="10"/>
        <v>1.0750336134453782</v>
      </c>
      <c r="Z38" s="79">
        <f>SUM(Z7:Z37)</f>
        <v>0</v>
      </c>
      <c r="AA38" s="79">
        <f>SUM(AA7:AA37)</f>
        <v>0</v>
      </c>
      <c r="AB38" s="79">
        <f>AA38-Z38</f>
        <v>0</v>
      </c>
      <c r="AC38" s="61">
        <f t="shared" si="11"/>
        <v>0</v>
      </c>
      <c r="AD38" s="79">
        <f>SUM(AD7:AD37)</f>
        <v>357000</v>
      </c>
      <c r="AE38" s="79">
        <f>SUM(AE7:AE37)</f>
        <v>313307</v>
      </c>
      <c r="AF38" s="79">
        <f>AE38-AD38</f>
        <v>-43693</v>
      </c>
      <c r="AG38" s="61">
        <f t="shared" si="12"/>
        <v>0.87761064425770308</v>
      </c>
      <c r="AH38" s="62">
        <f t="shared" si="1"/>
        <v>714000</v>
      </c>
      <c r="AI38" s="62">
        <f t="shared" si="1"/>
        <v>697094</v>
      </c>
      <c r="AJ38" s="62">
        <f>AI38-AH38</f>
        <v>-16906</v>
      </c>
      <c r="AK38" s="61">
        <f t="shared" si="13"/>
        <v>0.97632212885154057</v>
      </c>
      <c r="AM38" s="132" t="s">
        <v>17</v>
      </c>
      <c r="AN38" s="133"/>
      <c r="AO38" s="78">
        <f>SUM(AO7:AO37)</f>
        <v>294000</v>
      </c>
      <c r="AP38" s="78">
        <f>SUM(AP7:AP37)</f>
        <v>338913</v>
      </c>
      <c r="AQ38" s="78">
        <f>AP38-AO38</f>
        <v>44913</v>
      </c>
      <c r="AR38" s="53">
        <f t="shared" si="15"/>
        <v>1.152765306122449</v>
      </c>
      <c r="AS38" s="78">
        <f>SUM(AS7:AS37)</f>
        <v>0</v>
      </c>
      <c r="AT38" s="78">
        <f>SUM(AT7:AT37)</f>
        <v>0</v>
      </c>
      <c r="AU38" s="78">
        <f>AT38-AS38</f>
        <v>0</v>
      </c>
      <c r="AV38" s="53">
        <f t="shared" si="16"/>
        <v>0</v>
      </c>
      <c r="AW38" s="78">
        <f>SUM(AW7:AW37)</f>
        <v>273000</v>
      </c>
      <c r="AX38" s="78">
        <f>SUM(AX7:AX37)</f>
        <v>240385</v>
      </c>
      <c r="AY38" s="78">
        <f>AX38-AW38</f>
        <v>-32615</v>
      </c>
      <c r="AZ38" s="53">
        <f t="shared" si="24"/>
        <v>0.88053113553113549</v>
      </c>
      <c r="BA38" s="58">
        <f t="shared" si="2"/>
        <v>567000</v>
      </c>
      <c r="BB38" s="58">
        <f t="shared" si="2"/>
        <v>579298</v>
      </c>
      <c r="BC38" s="58">
        <f>BB38-BA38</f>
        <v>12298</v>
      </c>
      <c r="BD38" s="53">
        <f t="shared" si="17"/>
        <v>1.0216895943562609</v>
      </c>
      <c r="BF38" s="39" t="s">
        <v>17</v>
      </c>
      <c r="BG38" s="55"/>
      <c r="BH38" s="78">
        <f>SUM(BH7:BH37)</f>
        <v>420000</v>
      </c>
      <c r="BI38" s="78">
        <f>SUM(BI7:BI37)</f>
        <v>441799</v>
      </c>
      <c r="BJ38" s="78">
        <f>BI38-BH38</f>
        <v>21799</v>
      </c>
      <c r="BK38" s="53">
        <f t="shared" si="19"/>
        <v>1.0519023809523809</v>
      </c>
      <c r="BL38" s="78">
        <f>SUM(BL7:BL37)</f>
        <v>144900</v>
      </c>
      <c r="BM38" s="78">
        <f>SUM(BM7:BM37)</f>
        <v>136444</v>
      </c>
      <c r="BN38" s="78">
        <f>BM38-BL38</f>
        <v>-8456</v>
      </c>
      <c r="BO38" s="53">
        <f t="shared" si="20"/>
        <v>0.94164251207729466</v>
      </c>
      <c r="BP38" s="78">
        <f>SUM(BP7:BP37)</f>
        <v>149100</v>
      </c>
      <c r="BQ38" s="78">
        <f>SUM(BQ7:BQ37)</f>
        <v>116892</v>
      </c>
      <c r="BR38" s="78">
        <f>BQ38-BP38</f>
        <v>-32208</v>
      </c>
      <c r="BS38" s="53">
        <f t="shared" si="25"/>
        <v>0.78398390342052315</v>
      </c>
      <c r="BT38" s="58">
        <f t="shared" si="3"/>
        <v>714000</v>
      </c>
      <c r="BU38" s="58">
        <f t="shared" si="3"/>
        <v>695135</v>
      </c>
      <c r="BV38" s="58">
        <f>BU38-BT38</f>
        <v>-18865</v>
      </c>
      <c r="BW38" s="53">
        <f t="shared" si="21"/>
        <v>0.97357843137254907</v>
      </c>
      <c r="BY38" s="51" t="s">
        <v>17</v>
      </c>
      <c r="BZ38" s="52"/>
      <c r="CA38" s="78">
        <f>SUM(CA7:CA37)</f>
        <v>73500</v>
      </c>
      <c r="CB38" s="78">
        <f>SUM(CB7:CB37)</f>
        <v>80173</v>
      </c>
      <c r="CC38" s="75">
        <f>CA38-CB38</f>
        <v>-6673</v>
      </c>
      <c r="CD38" s="53">
        <f t="shared" si="23"/>
        <v>1.0907891156462586</v>
      </c>
    </row>
  </sheetData>
  <mergeCells count="46">
    <mergeCell ref="C4:F4"/>
    <mergeCell ref="G4:J4"/>
    <mergeCell ref="K4:N4"/>
    <mergeCell ref="O4:R4"/>
    <mergeCell ref="V4:Y4"/>
    <mergeCell ref="F1:R3"/>
    <mergeCell ref="Y1:AH2"/>
    <mergeCell ref="AQ1:BD3"/>
    <mergeCell ref="BJ1:BW3"/>
    <mergeCell ref="BY1:CD3"/>
    <mergeCell ref="BL4:BO4"/>
    <mergeCell ref="BP4:BS4"/>
    <mergeCell ref="BT4:BW4"/>
    <mergeCell ref="CA4:CD4"/>
    <mergeCell ref="Z4:AC4"/>
    <mergeCell ref="AD4:AG4"/>
    <mergeCell ref="AH4:AK4"/>
    <mergeCell ref="AO4:AR4"/>
    <mergeCell ref="AS4:AV4"/>
    <mergeCell ref="AW4:AZ4"/>
    <mergeCell ref="O5:R5"/>
    <mergeCell ref="V5:Y5"/>
    <mergeCell ref="Z5:AC5"/>
    <mergeCell ref="BA4:BD4"/>
    <mergeCell ref="BH4:BK4"/>
    <mergeCell ref="BT5:BW5"/>
    <mergeCell ref="CA5:CD5"/>
    <mergeCell ref="A6:B6"/>
    <mergeCell ref="T6:U6"/>
    <mergeCell ref="AM6:AN6"/>
    <mergeCell ref="BF6:BG6"/>
    <mergeCell ref="BY6:BZ6"/>
    <mergeCell ref="AD5:AG5"/>
    <mergeCell ref="AH5:AK5"/>
    <mergeCell ref="AO5:AR5"/>
    <mergeCell ref="AS5:AV5"/>
    <mergeCell ref="AW5:AZ5"/>
    <mergeCell ref="BA5:BD5"/>
    <mergeCell ref="C5:F5"/>
    <mergeCell ref="G5:J5"/>
    <mergeCell ref="K5:N5"/>
    <mergeCell ref="T38:U38"/>
    <mergeCell ref="AM38:AN38"/>
    <mergeCell ref="BH5:BK5"/>
    <mergeCell ref="BL5:BO5"/>
    <mergeCell ref="BP5:BS5"/>
  </mergeCells>
  <conditionalFormatting sqref="D8">
    <cfRule type="top10" dxfId="320" priority="51" rank="1"/>
  </conditionalFormatting>
  <conditionalFormatting sqref="D7:E37">
    <cfRule type="top10" dxfId="319" priority="124" rank="1"/>
  </conditionalFormatting>
  <conditionalFormatting sqref="H7:H37">
    <cfRule type="top10" dxfId="318" priority="123" rank="1"/>
  </conditionalFormatting>
  <conditionalFormatting sqref="H8">
    <cfRule type="top10" dxfId="317" priority="50" rank="1"/>
  </conditionalFormatting>
  <conditionalFormatting sqref="H16">
    <cfRule type="top10" dxfId="316" priority="119" rank="1"/>
  </conditionalFormatting>
  <conditionalFormatting sqref="L7:L37">
    <cfRule type="top10" dxfId="315" priority="121" rank="1"/>
  </conditionalFormatting>
  <conditionalFormatting sqref="L8">
    <cfRule type="top10" dxfId="314" priority="49" rank="1"/>
  </conditionalFormatting>
  <conditionalFormatting sqref="L10">
    <cfRule type="top10" dxfId="313" priority="1" rank="1"/>
  </conditionalFormatting>
  <conditionalFormatting sqref="L11">
    <cfRule type="top10" dxfId="312" priority="120" rank="1"/>
  </conditionalFormatting>
  <conditionalFormatting sqref="L16">
    <cfRule type="top10" dxfId="311" priority="118" rank="1"/>
  </conditionalFormatting>
  <conditionalFormatting sqref="P7:Q37">
    <cfRule type="top10" dxfId="310" priority="122" rank="1"/>
  </conditionalFormatting>
  <conditionalFormatting sqref="W7:W37">
    <cfRule type="top10" dxfId="309" priority="113" rank="1"/>
  </conditionalFormatting>
  <conditionalFormatting sqref="W7:X37">
    <cfRule type="top10" dxfId="308" priority="117" rank="1"/>
  </conditionalFormatting>
  <conditionalFormatting sqref="AA7:AA37">
    <cfRule type="top10" dxfId="307" priority="116" rank="1"/>
  </conditionalFormatting>
  <conditionalFormatting sqref="AE7:AE37">
    <cfRule type="top10" dxfId="306" priority="114" rank="1"/>
  </conditionalFormatting>
  <conditionalFormatting sqref="AI7:AJ37">
    <cfRule type="top10" dxfId="305" priority="115" rank="1"/>
  </conditionalFormatting>
  <conditionalFormatting sqref="AP20">
    <cfRule type="top10" dxfId="304" priority="108" rank="1"/>
  </conditionalFormatting>
  <conditionalFormatting sqref="AP21">
    <cfRule type="top10" dxfId="303" priority="105" rank="1"/>
  </conditionalFormatting>
  <conditionalFormatting sqref="AP7:AQ37">
    <cfRule type="top10" dxfId="302" priority="112" rank="1"/>
  </conditionalFormatting>
  <conditionalFormatting sqref="AT7:AT13 AT15:AT37">
    <cfRule type="top10" dxfId="301" priority="111" rank="1"/>
  </conditionalFormatting>
  <conditionalFormatting sqref="AT20">
    <cfRule type="top10" dxfId="300" priority="107" rank="1"/>
  </conditionalFormatting>
  <conditionalFormatting sqref="AT21">
    <cfRule type="top10" dxfId="299" priority="104" rank="1"/>
  </conditionalFormatting>
  <conditionalFormatting sqref="AX7:AX37">
    <cfRule type="top10" dxfId="298" priority="109" rank="1"/>
  </conditionalFormatting>
  <conditionalFormatting sqref="AX20">
    <cfRule type="top10" dxfId="297" priority="106" rank="1"/>
  </conditionalFormatting>
  <conditionalFormatting sqref="AX21">
    <cfRule type="top10" dxfId="296" priority="103" rank="1"/>
  </conditionalFormatting>
  <conditionalFormatting sqref="BB7:BC37">
    <cfRule type="top10" dxfId="295" priority="110" rank="1"/>
  </conditionalFormatting>
  <conditionalFormatting sqref="BH7:BH37">
    <cfRule type="top10" dxfId="294" priority="92" rank="1"/>
  </conditionalFormatting>
  <conditionalFormatting sqref="BI20">
    <cfRule type="top10" dxfId="293" priority="98" rank="1"/>
  </conditionalFormatting>
  <conditionalFormatting sqref="BI21">
    <cfRule type="top10" dxfId="292" priority="95" rank="1"/>
  </conditionalFormatting>
  <conditionalFormatting sqref="BI29">
    <cfRule type="top10" dxfId="291" priority="2" rank="1"/>
  </conditionalFormatting>
  <conditionalFormatting sqref="BI7:BJ37">
    <cfRule type="top10" dxfId="290" priority="102" rank="1"/>
  </conditionalFormatting>
  <conditionalFormatting sqref="BL7:BL37">
    <cfRule type="top10" dxfId="289" priority="91" rank="1"/>
    <cfRule type="top10" dxfId="288" priority="89" rank="1"/>
  </conditionalFormatting>
  <conditionalFormatting sqref="BL8">
    <cfRule type="top10" dxfId="287" priority="48" rank="1"/>
  </conditionalFormatting>
  <conditionalFormatting sqref="BL8:BL10">
    <cfRule type="top10" dxfId="286" priority="80" rank="1"/>
  </conditionalFormatting>
  <conditionalFormatting sqref="BL8:BL11">
    <cfRule type="top10" dxfId="285" priority="56" rank="1"/>
  </conditionalFormatting>
  <conditionalFormatting sqref="BL8:BL37">
    <cfRule type="top10" dxfId="284" priority="42" rank="1"/>
    <cfRule type="top10" dxfId="283" priority="39" rank="1"/>
    <cfRule type="top10" dxfId="282" priority="61" rank="1"/>
  </conditionalFormatting>
  <conditionalFormatting sqref="BL9:BL10">
    <cfRule type="top10" dxfId="281" priority="36" rank="1"/>
  </conditionalFormatting>
  <conditionalFormatting sqref="BL9:BL14">
    <cfRule type="top10" dxfId="280" priority="75" rank="1"/>
  </conditionalFormatting>
  <conditionalFormatting sqref="BL10:BL14">
    <cfRule type="top10" dxfId="279" priority="19" rank="1"/>
  </conditionalFormatting>
  <conditionalFormatting sqref="BL11:BL15">
    <cfRule type="top10" dxfId="278" priority="47" rank="1"/>
  </conditionalFormatting>
  <conditionalFormatting sqref="BL12:BL17">
    <cfRule type="top10" dxfId="277" priority="79" rank="1"/>
  </conditionalFormatting>
  <conditionalFormatting sqref="BL13:BL17">
    <cfRule type="top10" dxfId="276" priority="35" rank="1"/>
    <cfRule type="top10" dxfId="275" priority="34" rank="1"/>
    <cfRule type="top10" dxfId="274" priority="33" rank="1"/>
  </conditionalFormatting>
  <conditionalFormatting sqref="BL14">
    <cfRule type="top10" dxfId="273" priority="67" rank="1"/>
  </conditionalFormatting>
  <conditionalFormatting sqref="BL14:BL17">
    <cfRule type="top10" dxfId="272" priority="55" rank="1"/>
  </conditionalFormatting>
  <conditionalFormatting sqref="BL16:BL21">
    <cfRule type="top10" dxfId="271" priority="74" rank="1"/>
  </conditionalFormatting>
  <conditionalFormatting sqref="BL17:BL21">
    <cfRule type="top10" dxfId="270" priority="18" rank="1"/>
  </conditionalFormatting>
  <conditionalFormatting sqref="BL18:BL20">
    <cfRule type="top10" dxfId="269" priority="46" rank="1"/>
  </conditionalFormatting>
  <conditionalFormatting sqref="BL19:BL23">
    <cfRule type="top10" dxfId="268" priority="78" rank="1"/>
  </conditionalFormatting>
  <conditionalFormatting sqref="BL20:BL24">
    <cfRule type="top10" dxfId="267" priority="32" rank="1"/>
    <cfRule type="top10" dxfId="266" priority="31" rank="1"/>
    <cfRule type="top10" dxfId="265" priority="30" rank="1"/>
  </conditionalFormatting>
  <conditionalFormatting sqref="BL21:BL25">
    <cfRule type="top10" dxfId="264" priority="54" rank="1"/>
  </conditionalFormatting>
  <conditionalFormatting sqref="BL22">
    <cfRule type="top10" dxfId="263" priority="45" rank="1"/>
  </conditionalFormatting>
  <conditionalFormatting sqref="BL23:BL28">
    <cfRule type="top10" dxfId="262" priority="73" rank="1"/>
  </conditionalFormatting>
  <conditionalFormatting sqref="BL24:BL29">
    <cfRule type="top10" dxfId="261" priority="17" rank="1"/>
  </conditionalFormatting>
  <conditionalFormatting sqref="BL25:BL29">
    <cfRule type="top10" dxfId="260" priority="44" rank="1"/>
  </conditionalFormatting>
  <conditionalFormatting sqref="BL26:BL34">
    <cfRule type="top10" dxfId="259" priority="77" rank="1"/>
  </conditionalFormatting>
  <conditionalFormatting sqref="BL27:BL34">
    <cfRule type="top10" dxfId="258" priority="27" rank="1"/>
    <cfRule type="top10" dxfId="257" priority="28" rank="1"/>
    <cfRule type="top10" dxfId="256" priority="29" rank="1"/>
  </conditionalFormatting>
  <conditionalFormatting sqref="BL28">
    <cfRule type="top10" dxfId="255" priority="65" rank="1"/>
  </conditionalFormatting>
  <conditionalFormatting sqref="BL28:BL34">
    <cfRule type="top10" dxfId="254" priority="53" rank="1"/>
  </conditionalFormatting>
  <conditionalFormatting sqref="BL30:BL35">
    <cfRule type="top10" dxfId="253" priority="72" rank="1"/>
  </conditionalFormatting>
  <conditionalFormatting sqref="BL31:BL34">
    <cfRule type="top10" dxfId="252" priority="13" rank="1"/>
    <cfRule type="top10" dxfId="251" priority="14" rank="1"/>
    <cfRule type="top10" dxfId="250" priority="15" rank="1"/>
    <cfRule type="top10" dxfId="249" priority="16" rank="1"/>
  </conditionalFormatting>
  <conditionalFormatting sqref="BL32:BL36">
    <cfRule type="top10" dxfId="248" priority="43" rank="1"/>
  </conditionalFormatting>
  <conditionalFormatting sqref="BL33:BL37">
    <cfRule type="top10" dxfId="247" priority="76" rank="1"/>
  </conditionalFormatting>
  <conditionalFormatting sqref="BL34:BL37">
    <cfRule type="top10" dxfId="246" priority="24" rank="1"/>
    <cfRule type="top10" dxfId="245" priority="25" rank="1"/>
    <cfRule type="top10" dxfId="244" priority="26" rank="1"/>
  </conditionalFormatting>
  <conditionalFormatting sqref="BL35">
    <cfRule type="top10" dxfId="243" priority="63" rank="1"/>
  </conditionalFormatting>
  <conditionalFormatting sqref="BL35:BL37">
    <cfRule type="top10" dxfId="242" priority="52" rank="1"/>
  </conditionalFormatting>
  <conditionalFormatting sqref="BM7:BM37">
    <cfRule type="top10" dxfId="241" priority="101" rank="1"/>
  </conditionalFormatting>
  <conditionalFormatting sqref="BM20">
    <cfRule type="top10" dxfId="240" priority="97" rank="1"/>
  </conditionalFormatting>
  <conditionalFormatting sqref="BM21">
    <cfRule type="top10" dxfId="239" priority="94" rank="1"/>
  </conditionalFormatting>
  <conditionalFormatting sqref="BP7:BP37">
    <cfRule type="top10" dxfId="238" priority="41" rank="1"/>
    <cfRule type="top10" dxfId="237" priority="40" rank="1"/>
    <cfRule type="top10" dxfId="236" priority="90" rank="1"/>
    <cfRule type="top10" dxfId="235" priority="38" rank="1"/>
    <cfRule type="top10" dxfId="234" priority="37" rank="1"/>
  </conditionalFormatting>
  <conditionalFormatting sqref="BP8:BP10">
    <cfRule type="top10" dxfId="233" priority="85" rank="1"/>
  </conditionalFormatting>
  <conditionalFormatting sqref="BP8:BP37">
    <cfRule type="top10" dxfId="232" priority="88" rank="1"/>
    <cfRule type="top10" dxfId="231" priority="87" rank="1"/>
  </conditionalFormatting>
  <conditionalFormatting sqref="BP9:BP14">
    <cfRule type="top10" dxfId="230" priority="71" rank="1"/>
  </conditionalFormatting>
  <conditionalFormatting sqref="BP12:BP21">
    <cfRule type="top10" dxfId="229" priority="84" rank="1"/>
  </conditionalFormatting>
  <conditionalFormatting sqref="BP13:BP21">
    <cfRule type="top10" dxfId="228" priority="23" rank="1"/>
  </conditionalFormatting>
  <conditionalFormatting sqref="BP14">
    <cfRule type="top10" dxfId="227" priority="66" rank="1"/>
  </conditionalFormatting>
  <conditionalFormatting sqref="BP16:BP21">
    <cfRule type="top10" dxfId="226" priority="70" rank="1"/>
  </conditionalFormatting>
  <conditionalFormatting sqref="BP17:BP21">
    <cfRule type="top10" dxfId="225" priority="12" rank="1"/>
    <cfRule type="top10" dxfId="224" priority="11" rank="1"/>
  </conditionalFormatting>
  <conditionalFormatting sqref="BP19">
    <cfRule type="top10" dxfId="223" priority="59" rank="1"/>
  </conditionalFormatting>
  <conditionalFormatting sqref="BP19:BP23">
    <cfRule type="top10" dxfId="222" priority="83" rank="1"/>
  </conditionalFormatting>
  <conditionalFormatting sqref="BP20:BP24">
    <cfRule type="top10" dxfId="221" priority="22" rank="1"/>
  </conditionalFormatting>
  <conditionalFormatting sqref="BP23:BP28">
    <cfRule type="top10" dxfId="220" priority="69" rank="1"/>
  </conditionalFormatting>
  <conditionalFormatting sqref="BP24:BP28">
    <cfRule type="top10" dxfId="219" priority="7" rank="1"/>
    <cfRule type="top10" dxfId="218" priority="9" rank="1"/>
    <cfRule type="top10" dxfId="217" priority="8" rank="1"/>
    <cfRule type="top10" dxfId="216" priority="10" rank="1"/>
  </conditionalFormatting>
  <conditionalFormatting sqref="BP26">
    <cfRule type="top10" dxfId="215" priority="58" rank="1"/>
  </conditionalFormatting>
  <conditionalFormatting sqref="BP26:BP31">
    <cfRule type="top10" dxfId="214" priority="82" rank="1"/>
  </conditionalFormatting>
  <conditionalFormatting sqref="BP27:BP31">
    <cfRule type="top10" dxfId="213" priority="21" rank="1"/>
  </conditionalFormatting>
  <conditionalFormatting sqref="BP28">
    <cfRule type="top10" dxfId="212" priority="64" rank="1"/>
  </conditionalFormatting>
  <conditionalFormatting sqref="BP30:BP35">
    <cfRule type="top10" dxfId="211" priority="68" rank="1"/>
  </conditionalFormatting>
  <conditionalFormatting sqref="BP31:BP34">
    <cfRule type="top10" dxfId="210" priority="3" rank="1"/>
    <cfRule type="top10" dxfId="209" priority="6" rank="1"/>
    <cfRule type="top10" dxfId="208" priority="5" rank="1"/>
    <cfRule type="top10" dxfId="207" priority="4" rank="1"/>
  </conditionalFormatting>
  <conditionalFormatting sqref="BP33">
    <cfRule type="top10" dxfId="206" priority="57" rank="1"/>
  </conditionalFormatting>
  <conditionalFormatting sqref="BP33:BP37">
    <cfRule type="top10" dxfId="205" priority="81" rank="1"/>
  </conditionalFormatting>
  <conditionalFormatting sqref="BP34:BP37">
    <cfRule type="top10" dxfId="204" priority="20" rank="1"/>
  </conditionalFormatting>
  <conditionalFormatting sqref="BP35">
    <cfRule type="top10" dxfId="203" priority="62" rank="1"/>
  </conditionalFormatting>
  <conditionalFormatting sqref="BP37">
    <cfRule type="top10" dxfId="202" priority="60" rank="1"/>
  </conditionalFormatting>
  <conditionalFormatting sqref="BQ7:BQ37">
    <cfRule type="top10" dxfId="201" priority="99" rank="1"/>
  </conditionalFormatting>
  <conditionalFormatting sqref="BQ20">
    <cfRule type="top10" dxfId="200" priority="96" rank="1"/>
  </conditionalFormatting>
  <conditionalFormatting sqref="BQ21">
    <cfRule type="top10" dxfId="199" priority="93" rank="1"/>
  </conditionalFormatting>
  <conditionalFormatting sqref="BU7:BV37">
    <cfRule type="top10" dxfId="198" priority="100" rank="1"/>
  </conditionalFormatting>
  <conditionalFormatting sqref="CB7:CB9 CB15:CB37 CC7:CC38">
    <cfRule type="top10" dxfId="197" priority="86" rank="1"/>
  </conditionalFormatting>
  <printOptions horizontalCentered="1" verticalCentered="1"/>
  <pageMargins left="0.15748031496062992" right="0.15748031496062992" top="0.27559055118110237" bottom="0.19685039370078741" header="0.15748031496062992" footer="0.11811023622047245"/>
  <pageSetup paperSize="9" scale="81" orientation="landscape" r:id="rId1"/>
  <colBreaks count="3" manualBreakCount="3">
    <brk id="18" max="1048575" man="1"/>
    <brk id="37" max="37" man="1"/>
    <brk id="56" max="37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Plan60">
    <tabColor rgb="FF92D050"/>
  </sheetPr>
  <dimension ref="A1:L27"/>
  <sheetViews>
    <sheetView topLeftCell="A7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41610</v>
      </c>
      <c r="C4" s="24">
        <v>39753</v>
      </c>
      <c r="D4" s="25">
        <f>(SUM(C4:C4)-(F4*1))</f>
        <v>-4691.4444444444453</v>
      </c>
      <c r="E4" s="24">
        <f>C4/1</f>
        <v>39753</v>
      </c>
      <c r="F4" s="30">
        <f t="shared" ref="F4:F21" si="0">$F$22/$G$21</f>
        <v>44444.444444444445</v>
      </c>
      <c r="G4" s="20">
        <v>1</v>
      </c>
      <c r="H4" s="19">
        <v>41610</v>
      </c>
      <c r="I4" s="12">
        <v>10862</v>
      </c>
      <c r="J4" s="10">
        <f>(SUM(I4:I4)-(L4*1))</f>
        <v>-4971.3333333333339</v>
      </c>
      <c r="K4" s="10">
        <f>I4/1</f>
        <v>10862</v>
      </c>
      <c r="L4" s="10">
        <f t="shared" ref="L4:L21" si="1">$L$22/$G$21</f>
        <v>15833.333333333334</v>
      </c>
    </row>
    <row r="5" spans="2:12" ht="20.100000000000001" customHeight="1" x14ac:dyDescent="0.2">
      <c r="B5" s="19">
        <v>41611</v>
      </c>
      <c r="C5" s="26">
        <v>46070</v>
      </c>
      <c r="D5" s="25">
        <f>(SUM(C$4:C5)-(F5*G5))</f>
        <v>-3065.8888888888905</v>
      </c>
      <c r="E5" s="24">
        <f>SUM(C$4:C5)/G5</f>
        <v>42911.5</v>
      </c>
      <c r="F5" s="30">
        <f t="shared" si="0"/>
        <v>44444.444444444445</v>
      </c>
      <c r="G5" s="20">
        <f>G4+1</f>
        <v>2</v>
      </c>
      <c r="H5" s="19">
        <v>41611</v>
      </c>
      <c r="I5" s="21">
        <v>12635</v>
      </c>
      <c r="J5" s="10">
        <f>SUM(I$4:I5)-(L5*G5)</f>
        <v>-8169.6666666666679</v>
      </c>
      <c r="K5" s="10">
        <f>SUM(I$4:I5)/G5</f>
        <v>11748.5</v>
      </c>
      <c r="L5" s="10">
        <f t="shared" si="1"/>
        <v>15833.333333333334</v>
      </c>
    </row>
    <row r="6" spans="2:12" ht="20.100000000000001" customHeight="1" x14ac:dyDescent="0.2">
      <c r="B6" s="19">
        <v>41612</v>
      </c>
      <c r="C6" s="24">
        <v>31726</v>
      </c>
      <c r="D6" s="25">
        <f>(SUM(C$4:C6)-(F6*G6))</f>
        <v>-15784.333333333343</v>
      </c>
      <c r="E6" s="24">
        <f>SUM(C$4:C6)/G6</f>
        <v>39183</v>
      </c>
      <c r="F6" s="30">
        <f t="shared" si="0"/>
        <v>44444.444444444445</v>
      </c>
      <c r="G6" s="20">
        <f t="shared" ref="G6:G15" si="2">G5+1</f>
        <v>3</v>
      </c>
      <c r="H6" s="19">
        <v>41612</v>
      </c>
      <c r="I6" s="21">
        <v>26781</v>
      </c>
      <c r="J6" s="10">
        <f>SUM(I$4:I6)-(L6*G6)</f>
        <v>2778</v>
      </c>
      <c r="K6" s="10">
        <f>SUM(I$4:I6)/G6</f>
        <v>16759.333333333332</v>
      </c>
      <c r="L6" s="10">
        <f t="shared" si="1"/>
        <v>15833.333333333334</v>
      </c>
    </row>
    <row r="7" spans="2:12" ht="19.5" customHeight="1" x14ac:dyDescent="0.2">
      <c r="B7" s="19">
        <v>41613</v>
      </c>
      <c r="C7" s="24">
        <v>37299</v>
      </c>
      <c r="D7" s="25">
        <f>(SUM(C$4:C7)-(F7*G7))</f>
        <v>-22929.777777777781</v>
      </c>
      <c r="E7" s="24">
        <f>SUM(C$4:C7)/G7</f>
        <v>38712</v>
      </c>
      <c r="F7" s="30">
        <f t="shared" si="0"/>
        <v>44444.444444444445</v>
      </c>
      <c r="G7" s="20">
        <f t="shared" si="2"/>
        <v>4</v>
      </c>
      <c r="H7" s="19">
        <v>41613</v>
      </c>
      <c r="I7" s="21">
        <v>9714</v>
      </c>
      <c r="J7" s="10">
        <f>SUM(I$4:I7)-(L7*G7)</f>
        <v>-3341.3333333333358</v>
      </c>
      <c r="K7" s="10">
        <f>SUM(I$4:I7)/G7</f>
        <v>14998</v>
      </c>
      <c r="L7" s="10">
        <f t="shared" si="1"/>
        <v>15833.333333333334</v>
      </c>
    </row>
    <row r="8" spans="2:12" ht="20.100000000000001" customHeight="1" x14ac:dyDescent="0.2">
      <c r="B8" s="19">
        <v>41614</v>
      </c>
      <c r="C8" s="27">
        <v>23452</v>
      </c>
      <c r="D8" s="25">
        <f>(SUM(C$4:C8)-(F8*G8))</f>
        <v>-43922.222222222219</v>
      </c>
      <c r="E8" s="24">
        <f>SUM(C$4:C8)/G8</f>
        <v>35660</v>
      </c>
      <c r="F8" s="30">
        <f t="shared" si="0"/>
        <v>44444.444444444445</v>
      </c>
      <c r="G8" s="20">
        <f t="shared" si="2"/>
        <v>5</v>
      </c>
      <c r="H8" s="19">
        <v>41614</v>
      </c>
      <c r="I8" s="22">
        <v>22392</v>
      </c>
      <c r="J8" s="10">
        <f>SUM(I$4:I8)-(L8*G8)</f>
        <v>3217.3333333333285</v>
      </c>
      <c r="K8" s="10">
        <f>SUM(I$4:I8)/G8</f>
        <v>16476.8</v>
      </c>
      <c r="L8" s="10">
        <f t="shared" si="1"/>
        <v>15833.333333333334</v>
      </c>
    </row>
    <row r="9" spans="2:12" ht="20.100000000000001" customHeight="1" x14ac:dyDescent="0.2">
      <c r="B9" s="19">
        <v>41617</v>
      </c>
      <c r="C9" s="27">
        <v>24113</v>
      </c>
      <c r="D9" s="25">
        <f>(SUM(C$4:C9)-(F9*G9))</f>
        <v>-64253.666666666686</v>
      </c>
      <c r="E9" s="24">
        <f>SUM(C$4:C9)/G9</f>
        <v>33735.5</v>
      </c>
      <c r="F9" s="30">
        <f t="shared" si="0"/>
        <v>44444.444444444445</v>
      </c>
      <c r="G9" s="20">
        <f t="shared" si="2"/>
        <v>6</v>
      </c>
      <c r="H9" s="19">
        <v>41617</v>
      </c>
      <c r="I9" s="22">
        <v>20493</v>
      </c>
      <c r="J9" s="10">
        <f>SUM(I$4:I9)-(L9*G9)</f>
        <v>7877</v>
      </c>
      <c r="K9" s="10">
        <f>SUM(I$4:I9)/G9</f>
        <v>17146.166666666668</v>
      </c>
      <c r="L9" s="10">
        <f t="shared" si="1"/>
        <v>15833.333333333334</v>
      </c>
    </row>
    <row r="10" spans="2:12" ht="20.100000000000001" customHeight="1" x14ac:dyDescent="0.2">
      <c r="B10" s="19">
        <v>41618</v>
      </c>
      <c r="C10" s="24">
        <v>30220</v>
      </c>
      <c r="D10" s="25">
        <f>(SUM(C$4:C10)-(F10*G10))</f>
        <v>-78478.111111111124</v>
      </c>
      <c r="E10" s="24">
        <f>SUM(C$4:C10)/G10</f>
        <v>33233.285714285717</v>
      </c>
      <c r="F10" s="30">
        <f t="shared" si="0"/>
        <v>44444.444444444445</v>
      </c>
      <c r="G10" s="20">
        <f t="shared" si="2"/>
        <v>7</v>
      </c>
      <c r="H10" s="19">
        <v>41618</v>
      </c>
      <c r="I10" s="21">
        <v>11085</v>
      </c>
      <c r="J10" s="10">
        <f>SUM(I$4:I10)-(L10*G10)</f>
        <v>3128.666666666657</v>
      </c>
      <c r="K10" s="10">
        <f>SUM(I$4:I10)/G10</f>
        <v>16280.285714285714</v>
      </c>
      <c r="L10" s="10">
        <f t="shared" si="1"/>
        <v>15833.333333333334</v>
      </c>
    </row>
    <row r="11" spans="2:12" ht="20.100000000000001" customHeight="1" x14ac:dyDescent="0.2">
      <c r="B11" s="19">
        <v>41619</v>
      </c>
      <c r="C11" s="24">
        <v>18948</v>
      </c>
      <c r="D11" s="25">
        <f>(SUM(C$4:C11)-(F11*G11))</f>
        <v>-103974.55555555556</v>
      </c>
      <c r="E11" s="24">
        <f>SUM(C$4:C11)/G11</f>
        <v>31447.625</v>
      </c>
      <c r="F11" s="30">
        <f t="shared" si="0"/>
        <v>44444.444444444445</v>
      </c>
      <c r="G11" s="20">
        <f t="shared" si="2"/>
        <v>8</v>
      </c>
      <c r="H11" s="19">
        <v>41619</v>
      </c>
      <c r="I11" s="21">
        <v>16007</v>
      </c>
      <c r="J11" s="10">
        <f>SUM(I$4:I11)-(L11*G11)</f>
        <v>3302.3333333333285</v>
      </c>
      <c r="K11" s="10">
        <f>SUM(I$4:I11)/G11</f>
        <v>16246.125</v>
      </c>
      <c r="L11" s="10">
        <f t="shared" si="1"/>
        <v>15833.333333333334</v>
      </c>
    </row>
    <row r="12" spans="2:12" ht="20.100000000000001" customHeight="1" x14ac:dyDescent="0.2">
      <c r="B12" s="19">
        <v>41620</v>
      </c>
      <c r="C12" s="29">
        <v>31583</v>
      </c>
      <c r="D12" s="25">
        <f>(SUM(C$4:C12)-(F12*G12))</f>
        <v>-116836</v>
      </c>
      <c r="E12" s="24">
        <f>SUM(C$4:C12)/G12</f>
        <v>31462.666666666668</v>
      </c>
      <c r="F12" s="30">
        <f t="shared" si="0"/>
        <v>44444.444444444445</v>
      </c>
      <c r="G12" s="20">
        <f t="shared" si="2"/>
        <v>9</v>
      </c>
      <c r="H12" s="19">
        <v>41620</v>
      </c>
      <c r="I12" s="13">
        <v>19659</v>
      </c>
      <c r="J12" s="10">
        <f>SUM(I$4:I12)-(L12*G12)</f>
        <v>7128</v>
      </c>
      <c r="K12" s="10">
        <f>SUM(I$4:I12)/G12</f>
        <v>16625.333333333332</v>
      </c>
      <c r="L12" s="10">
        <f t="shared" si="1"/>
        <v>15833.333333333334</v>
      </c>
    </row>
    <row r="13" spans="2:12" ht="20.100000000000001" customHeight="1" x14ac:dyDescent="0.2">
      <c r="B13" s="19">
        <v>41621</v>
      </c>
      <c r="C13" s="29">
        <v>59546</v>
      </c>
      <c r="D13" s="25">
        <f>(SUM(C$4:C13)-(F13*G13))</f>
        <v>-101734.44444444444</v>
      </c>
      <c r="E13" s="24">
        <f>SUM(C$4:C13)/G13</f>
        <v>34271</v>
      </c>
      <c r="F13" s="30">
        <f t="shared" si="0"/>
        <v>44444.444444444445</v>
      </c>
      <c r="G13" s="20">
        <f t="shared" si="2"/>
        <v>10</v>
      </c>
      <c r="H13" s="19">
        <v>41621</v>
      </c>
      <c r="I13" s="13">
        <v>11264</v>
      </c>
      <c r="J13" s="10">
        <f>SUM(I$4:I13)-(L13*G13)</f>
        <v>2558.666666666657</v>
      </c>
      <c r="K13" s="10">
        <f>SUM(I$4:I13)/G13</f>
        <v>16089.2</v>
      </c>
      <c r="L13" s="10">
        <f t="shared" si="1"/>
        <v>15833.333333333334</v>
      </c>
    </row>
    <row r="14" spans="2:12" ht="20.100000000000001" customHeight="1" x14ac:dyDescent="0.2">
      <c r="B14" s="19">
        <v>41624</v>
      </c>
      <c r="C14" s="29">
        <v>29139</v>
      </c>
      <c r="D14" s="25">
        <f>(SUM(C$4:C14)-(F14*G14))</f>
        <v>-117039.88888888888</v>
      </c>
      <c r="E14" s="24">
        <f>SUM(C$4:C14)/G14</f>
        <v>33804.454545454544</v>
      </c>
      <c r="F14" s="30">
        <f t="shared" si="0"/>
        <v>44444.444444444445</v>
      </c>
      <c r="G14" s="20">
        <f t="shared" si="2"/>
        <v>11</v>
      </c>
      <c r="H14" s="19">
        <v>41624</v>
      </c>
      <c r="I14" s="12">
        <v>9817</v>
      </c>
      <c r="J14" s="10">
        <f>SUM(I$4:I14)-(L14*G14)</f>
        <v>-3457.6666666666861</v>
      </c>
      <c r="K14" s="10">
        <f>SUM(I$4:I14)/G14</f>
        <v>15519</v>
      </c>
      <c r="L14" s="10">
        <f t="shared" si="1"/>
        <v>15833.333333333334</v>
      </c>
    </row>
    <row r="15" spans="2:12" ht="20.100000000000001" customHeight="1" x14ac:dyDescent="0.2">
      <c r="B15" s="19">
        <v>41625</v>
      </c>
      <c r="C15" s="29">
        <v>63504</v>
      </c>
      <c r="D15" s="25">
        <f>(SUM(C$4:C15)-(F15*G15))</f>
        <v>-97980.333333333372</v>
      </c>
      <c r="E15" s="24">
        <f>SUM(C$4:C15)/G15</f>
        <v>36279.416666666664</v>
      </c>
      <c r="F15" s="30">
        <f t="shared" si="0"/>
        <v>44444.444444444445</v>
      </c>
      <c r="G15" s="20">
        <f t="shared" si="2"/>
        <v>12</v>
      </c>
      <c r="H15" s="19">
        <v>41625</v>
      </c>
      <c r="I15" s="12">
        <v>14186</v>
      </c>
      <c r="J15" s="10">
        <f>SUM(I$4:I15)-(L15*G15)</f>
        <v>-5105</v>
      </c>
      <c r="K15" s="10">
        <f>SUM(I$4:I15)/G15</f>
        <v>15407.916666666666</v>
      </c>
      <c r="L15" s="10">
        <f t="shared" si="1"/>
        <v>15833.333333333334</v>
      </c>
    </row>
    <row r="16" spans="2:12" ht="20.100000000000001" customHeight="1" x14ac:dyDescent="0.2">
      <c r="B16" s="19">
        <v>41626</v>
      </c>
      <c r="C16" s="29">
        <v>39557</v>
      </c>
      <c r="D16" s="25">
        <f>(SUM(C$4:C16)-(F16*G16))</f>
        <v>-102867.77777777775</v>
      </c>
      <c r="E16" s="24">
        <f>SUM(C$4:C16)/G16</f>
        <v>36531.538461538461</v>
      </c>
      <c r="F16" s="30">
        <f t="shared" si="0"/>
        <v>44444.444444444445</v>
      </c>
      <c r="G16" s="20">
        <v>13</v>
      </c>
      <c r="H16" s="19">
        <v>41626</v>
      </c>
      <c r="I16" s="12">
        <v>5415</v>
      </c>
      <c r="J16" s="10">
        <f>SUM(I$4:I16)-(L16*G16)</f>
        <v>-15523.333333333343</v>
      </c>
      <c r="K16" s="10">
        <f>SUM(I$4:I16)/G16</f>
        <v>14639.23076923077</v>
      </c>
      <c r="L16" s="10">
        <f t="shared" si="1"/>
        <v>15833.333333333334</v>
      </c>
    </row>
    <row r="17" spans="1:12" ht="20.100000000000001" customHeight="1" x14ac:dyDescent="0.2">
      <c r="B17" s="19">
        <v>41627</v>
      </c>
      <c r="C17" s="29">
        <v>60258</v>
      </c>
      <c r="D17" s="25">
        <f>(SUM(C$4:C17)-(F17*G17))</f>
        <v>-87054.222222222248</v>
      </c>
      <c r="E17" s="24">
        <f>SUM(C$4:C17)/G17</f>
        <v>38226.285714285717</v>
      </c>
      <c r="F17" s="30">
        <f t="shared" si="0"/>
        <v>44444.444444444445</v>
      </c>
      <c r="G17" s="20">
        <v>14</v>
      </c>
      <c r="H17" s="19">
        <v>41627</v>
      </c>
      <c r="I17" s="12">
        <v>13050</v>
      </c>
      <c r="J17" s="10">
        <f>SUM(I$4:I17)-(L17*G17)</f>
        <v>-18306.666666666686</v>
      </c>
      <c r="K17" s="10">
        <f>SUM(I$4:I17)/G17</f>
        <v>14525.714285714286</v>
      </c>
      <c r="L17" s="10">
        <f t="shared" si="1"/>
        <v>15833.333333333334</v>
      </c>
    </row>
    <row r="18" spans="1:12" ht="20.100000000000001" customHeight="1" x14ac:dyDescent="0.2">
      <c r="B18" s="19">
        <v>41631</v>
      </c>
      <c r="C18" s="29">
        <v>63892</v>
      </c>
      <c r="D18" s="25">
        <f>(SUM(C$4:C18)-(F18*G18))</f>
        <v>-67606.666666666628</v>
      </c>
      <c r="E18" s="24">
        <f>SUM(C$4:C18)/G18</f>
        <v>39937.333333333336</v>
      </c>
      <c r="F18" s="30">
        <f t="shared" si="0"/>
        <v>44444.444444444445</v>
      </c>
      <c r="G18" s="20">
        <v>15</v>
      </c>
      <c r="H18" s="19">
        <v>41631</v>
      </c>
      <c r="I18" s="12">
        <v>7159</v>
      </c>
      <c r="J18" s="10">
        <f>SUM(I$4:I18)-(L18*G18)</f>
        <v>-26981</v>
      </c>
      <c r="K18" s="10">
        <f>SUM(I$4:I18)/G18</f>
        <v>14034.6</v>
      </c>
      <c r="L18" s="10">
        <f t="shared" si="1"/>
        <v>15833.333333333334</v>
      </c>
    </row>
    <row r="19" spans="1:12" ht="20.100000000000001" customHeight="1" x14ac:dyDescent="0.2">
      <c r="B19" s="19">
        <v>41634</v>
      </c>
      <c r="C19" s="29">
        <v>45915</v>
      </c>
      <c r="D19" s="25">
        <f>(SUM(C$4:C19)-(F19*G19))</f>
        <v>-66136.111111111124</v>
      </c>
      <c r="E19" s="24">
        <f>SUM(C$4:C19)/G19</f>
        <v>40310.9375</v>
      </c>
      <c r="F19" s="30">
        <f t="shared" si="0"/>
        <v>44444.444444444445</v>
      </c>
      <c r="G19" s="20">
        <v>16</v>
      </c>
      <c r="H19" s="19">
        <v>41634</v>
      </c>
      <c r="I19" s="12">
        <v>19401</v>
      </c>
      <c r="J19" s="10">
        <f>SUM(I$4:I19)-(L19*G19)</f>
        <v>-23413.333333333343</v>
      </c>
      <c r="K19" s="10">
        <f>SUM(I$4:I19)/G19</f>
        <v>14370</v>
      </c>
      <c r="L19" s="10">
        <f t="shared" si="1"/>
        <v>15833.333333333334</v>
      </c>
    </row>
    <row r="20" spans="1:12" ht="20.100000000000001" customHeight="1" x14ac:dyDescent="0.2">
      <c r="B20" s="19">
        <v>41635</v>
      </c>
      <c r="C20" s="29">
        <v>69954</v>
      </c>
      <c r="D20" s="25">
        <f>(SUM(C$4:C20)-(F20*G20))</f>
        <v>-40626.55555555562</v>
      </c>
      <c r="E20" s="24">
        <f>SUM(C$4:C20)/G20</f>
        <v>42054.647058823532</v>
      </c>
      <c r="F20" s="30">
        <f t="shared" si="0"/>
        <v>44444.444444444445</v>
      </c>
      <c r="G20" s="20">
        <v>17</v>
      </c>
      <c r="H20" s="19">
        <v>41635</v>
      </c>
      <c r="I20" s="12">
        <v>44221</v>
      </c>
      <c r="J20" s="10">
        <f>SUM(I$4:I20)-(L20*G20)</f>
        <v>4974.3333333333139</v>
      </c>
      <c r="K20" s="10">
        <f>SUM(I$4:I20)/G20</f>
        <v>16125.941176470587</v>
      </c>
      <c r="L20" s="10">
        <f t="shared" si="1"/>
        <v>15833.333333333334</v>
      </c>
    </row>
    <row r="21" spans="1:12" ht="20.100000000000001" customHeight="1" x14ac:dyDescent="0.2">
      <c r="B21" s="19">
        <v>41638</v>
      </c>
      <c r="C21" s="29">
        <v>3117</v>
      </c>
      <c r="D21" s="25">
        <f>(SUM(C$4:C21)-(F21*G21))</f>
        <v>-81954</v>
      </c>
      <c r="E21" s="24">
        <f>SUM(C$4:C21)/G21</f>
        <v>39891.444444444445</v>
      </c>
      <c r="F21" s="30">
        <f t="shared" si="0"/>
        <v>44444.444444444445</v>
      </c>
      <c r="G21" s="20">
        <v>18</v>
      </c>
      <c r="H21" s="19">
        <v>41638</v>
      </c>
      <c r="I21" s="12">
        <v>5330</v>
      </c>
      <c r="J21" s="10">
        <f>SUM(I$4:I21)-(L21*G21)</f>
        <v>-5529</v>
      </c>
      <c r="K21" s="10">
        <f>SUM(I$4:I21)/G21</f>
        <v>15526.166666666666</v>
      </c>
      <c r="L21" s="10">
        <f t="shared" si="1"/>
        <v>15833.333333333334</v>
      </c>
    </row>
    <row r="22" spans="1:12" ht="20.100000000000001" customHeight="1" x14ac:dyDescent="0.2">
      <c r="B22" s="19" t="s">
        <v>8</v>
      </c>
      <c r="C22" s="12">
        <f>SUM(C4:C21)</f>
        <v>718046</v>
      </c>
      <c r="D22" s="23"/>
      <c r="E22" s="23"/>
      <c r="F22" s="30">
        <v>800000</v>
      </c>
      <c r="G22" s="18"/>
      <c r="H22" s="11" t="s">
        <v>8</v>
      </c>
      <c r="I22" s="12">
        <f>SUM(I4:I21)</f>
        <v>279471</v>
      </c>
      <c r="J22" s="8"/>
      <c r="K22" s="8"/>
      <c r="L22" s="10">
        <v>285000</v>
      </c>
    </row>
    <row r="23" spans="1:12" ht="19.5" customHeight="1" x14ac:dyDescent="0.2"/>
    <row r="24" spans="1:12" ht="19.5" customHeight="1" x14ac:dyDescent="0.2"/>
    <row r="26" spans="1:12" x14ac:dyDescent="0.2">
      <c r="A26" s="156"/>
      <c r="B26" s="156"/>
      <c r="C26" s="156"/>
      <c r="D26" s="156"/>
      <c r="I26" s="34"/>
      <c r="J26" s="32"/>
    </row>
    <row r="27" spans="1:12" x14ac:dyDescent="0.2">
      <c r="L27" s="33"/>
    </row>
  </sheetData>
  <mergeCells count="5">
    <mergeCell ref="B1:F1"/>
    <mergeCell ref="H1:L1"/>
    <mergeCell ref="B2:F2"/>
    <mergeCell ref="H2:L2"/>
    <mergeCell ref="A26:D26"/>
  </mergeCells>
  <conditionalFormatting sqref="D4:D21 J4:J22">
    <cfRule type="cellIs" dxfId="196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Plan62">
    <tabColor rgb="FF92D050"/>
  </sheetPr>
  <dimension ref="A1:L30"/>
  <sheetViews>
    <sheetView topLeftCell="A6" zoomScale="80" zoomScaleNormal="80" workbookViewId="0">
      <selection activeCell="C29" sqref="C29"/>
    </sheetView>
  </sheetViews>
  <sheetFormatPr defaultColWidth="9.140625" defaultRowHeight="12.75" x14ac:dyDescent="0.2"/>
  <cols>
    <col min="1" max="1" width="3.140625" style="6" customWidth="1"/>
    <col min="2" max="2" width="10" style="6" bestFit="1" customWidth="1"/>
    <col min="3" max="3" width="18" style="9" bestFit="1" customWidth="1"/>
    <col min="4" max="4" width="15.28515625" style="9" customWidth="1"/>
    <col min="5" max="5" width="13.7109375" style="9" bestFit="1" customWidth="1"/>
    <col min="6" max="6" width="15.140625" style="9" bestFit="1" customWidth="1"/>
    <col min="7" max="7" width="3.28515625" style="6" customWidth="1"/>
    <col min="8" max="8" width="10" style="6" bestFit="1" customWidth="1"/>
    <col min="9" max="9" width="15.28515625" style="9" bestFit="1" customWidth="1"/>
    <col min="10" max="10" width="14.140625" style="9" bestFit="1" customWidth="1"/>
    <col min="11" max="11" width="13.85546875" style="9" bestFit="1" customWidth="1"/>
    <col min="12" max="12" width="13.28515625" style="9" bestFit="1" customWidth="1"/>
    <col min="13" max="16384" width="9.140625" style="6"/>
  </cols>
  <sheetData>
    <row r="1" spans="2:12" ht="20.100000000000001" customHeight="1" x14ac:dyDescent="0.25">
      <c r="B1" s="124" t="s">
        <v>4</v>
      </c>
      <c r="C1" s="124"/>
      <c r="D1" s="124"/>
      <c r="E1" s="124"/>
      <c r="F1" s="124"/>
      <c r="H1" s="125" t="s">
        <v>5</v>
      </c>
      <c r="I1" s="125"/>
      <c r="J1" s="125"/>
      <c r="K1" s="125"/>
      <c r="L1" s="125"/>
    </row>
    <row r="2" spans="2:12" ht="20.100000000000001" customHeight="1" x14ac:dyDescent="0.2">
      <c r="B2" s="123"/>
      <c r="C2" s="123"/>
      <c r="D2" s="123"/>
      <c r="E2" s="123"/>
      <c r="F2" s="123"/>
      <c r="H2" s="123"/>
      <c r="I2" s="123"/>
      <c r="J2" s="123"/>
      <c r="K2" s="123"/>
      <c r="L2" s="123"/>
    </row>
    <row r="3" spans="2:12" s="18" customFormat="1" ht="20.100000000000001" customHeight="1" x14ac:dyDescent="0.25">
      <c r="B3" s="14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7"/>
      <c r="H3" s="14" t="s">
        <v>9</v>
      </c>
      <c r="I3" s="15" t="s">
        <v>10</v>
      </c>
      <c r="J3" s="16" t="s">
        <v>11</v>
      </c>
      <c r="K3" s="16" t="s">
        <v>12</v>
      </c>
      <c r="L3" s="16" t="s">
        <v>13</v>
      </c>
    </row>
    <row r="4" spans="2:12" ht="20.100000000000001" customHeight="1" x14ac:dyDescent="0.2">
      <c r="B4" s="19">
        <v>41642</v>
      </c>
      <c r="C4" s="24">
        <v>15121</v>
      </c>
      <c r="D4" s="25">
        <f>(SUM(C4:C4)-(F4*1))</f>
        <v>-32498.047619047618</v>
      </c>
      <c r="E4" s="24">
        <f>C4/1</f>
        <v>15121</v>
      </c>
      <c r="F4" s="30">
        <f t="shared" ref="F4:F24" si="0">$F$25/$G$24</f>
        <v>47619.047619047618</v>
      </c>
      <c r="G4" s="20">
        <v>1</v>
      </c>
      <c r="H4" s="19">
        <v>41642</v>
      </c>
      <c r="I4" s="12">
        <v>227</v>
      </c>
      <c r="J4" s="10">
        <f>(SUM(I4:I4)-(L4*1))</f>
        <v>-22630.142857142859</v>
      </c>
      <c r="K4" s="10">
        <f>I4/1</f>
        <v>227</v>
      </c>
      <c r="L4" s="10">
        <f t="shared" ref="L4:L24" si="1">$L$25/$G$24</f>
        <v>22857.142857142859</v>
      </c>
    </row>
    <row r="5" spans="2:12" ht="20.100000000000001" customHeight="1" x14ac:dyDescent="0.2">
      <c r="B5" s="19">
        <v>41645</v>
      </c>
      <c r="C5" s="26">
        <v>106360</v>
      </c>
      <c r="D5" s="25">
        <f>(SUM(C$4:C5)-(F5*G5))</f>
        <v>26242.904761904763</v>
      </c>
      <c r="E5" s="24">
        <f>SUM(C$4:C5)/G5</f>
        <v>60740.5</v>
      </c>
      <c r="F5" s="30">
        <f t="shared" si="0"/>
        <v>47619.047619047618</v>
      </c>
      <c r="G5" s="20">
        <f>G4+1</f>
        <v>2</v>
      </c>
      <c r="H5" s="19">
        <v>41645</v>
      </c>
      <c r="I5" s="21">
        <v>11276</v>
      </c>
      <c r="J5" s="10">
        <f>SUM(I$4:I5)-(L5*G5)</f>
        <v>-34211.285714285717</v>
      </c>
      <c r="K5" s="10">
        <f>SUM(I$4:I5)/G5</f>
        <v>5751.5</v>
      </c>
      <c r="L5" s="10">
        <f t="shared" si="1"/>
        <v>22857.142857142859</v>
      </c>
    </row>
    <row r="6" spans="2:12" ht="20.100000000000001" customHeight="1" x14ac:dyDescent="0.2">
      <c r="B6" s="19">
        <v>41646</v>
      </c>
      <c r="C6" s="24">
        <v>72565</v>
      </c>
      <c r="D6" s="25">
        <f>(SUM(C$4:C6)-(F6*G6))</f>
        <v>51188.857142857159</v>
      </c>
      <c r="E6" s="24">
        <f>SUM(C$4:C6)/G6</f>
        <v>64682</v>
      </c>
      <c r="F6" s="30">
        <f t="shared" si="0"/>
        <v>47619.047619047618</v>
      </c>
      <c r="G6" s="20">
        <f t="shared" ref="G6:G24" si="2">G5+1</f>
        <v>3</v>
      </c>
      <c r="H6" s="19">
        <v>41646</v>
      </c>
      <c r="I6" s="21">
        <v>7712</v>
      </c>
      <c r="J6" s="10">
        <f>SUM(I$4:I6)-(L6*G6)</f>
        <v>-49356.42857142858</v>
      </c>
      <c r="K6" s="10">
        <f>SUM(I$4:I6)/G6</f>
        <v>6405</v>
      </c>
      <c r="L6" s="10">
        <f t="shared" si="1"/>
        <v>22857.142857142859</v>
      </c>
    </row>
    <row r="7" spans="2:12" ht="19.5" customHeight="1" x14ac:dyDescent="0.2">
      <c r="B7" s="19">
        <v>41647</v>
      </c>
      <c r="C7" s="24">
        <v>45668</v>
      </c>
      <c r="D7" s="25">
        <f>(SUM(C$4:C7)-(F7*G7))</f>
        <v>49237.809523809527</v>
      </c>
      <c r="E7" s="24">
        <f>SUM(C$4:C7)/G7</f>
        <v>59928.5</v>
      </c>
      <c r="F7" s="30">
        <f t="shared" si="0"/>
        <v>47619.047619047618</v>
      </c>
      <c r="G7" s="20">
        <f t="shared" si="2"/>
        <v>4</v>
      </c>
      <c r="H7" s="19">
        <v>41647</v>
      </c>
      <c r="I7" s="21">
        <v>12080</v>
      </c>
      <c r="J7" s="10">
        <f>SUM(I$4:I7)-(L7*G7)</f>
        <v>-60133.571428571435</v>
      </c>
      <c r="K7" s="10">
        <f>SUM(I$4:I7)/G7</f>
        <v>7823.75</v>
      </c>
      <c r="L7" s="10">
        <f t="shared" si="1"/>
        <v>22857.142857142859</v>
      </c>
    </row>
    <row r="8" spans="2:12" ht="20.100000000000001" customHeight="1" x14ac:dyDescent="0.2">
      <c r="B8" s="19">
        <v>41648</v>
      </c>
      <c r="C8" s="27">
        <v>60328</v>
      </c>
      <c r="D8" s="25">
        <f>(SUM(C$4:C8)-(F8*G8))</f>
        <v>61946.761904761894</v>
      </c>
      <c r="E8" s="24">
        <f>SUM(C$4:C8)/G8</f>
        <v>60008.4</v>
      </c>
      <c r="F8" s="30">
        <f t="shared" si="0"/>
        <v>47619.047619047618</v>
      </c>
      <c r="G8" s="20">
        <f t="shared" si="2"/>
        <v>5</v>
      </c>
      <c r="H8" s="19">
        <v>41648</v>
      </c>
      <c r="I8" s="22">
        <v>31382</v>
      </c>
      <c r="J8" s="10">
        <f>SUM(I$4:I8)-(L8*G8)</f>
        <v>-51608.71428571429</v>
      </c>
      <c r="K8" s="10">
        <f>SUM(I$4:I8)/G8</f>
        <v>12535.4</v>
      </c>
      <c r="L8" s="10">
        <f t="shared" si="1"/>
        <v>22857.142857142859</v>
      </c>
    </row>
    <row r="9" spans="2:12" ht="20.100000000000001" customHeight="1" x14ac:dyDescent="0.2">
      <c r="B9" s="19">
        <v>41649</v>
      </c>
      <c r="C9" s="27">
        <v>53674</v>
      </c>
      <c r="D9" s="25">
        <f>(SUM(C$4:C9)-(F9*G9))</f>
        <v>68001.714285714319</v>
      </c>
      <c r="E9" s="24">
        <f>SUM(C$4:C9)/G9</f>
        <v>58952.666666666664</v>
      </c>
      <c r="F9" s="30">
        <f t="shared" si="0"/>
        <v>47619.047619047618</v>
      </c>
      <c r="G9" s="20">
        <f t="shared" si="2"/>
        <v>6</v>
      </c>
      <c r="H9" s="19">
        <v>41649</v>
      </c>
      <c r="I9" s="22">
        <v>15277</v>
      </c>
      <c r="J9" s="10">
        <f>SUM(I$4:I9)-(L9*G9)</f>
        <v>-59188.857142857159</v>
      </c>
      <c r="K9" s="10">
        <f>SUM(I$4:I9)/G9</f>
        <v>12992.333333333334</v>
      </c>
      <c r="L9" s="10">
        <f t="shared" si="1"/>
        <v>22857.142857142859</v>
      </c>
    </row>
    <row r="10" spans="2:12" ht="20.100000000000001" customHeight="1" x14ac:dyDescent="0.2">
      <c r="B10" s="19">
        <v>41652</v>
      </c>
      <c r="C10" s="24">
        <v>26421</v>
      </c>
      <c r="D10" s="25">
        <f>(SUM(C$4:C10)-(F10*G10))</f>
        <v>46803.666666666686</v>
      </c>
      <c r="E10" s="24">
        <f>SUM(C$4:C10)/G10</f>
        <v>54305.285714285717</v>
      </c>
      <c r="F10" s="30">
        <f t="shared" si="0"/>
        <v>47619.047619047618</v>
      </c>
      <c r="G10" s="20">
        <f t="shared" si="2"/>
        <v>7</v>
      </c>
      <c r="H10" s="19">
        <v>41652</v>
      </c>
      <c r="I10" s="21">
        <v>9266</v>
      </c>
      <c r="J10" s="10">
        <f>SUM(I$4:I10)-(L10*G10)</f>
        <v>-72780</v>
      </c>
      <c r="K10" s="10">
        <f>SUM(I$4:I10)/G10</f>
        <v>12460</v>
      </c>
      <c r="L10" s="10">
        <f t="shared" si="1"/>
        <v>22857.142857142859</v>
      </c>
    </row>
    <row r="11" spans="2:12" ht="20.100000000000001" customHeight="1" x14ac:dyDescent="0.2">
      <c r="B11" s="19">
        <v>41653</v>
      </c>
      <c r="C11" s="24">
        <v>33697</v>
      </c>
      <c r="D11" s="25">
        <f>(SUM(C$4:C11)-(F11*G11))</f>
        <v>32881.619047619053</v>
      </c>
      <c r="E11" s="24">
        <f>SUM(C$4:C11)/G11</f>
        <v>51729.25</v>
      </c>
      <c r="F11" s="30">
        <f t="shared" si="0"/>
        <v>47619.047619047618</v>
      </c>
      <c r="G11" s="20">
        <f t="shared" si="2"/>
        <v>8</v>
      </c>
      <c r="H11" s="19">
        <v>41653</v>
      </c>
      <c r="I11" s="21">
        <v>16560</v>
      </c>
      <c r="J11" s="10">
        <f>SUM(I$4:I11)-(L11*G11)</f>
        <v>-79077.14285714287</v>
      </c>
      <c r="K11" s="10">
        <f>SUM(I$4:I11)/G11</f>
        <v>12972.5</v>
      </c>
      <c r="L11" s="10">
        <f t="shared" si="1"/>
        <v>22857.142857142859</v>
      </c>
    </row>
    <row r="12" spans="2:12" ht="20.100000000000001" customHeight="1" x14ac:dyDescent="0.2">
      <c r="B12" s="19">
        <v>41654</v>
      </c>
      <c r="C12" s="29">
        <v>38083</v>
      </c>
      <c r="D12" s="25">
        <f>(SUM(C$4:C12)-(F12*G12))</f>
        <v>23345.57142857142</v>
      </c>
      <c r="E12" s="24">
        <f>SUM(C$4:C12)/G12</f>
        <v>50213</v>
      </c>
      <c r="F12" s="30">
        <f t="shared" si="0"/>
        <v>47619.047619047618</v>
      </c>
      <c r="G12" s="20">
        <f t="shared" si="2"/>
        <v>9</v>
      </c>
      <c r="H12" s="19">
        <v>41654</v>
      </c>
      <c r="I12" s="13">
        <v>7594</v>
      </c>
      <c r="J12" s="10">
        <f>SUM(I$4:I12)-(L12*G12)</f>
        <v>-94340.285714285739</v>
      </c>
      <c r="K12" s="10">
        <f>SUM(I$4:I12)/G12</f>
        <v>12374.888888888889</v>
      </c>
      <c r="L12" s="10">
        <f t="shared" si="1"/>
        <v>22857.142857142859</v>
      </c>
    </row>
    <row r="13" spans="2:12" ht="20.100000000000001" customHeight="1" x14ac:dyDescent="0.2">
      <c r="B13" s="19">
        <v>41655</v>
      </c>
      <c r="C13" s="29">
        <v>40475</v>
      </c>
      <c r="D13" s="25">
        <f>(SUM(C$4:C13)-(F13*G13))</f>
        <v>16201.523809523787</v>
      </c>
      <c r="E13" s="24">
        <f>SUM(C$4:C13)/G13</f>
        <v>49239.199999999997</v>
      </c>
      <c r="F13" s="30">
        <f t="shared" si="0"/>
        <v>47619.047619047618</v>
      </c>
      <c r="G13" s="20">
        <f t="shared" si="2"/>
        <v>10</v>
      </c>
      <c r="H13" s="19">
        <v>41655</v>
      </c>
      <c r="I13" s="13">
        <v>39893</v>
      </c>
      <c r="J13" s="10">
        <f>SUM(I$4:I13)-(L13*G13)</f>
        <v>-77304.42857142858</v>
      </c>
      <c r="K13" s="10">
        <f>SUM(I$4:I13)/G13</f>
        <v>15126.7</v>
      </c>
      <c r="L13" s="10">
        <f t="shared" si="1"/>
        <v>22857.142857142859</v>
      </c>
    </row>
    <row r="14" spans="2:12" ht="20.100000000000001" customHeight="1" x14ac:dyDescent="0.2">
      <c r="B14" s="19">
        <v>41656</v>
      </c>
      <c r="C14" s="29">
        <v>45793</v>
      </c>
      <c r="D14" s="25">
        <f>(SUM(C$4:C14)-(F14*G14))</f>
        <v>14375.476190476213</v>
      </c>
      <c r="E14" s="24">
        <f>SUM(C$4:C14)/G14</f>
        <v>48925.909090909088</v>
      </c>
      <c r="F14" s="30">
        <f t="shared" si="0"/>
        <v>47619.047619047618</v>
      </c>
      <c r="G14" s="20">
        <f t="shared" si="2"/>
        <v>11</v>
      </c>
      <c r="H14" s="19">
        <v>41656</v>
      </c>
      <c r="I14" s="12">
        <v>22980</v>
      </c>
      <c r="J14" s="10">
        <f>SUM(I$4:I14)-(L14*G14)</f>
        <v>-77181.571428571449</v>
      </c>
      <c r="K14" s="10">
        <f>SUM(I$4:I14)/G14</f>
        <v>15840.636363636364</v>
      </c>
      <c r="L14" s="10">
        <f t="shared" si="1"/>
        <v>22857.142857142859</v>
      </c>
    </row>
    <row r="15" spans="2:12" ht="20.100000000000001" customHeight="1" x14ac:dyDescent="0.2">
      <c r="B15" s="19">
        <v>41659</v>
      </c>
      <c r="C15" s="29">
        <v>12689</v>
      </c>
      <c r="D15" s="25">
        <f>(SUM(C$4:C15)-(F15*G15))</f>
        <v>-20554.571428571362</v>
      </c>
      <c r="E15" s="24">
        <f>SUM(C$4:C15)/G15</f>
        <v>45906.166666666664</v>
      </c>
      <c r="F15" s="30">
        <f t="shared" si="0"/>
        <v>47619.047619047618</v>
      </c>
      <c r="G15" s="20">
        <f t="shared" si="2"/>
        <v>12</v>
      </c>
      <c r="H15" s="19">
        <v>41659</v>
      </c>
      <c r="I15" s="12">
        <v>10680</v>
      </c>
      <c r="J15" s="10">
        <f>SUM(I$4:I15)-(L15*G15)</f>
        <v>-89358.714285714319</v>
      </c>
      <c r="K15" s="10">
        <f>SUM(I$4:I15)/G15</f>
        <v>15410.583333333334</v>
      </c>
      <c r="L15" s="10">
        <f t="shared" si="1"/>
        <v>22857.142857142859</v>
      </c>
    </row>
    <row r="16" spans="2:12" ht="20.100000000000001" customHeight="1" x14ac:dyDescent="0.2">
      <c r="B16" s="19">
        <v>41660</v>
      </c>
      <c r="C16" s="29">
        <v>45647</v>
      </c>
      <c r="D16" s="25">
        <f>(SUM(C$4:C16)-(F16*G16))</f>
        <v>-22526.619047619053</v>
      </c>
      <c r="E16" s="24">
        <f>SUM(C$4:C16)/G16</f>
        <v>45886.230769230766</v>
      </c>
      <c r="F16" s="30">
        <f t="shared" si="0"/>
        <v>47619.047619047618</v>
      </c>
      <c r="G16" s="20">
        <f t="shared" si="2"/>
        <v>13</v>
      </c>
      <c r="H16" s="19">
        <v>41660</v>
      </c>
      <c r="I16" s="12">
        <v>41680</v>
      </c>
      <c r="J16" s="10">
        <f>SUM(I$4:I16)-(L16*G16)</f>
        <v>-70535.857142857159</v>
      </c>
      <c r="K16" s="10">
        <f>SUM(I$4:I16)/G16</f>
        <v>17431.307692307691</v>
      </c>
      <c r="L16" s="10">
        <f t="shared" si="1"/>
        <v>22857.142857142859</v>
      </c>
    </row>
    <row r="17" spans="1:12" ht="20.100000000000001" customHeight="1" x14ac:dyDescent="0.2">
      <c r="B17" s="19">
        <v>41661</v>
      </c>
      <c r="C17" s="29">
        <v>48519</v>
      </c>
      <c r="D17" s="25">
        <f>(SUM(C$4:C17)-(F17*G17))</f>
        <v>-21626.666666666628</v>
      </c>
      <c r="E17" s="24">
        <f>SUM(C$4:C17)/G17</f>
        <v>46074.285714285717</v>
      </c>
      <c r="F17" s="30">
        <f t="shared" si="0"/>
        <v>47619.047619047618</v>
      </c>
      <c r="G17" s="20">
        <f t="shared" si="2"/>
        <v>14</v>
      </c>
      <c r="H17" s="19">
        <v>41661</v>
      </c>
      <c r="I17" s="12">
        <v>16812</v>
      </c>
      <c r="J17" s="10">
        <f>SUM(I$4:I17)-(L17*G17)</f>
        <v>-76581</v>
      </c>
      <c r="K17" s="10">
        <f>SUM(I$4:I17)/G17</f>
        <v>17387.071428571428</v>
      </c>
      <c r="L17" s="10">
        <f t="shared" si="1"/>
        <v>22857.142857142859</v>
      </c>
    </row>
    <row r="18" spans="1:12" ht="20.100000000000001" customHeight="1" x14ac:dyDescent="0.2">
      <c r="B18" s="19">
        <v>41662</v>
      </c>
      <c r="C18" s="29">
        <v>39992</v>
      </c>
      <c r="D18" s="25">
        <f>(SUM(C$4:C18)-(F18*G18))</f>
        <v>-29253.714285714319</v>
      </c>
      <c r="E18" s="24">
        <f>SUM(C$4:C18)/G18</f>
        <v>45668.800000000003</v>
      </c>
      <c r="F18" s="30">
        <f t="shared" si="0"/>
        <v>47619.047619047618</v>
      </c>
      <c r="G18" s="20">
        <f t="shared" si="2"/>
        <v>15</v>
      </c>
      <c r="H18" s="19">
        <v>41662</v>
      </c>
      <c r="I18" s="12">
        <v>15285</v>
      </c>
      <c r="J18" s="10">
        <f>SUM(I$4:I18)-(L18*G18)</f>
        <v>-84153.142857142899</v>
      </c>
      <c r="K18" s="10">
        <f>SUM(I$4:I18)/G18</f>
        <v>17246.933333333334</v>
      </c>
      <c r="L18" s="10">
        <f t="shared" si="1"/>
        <v>22857.142857142859</v>
      </c>
    </row>
    <row r="19" spans="1:12" ht="20.100000000000001" customHeight="1" x14ac:dyDescent="0.2">
      <c r="B19" s="19">
        <v>41663</v>
      </c>
      <c r="C19" s="29">
        <v>51153</v>
      </c>
      <c r="D19" s="25">
        <f>(SUM(C$4:C19)-(F19*G19))</f>
        <v>-25719.761904761894</v>
      </c>
      <c r="E19" s="24">
        <f>SUM(C$4:C19)/G19</f>
        <v>46011.5625</v>
      </c>
      <c r="F19" s="30">
        <f t="shared" si="0"/>
        <v>47619.047619047618</v>
      </c>
      <c r="G19" s="20">
        <f t="shared" si="2"/>
        <v>16</v>
      </c>
      <c r="H19" s="19">
        <v>41663</v>
      </c>
      <c r="I19" s="12">
        <v>11087</v>
      </c>
      <c r="J19" s="10">
        <f>SUM(I$4:I19)-(L19*G19)</f>
        <v>-95923.285714285739</v>
      </c>
      <c r="K19" s="10">
        <f>SUM(I$4:I19)/G19</f>
        <v>16861.9375</v>
      </c>
      <c r="L19" s="10">
        <f t="shared" si="1"/>
        <v>22857.142857142859</v>
      </c>
    </row>
    <row r="20" spans="1:12" ht="20.100000000000001" customHeight="1" x14ac:dyDescent="0.2">
      <c r="B20" s="19">
        <v>41666</v>
      </c>
      <c r="C20" s="29">
        <v>67993</v>
      </c>
      <c r="D20" s="25">
        <f>(SUM(C$4:C20)-(F20*G20))</f>
        <v>-5345.8095238094684</v>
      </c>
      <c r="E20" s="24">
        <f>SUM(C$4:C20)/G20</f>
        <v>47304.588235294119</v>
      </c>
      <c r="F20" s="30">
        <f t="shared" si="0"/>
        <v>47619.047619047618</v>
      </c>
      <c r="G20" s="20">
        <f t="shared" si="2"/>
        <v>17</v>
      </c>
      <c r="H20" s="19">
        <v>41666</v>
      </c>
      <c r="I20" s="12">
        <v>17758</v>
      </c>
      <c r="J20" s="10">
        <f>SUM(I$4:I20)-(L20*G20)</f>
        <v>-101022.42857142858</v>
      </c>
      <c r="K20" s="10">
        <f>SUM(I$4:I20)/G20</f>
        <v>16914.647058823528</v>
      </c>
      <c r="L20" s="10">
        <f t="shared" si="1"/>
        <v>22857.142857142859</v>
      </c>
    </row>
    <row r="21" spans="1:12" ht="20.100000000000001" customHeight="1" x14ac:dyDescent="0.2">
      <c r="B21" s="19">
        <v>41667</v>
      </c>
      <c r="C21" s="29">
        <v>51246</v>
      </c>
      <c r="D21" s="25">
        <f>(SUM(C$4:C21)-(F21*G21))</f>
        <v>-1718.8571428571595</v>
      </c>
      <c r="E21" s="24">
        <f>SUM(C$4:C21)/G21</f>
        <v>47523.555555555555</v>
      </c>
      <c r="F21" s="30">
        <f t="shared" si="0"/>
        <v>47619.047619047618</v>
      </c>
      <c r="G21" s="20">
        <f t="shared" si="2"/>
        <v>18</v>
      </c>
      <c r="H21" s="19">
        <v>41667</v>
      </c>
      <c r="I21" s="12">
        <v>19686</v>
      </c>
      <c r="J21" s="10">
        <f>SUM(I$4:I21)-(L21*G21)</f>
        <v>-104193.57142857148</v>
      </c>
      <c r="K21" s="10">
        <f>SUM(I$4:I21)/G21</f>
        <v>17068.611111111109</v>
      </c>
      <c r="L21" s="10">
        <f t="shared" si="1"/>
        <v>22857.142857142859</v>
      </c>
    </row>
    <row r="22" spans="1:12" ht="20.100000000000001" customHeight="1" x14ac:dyDescent="0.2">
      <c r="B22" s="19">
        <v>41668</v>
      </c>
      <c r="C22" s="29">
        <v>47311</v>
      </c>
      <c r="D22" s="25">
        <f>(SUM(C$4:C22)-(F22*G22))</f>
        <v>-2026.9047619047342</v>
      </c>
      <c r="E22" s="24">
        <f>SUM(C$4:C22)/G22</f>
        <v>47512.368421052633</v>
      </c>
      <c r="F22" s="30">
        <f t="shared" si="0"/>
        <v>47619.047619047618</v>
      </c>
      <c r="G22" s="20">
        <f t="shared" si="2"/>
        <v>19</v>
      </c>
      <c r="H22" s="19">
        <v>41668</v>
      </c>
      <c r="I22" s="12">
        <v>11320</v>
      </c>
      <c r="J22" s="10">
        <f>SUM(I$4:I22)-(L22*G22)</f>
        <v>-115730.71428571432</v>
      </c>
      <c r="K22" s="10">
        <f>SUM(I$4:I22)/G22</f>
        <v>16766.052631578947</v>
      </c>
      <c r="L22" s="10">
        <f t="shared" si="1"/>
        <v>22857.142857142859</v>
      </c>
    </row>
    <row r="23" spans="1:12" ht="20.100000000000001" customHeight="1" x14ac:dyDescent="0.2">
      <c r="B23" s="19">
        <v>41669</v>
      </c>
      <c r="C23" s="29">
        <v>55311</v>
      </c>
      <c r="D23" s="25">
        <f>(SUM(C$4:C23)-(F23*G23))</f>
        <v>5665.0476190475747</v>
      </c>
      <c r="E23" s="24">
        <f>SUM(C$4:C23)/G23</f>
        <v>47902.3</v>
      </c>
      <c r="F23" s="30">
        <f t="shared" si="0"/>
        <v>47619.047619047618</v>
      </c>
      <c r="G23" s="20">
        <f t="shared" si="2"/>
        <v>20</v>
      </c>
      <c r="H23" s="19">
        <v>41669</v>
      </c>
      <c r="I23" s="12">
        <v>39782</v>
      </c>
      <c r="J23" s="10">
        <f>SUM(I$4:I23)-(L23*G23)</f>
        <v>-98805.857142857159</v>
      </c>
      <c r="K23" s="10">
        <f>SUM(I$4:I23)/G23</f>
        <v>17916.849999999999</v>
      </c>
      <c r="L23" s="10">
        <f t="shared" si="1"/>
        <v>22857.142857142859</v>
      </c>
    </row>
    <row r="24" spans="1:12" ht="20.100000000000001" customHeight="1" x14ac:dyDescent="0.2">
      <c r="B24" s="19">
        <v>41670</v>
      </c>
      <c r="C24" s="29">
        <v>20997</v>
      </c>
      <c r="D24" s="25">
        <f>(SUM(C$4:C24)-(F24*G24))</f>
        <v>-20957</v>
      </c>
      <c r="E24" s="24">
        <f>SUM(C$4:C24)/G24</f>
        <v>46621.095238095237</v>
      </c>
      <c r="F24" s="30">
        <f t="shared" si="0"/>
        <v>47619.047619047618</v>
      </c>
      <c r="G24" s="20">
        <f t="shared" si="2"/>
        <v>21</v>
      </c>
      <c r="H24" s="19">
        <v>41670</v>
      </c>
      <c r="I24" s="12">
        <v>14288</v>
      </c>
      <c r="J24" s="10">
        <f>SUM(I$4:I24)-(L24*G24)</f>
        <v>-107375.00000000006</v>
      </c>
      <c r="K24" s="10">
        <f>SUM(I$4:I24)/G24</f>
        <v>17744.047619047618</v>
      </c>
      <c r="L24" s="10">
        <f t="shared" si="1"/>
        <v>22857.142857142859</v>
      </c>
    </row>
    <row r="25" spans="1:12" ht="20.100000000000001" customHeight="1" x14ac:dyDescent="0.2">
      <c r="B25" s="19" t="s">
        <v>8</v>
      </c>
      <c r="C25" s="12">
        <f>SUM(C4:C24)</f>
        <v>979043</v>
      </c>
      <c r="D25" s="23"/>
      <c r="E25" s="23"/>
      <c r="F25" s="30">
        <v>1000000</v>
      </c>
      <c r="G25" s="18"/>
      <c r="H25" s="11" t="s">
        <v>8</v>
      </c>
      <c r="I25" s="12">
        <f>SUM(I4:I24)</f>
        <v>372625</v>
      </c>
      <c r="J25" s="8"/>
      <c r="K25" s="8"/>
      <c r="L25" s="10">
        <v>480000</v>
      </c>
    </row>
    <row r="26" spans="1:12" ht="19.5" customHeight="1" x14ac:dyDescent="0.2"/>
    <row r="27" spans="1:12" ht="19.5" customHeight="1" x14ac:dyDescent="0.2"/>
    <row r="29" spans="1:12" x14ac:dyDescent="0.2">
      <c r="A29" s="156"/>
      <c r="B29" s="156"/>
      <c r="C29" s="156"/>
      <c r="D29" s="156"/>
      <c r="I29" s="34"/>
      <c r="J29" s="32"/>
    </row>
    <row r="30" spans="1:12" x14ac:dyDescent="0.2">
      <c r="L30" s="33"/>
    </row>
  </sheetData>
  <mergeCells count="5">
    <mergeCell ref="B1:F1"/>
    <mergeCell ref="H1:L1"/>
    <mergeCell ref="B2:F2"/>
    <mergeCell ref="H2:L2"/>
    <mergeCell ref="A29:D29"/>
  </mergeCells>
  <conditionalFormatting sqref="D4:D24 J4:J25">
    <cfRule type="cellIs" dxfId="195" priority="1" stopIfTrue="1" operator="lessThan">
      <formula>0</formula>
    </cfRule>
  </conditionalFormatting>
  <printOptions horizontalCentered="1" verticalCentered="1"/>
  <pageMargins left="0.15748031496062992" right="0.15748031496062992" top="0.15748031496062992" bottom="0.19685039370078741" header="0.15748031496062992" footer="0.15748031496062992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42</vt:i4>
      </vt:variant>
      <vt:variant>
        <vt:lpstr>Intervalos Nomeados</vt:lpstr>
      </vt:variant>
      <vt:variant>
        <vt:i4>35</vt:i4>
      </vt:variant>
    </vt:vector>
  </HeadingPairs>
  <TitlesOfParts>
    <vt:vector size="77" baseType="lpstr">
      <vt:lpstr>Maio</vt:lpstr>
      <vt:lpstr>Julho-2012 </vt:lpstr>
      <vt:lpstr>Dezembro-2012</vt:lpstr>
      <vt:lpstr>Janeiro-2013</vt:lpstr>
      <vt:lpstr>Fevereiro-2013</vt:lpstr>
      <vt:lpstr>Março-2013</vt:lpstr>
      <vt:lpstr>TD-TF-BU-Maio-2013</vt:lpstr>
      <vt:lpstr>Dezembro-2013</vt:lpstr>
      <vt:lpstr>Janeiro-2014</vt:lpstr>
      <vt:lpstr>Fevereiro-2014</vt:lpstr>
      <vt:lpstr>Março-2014</vt:lpstr>
      <vt:lpstr>Maio-2014</vt:lpstr>
      <vt:lpstr>Dezembro-2014</vt:lpstr>
      <vt:lpstr>Janeiro-2015</vt:lpstr>
      <vt:lpstr>Fevereiro-2015</vt:lpstr>
      <vt:lpstr>Março-2015 </vt:lpstr>
      <vt:lpstr>TD-TF-BU-Maio-2015</vt:lpstr>
      <vt:lpstr>Dezembro-2015 </vt:lpstr>
      <vt:lpstr>Janeiro-2016</vt:lpstr>
      <vt:lpstr>Fevereiro-2016</vt:lpstr>
      <vt:lpstr>Marco-2016 </vt:lpstr>
      <vt:lpstr>Dezembro-2016</vt:lpstr>
      <vt:lpstr>Janeiro-2017</vt:lpstr>
      <vt:lpstr>Fevereiro-2017</vt:lpstr>
      <vt:lpstr>Março-2017</vt:lpstr>
      <vt:lpstr>Setembro-2017</vt:lpstr>
      <vt:lpstr>TD-TF-BU-Setembro-2017</vt:lpstr>
      <vt:lpstr>Outubro-2017</vt:lpstr>
      <vt:lpstr>TD-TF-BU-Outubro-2017</vt:lpstr>
      <vt:lpstr>Novembro-2017</vt:lpstr>
      <vt:lpstr>TD-TF-BU-Novembro-2017</vt:lpstr>
      <vt:lpstr>Dezembro-2017</vt:lpstr>
      <vt:lpstr>TD-TF-BU-Dezembro-2017</vt:lpstr>
      <vt:lpstr>Janeiro-2018</vt:lpstr>
      <vt:lpstr>TD-TF-BU-Janeiro-2018</vt:lpstr>
      <vt:lpstr>Fevereiro-2018</vt:lpstr>
      <vt:lpstr>TD-TF-BU-Fevereiro-2018</vt:lpstr>
      <vt:lpstr>Março-2018 </vt:lpstr>
      <vt:lpstr>Abril-2018</vt:lpstr>
      <vt:lpstr>Junho-2024</vt:lpstr>
      <vt:lpstr>Agosto-2024</vt:lpstr>
      <vt:lpstr>Setembro-2024</vt:lpstr>
      <vt:lpstr>'Abril-2018'!Area_de_impressao</vt:lpstr>
      <vt:lpstr>'Agosto-2024'!Area_de_impressao</vt:lpstr>
      <vt:lpstr>'Dezembro-2012'!Area_de_impressao</vt:lpstr>
      <vt:lpstr>'Dezembro-2013'!Area_de_impressao</vt:lpstr>
      <vt:lpstr>'Dezembro-2014'!Area_de_impressao</vt:lpstr>
      <vt:lpstr>'Dezembro-2015 '!Area_de_impressao</vt:lpstr>
      <vt:lpstr>'Dezembro-2016'!Area_de_impressao</vt:lpstr>
      <vt:lpstr>'Dezembro-2017'!Area_de_impressao</vt:lpstr>
      <vt:lpstr>'Fevereiro-2013'!Area_de_impressao</vt:lpstr>
      <vt:lpstr>'Fevereiro-2014'!Area_de_impressao</vt:lpstr>
      <vt:lpstr>'Fevereiro-2015'!Area_de_impressao</vt:lpstr>
      <vt:lpstr>'Fevereiro-2016'!Area_de_impressao</vt:lpstr>
      <vt:lpstr>'Fevereiro-2017'!Area_de_impressao</vt:lpstr>
      <vt:lpstr>'Fevereiro-2018'!Area_de_impressao</vt:lpstr>
      <vt:lpstr>'Janeiro-2013'!Area_de_impressao</vt:lpstr>
      <vt:lpstr>'Janeiro-2014'!Area_de_impressao</vt:lpstr>
      <vt:lpstr>'Janeiro-2015'!Area_de_impressao</vt:lpstr>
      <vt:lpstr>'Janeiro-2016'!Area_de_impressao</vt:lpstr>
      <vt:lpstr>'Janeiro-2017'!Area_de_impressao</vt:lpstr>
      <vt:lpstr>'Janeiro-2018'!Area_de_impressao</vt:lpstr>
      <vt:lpstr>'Julho-2012 '!Area_de_impressao</vt:lpstr>
      <vt:lpstr>'Junho-2024'!Area_de_impressao</vt:lpstr>
      <vt:lpstr>'Maio-2014'!Area_de_impressao</vt:lpstr>
      <vt:lpstr>'Março-2013'!Area_de_impressao</vt:lpstr>
      <vt:lpstr>'Março-2014'!Area_de_impressao</vt:lpstr>
      <vt:lpstr>'Março-2015 '!Area_de_impressao</vt:lpstr>
      <vt:lpstr>'Marco-2016 '!Area_de_impressao</vt:lpstr>
      <vt:lpstr>'Março-2017'!Area_de_impressao</vt:lpstr>
      <vt:lpstr>'Março-2018 '!Area_de_impressao</vt:lpstr>
      <vt:lpstr>'Novembro-2017'!Area_de_impressao</vt:lpstr>
      <vt:lpstr>'Outubro-2017'!Area_de_impressao</vt:lpstr>
      <vt:lpstr>'Setembro-2017'!Area_de_impressao</vt:lpstr>
      <vt:lpstr>'Setembro-2024'!Area_de_impressao</vt:lpstr>
      <vt:lpstr>'TD-TF-BU-Maio-2013'!Area_de_impressao</vt:lpstr>
      <vt:lpstr>'TD-TF-BU-Maio-2015'!Area_de_impressao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2019-03-07T16:44:29Z</dcterms:created>
  <dcterms:modified xsi:type="dcterms:W3CDTF">2024-09-19T12:27:48Z</dcterms:modified>
</cp:coreProperties>
</file>