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QLExpansion\Workbooks\"/>
    </mc:Choice>
  </mc:AlternateContent>
  <bookViews>
    <workbookView xWindow="0" yWindow="0" windowWidth="11655" windowHeight="4650" activeTab="2"/>
  </bookViews>
  <sheets>
    <sheet name="Black-Scholes" sheetId="2" r:id="rId1"/>
    <sheet name="SABR" sheetId="3" r:id="rId2"/>
    <sheet name="SVI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4" l="1"/>
  <c r="C16" i="4"/>
  <c r="E16" i="4"/>
  <c r="B13" i="4" l="1"/>
  <c r="B12" i="4"/>
  <c r="B11" i="4"/>
  <c r="B10" i="4"/>
  <c r="B9" i="4"/>
  <c r="B8" i="4"/>
  <c r="B7" i="4"/>
  <c r="B6" i="4"/>
  <c r="B5" i="4"/>
  <c r="B4" i="4"/>
  <c r="B3" i="4"/>
  <c r="B2" i="4"/>
  <c r="O14" i="3"/>
  <c r="O6" i="3"/>
  <c r="B7" i="2"/>
  <c r="O4" i="3"/>
  <c r="B13" i="2"/>
  <c r="O20" i="3"/>
  <c r="B15" i="2"/>
  <c r="O16" i="3"/>
  <c r="O5" i="3"/>
  <c r="O17" i="3"/>
  <c r="C7" i="2"/>
  <c r="O19" i="3"/>
  <c r="O21" i="3"/>
  <c r="K3" i="3"/>
  <c r="B12" i="2"/>
  <c r="O10" i="3"/>
  <c r="O11" i="3"/>
  <c r="B14" i="2"/>
  <c r="O9" i="3"/>
  <c r="O18" i="3"/>
  <c r="O7" i="3"/>
  <c r="C12" i="2"/>
  <c r="C15" i="2"/>
  <c r="O8" i="3"/>
  <c r="B1" i="2"/>
  <c r="D2" i="2" s="1"/>
  <c r="B10" i="2"/>
  <c r="C11" i="2"/>
  <c r="O15" i="3"/>
  <c r="B11" i="2"/>
  <c r="C10" i="2"/>
  <c r="C13" i="2"/>
  <c r="C14" i="2"/>
  <c r="H16" i="4" a="1"/>
  <c r="K16" i="4"/>
  <c r="I16" i="4" l="1"/>
  <c r="I18" i="4"/>
  <c r="I20" i="4"/>
  <c r="I22" i="4"/>
  <c r="H17" i="4"/>
  <c r="H19" i="4"/>
  <c r="H21" i="4"/>
  <c r="H23" i="4"/>
  <c r="I17" i="4"/>
  <c r="I19" i="4"/>
  <c r="I21" i="4"/>
  <c r="I23" i="4"/>
  <c r="H16" i="4"/>
  <c r="H18" i="4"/>
  <c r="H20" i="4"/>
  <c r="H22" i="4"/>
  <c r="E14" i="2"/>
  <c r="B19" i="2"/>
  <c r="E12" i="2"/>
  <c r="E13" i="2"/>
  <c r="F13" i="2"/>
  <c r="F14" i="2"/>
  <c r="F12" i="2"/>
  <c r="E15" i="2"/>
  <c r="F15" i="2"/>
  <c r="C19" i="2"/>
  <c r="D19" i="2"/>
  <c r="AJ5" i="3"/>
  <c r="AJ9" i="3"/>
  <c r="B30" i="2"/>
  <c r="B39" i="2"/>
  <c r="B36" i="2"/>
  <c r="AA15" i="3"/>
  <c r="AB15" i="3"/>
  <c r="AE19" i="3"/>
  <c r="Y19" i="3"/>
  <c r="T30" i="2"/>
  <c r="Q39" i="2"/>
  <c r="Q36" i="2"/>
  <c r="E1" i="2"/>
  <c r="Q30" i="2"/>
  <c r="D35" i="2"/>
  <c r="M35" i="2" s="1"/>
  <c r="T39" i="2"/>
  <c r="AD15" i="3"/>
  <c r="AC15" i="3"/>
  <c r="AB19" i="3"/>
  <c r="S35" i="2"/>
  <c r="AJ7" i="3"/>
  <c r="B38" i="2"/>
  <c r="D40" i="2"/>
  <c r="K39" i="2"/>
  <c r="C39" i="2"/>
  <c r="AE15" i="3"/>
  <c r="AC19" i="3"/>
  <c r="J35" i="2"/>
  <c r="T36" i="2"/>
  <c r="R39" i="2"/>
  <c r="AJ10" i="3"/>
  <c r="AJ11" i="3"/>
  <c r="AA20" i="3"/>
  <c r="AJ4" i="3"/>
  <c r="K38" i="2"/>
  <c r="AB14" i="3"/>
  <c r="B34" i="2"/>
  <c r="N30" i="2"/>
  <c r="B37" i="2"/>
  <c r="H38" i="2"/>
  <c r="C31" i="2"/>
  <c r="Y17" i="3"/>
  <c r="AC17" i="3"/>
  <c r="AM4" i="3" a="1"/>
  <c r="Y15" i="3"/>
  <c r="AC21" i="3"/>
  <c r="Z21" i="3"/>
  <c r="AM10" i="3" a="1"/>
  <c r="Z19" i="3"/>
  <c r="AE14" i="3"/>
  <c r="AD14" i="3"/>
  <c r="N38" i="2"/>
  <c r="N39" i="2"/>
  <c r="P40" i="2"/>
  <c r="P35" i="2"/>
  <c r="V35" i="2"/>
  <c r="N36" i="2"/>
  <c r="I31" i="2"/>
  <c r="L39" i="2"/>
  <c r="G2" i="3"/>
  <c r="D25" i="2"/>
  <c r="D28" i="2"/>
  <c r="AK4" i="3" a="1"/>
  <c r="D31" i="2"/>
  <c r="AB17" i="3"/>
  <c r="AD21" i="3"/>
  <c r="F5" i="3"/>
  <c r="AA19" i="3"/>
  <c r="H36" i="2"/>
  <c r="H30" i="2"/>
  <c r="M28" i="2"/>
  <c r="J40" i="2"/>
  <c r="H37" i="2"/>
  <c r="S31" i="2"/>
  <c r="V31" i="2"/>
  <c r="AD20" i="3"/>
  <c r="AJ8" i="3"/>
  <c r="AK10" i="3" a="1"/>
  <c r="D29" i="2"/>
  <c r="AJ6" i="3"/>
  <c r="B27" i="2"/>
  <c r="M25" i="2"/>
  <c r="H34" i="2"/>
  <c r="AQ4" i="3" a="1"/>
  <c r="AD17" i="3"/>
  <c r="Z15" i="3"/>
  <c r="AE21" i="3"/>
  <c r="D8" i="3" a="1"/>
  <c r="AD19" i="3"/>
  <c r="AO4" i="3" a="1"/>
  <c r="K36" i="2"/>
  <c r="K30" i="2"/>
  <c r="H39" i="2"/>
  <c r="M40" i="2"/>
  <c r="T27" i="2"/>
  <c r="T37" i="2"/>
  <c r="P31" i="2"/>
  <c r="D21" i="2"/>
  <c r="Z17" i="3"/>
  <c r="AE17" i="3"/>
  <c r="AA17" i="3"/>
  <c r="T38" i="2"/>
  <c r="Q38" i="2"/>
  <c r="S40" i="2"/>
  <c r="V40" i="2"/>
  <c r="I39" i="2"/>
  <c r="O39" i="2"/>
  <c r="U39" i="2"/>
  <c r="Z20" i="3"/>
  <c r="AE20" i="3"/>
  <c r="AB20" i="3"/>
  <c r="AO10" i="3" a="1"/>
  <c r="AC20" i="3"/>
  <c r="Y20" i="3"/>
  <c r="AB21" i="3"/>
  <c r="Y21" i="3"/>
  <c r="AA21" i="3"/>
  <c r="Y14" i="3"/>
  <c r="AA14" i="3"/>
  <c r="Z14" i="3"/>
  <c r="AC14" i="3"/>
  <c r="Q34" i="2"/>
  <c r="K34" i="2"/>
  <c r="T34" i="2"/>
  <c r="N34" i="2"/>
  <c r="K37" i="2"/>
  <c r="N37" i="2"/>
  <c r="Q37" i="2"/>
  <c r="R31" i="2"/>
  <c r="O31" i="2"/>
  <c r="U31" i="2"/>
  <c r="B5" i="3"/>
  <c r="D5" i="3"/>
  <c r="E5" i="3"/>
  <c r="G5" i="3"/>
  <c r="C5" i="3"/>
  <c r="H5" i="3"/>
  <c r="P25" i="2"/>
  <c r="S25" i="2"/>
  <c r="V25" i="2"/>
  <c r="J25" i="2"/>
  <c r="J28" i="2"/>
  <c r="P28" i="2"/>
  <c r="V28" i="2"/>
  <c r="S28" i="2"/>
  <c r="J31" i="2"/>
  <c r="M31" i="2"/>
  <c r="AB18" i="3"/>
  <c r="AA18" i="3"/>
  <c r="AD18" i="3"/>
  <c r="AE18" i="3"/>
  <c r="Y18" i="3"/>
  <c r="AC18" i="3"/>
  <c r="Z18" i="3"/>
  <c r="S29" i="2"/>
  <c r="V29" i="2"/>
  <c r="P29" i="2"/>
  <c r="J29" i="2"/>
  <c r="M29" i="2"/>
  <c r="AD16" i="3"/>
  <c r="AE16" i="3"/>
  <c r="Y16" i="3"/>
  <c r="Z16" i="3"/>
  <c r="AB16" i="3"/>
  <c r="AA16" i="3"/>
  <c r="AC16" i="3"/>
  <c r="Q27" i="2"/>
  <c r="H27" i="2"/>
  <c r="K27" i="2"/>
  <c r="N27" i="2"/>
  <c r="V21" i="2"/>
  <c r="M21" i="2"/>
  <c r="J21" i="2"/>
  <c r="P21" i="2"/>
  <c r="S21" i="2"/>
  <c r="AO7" i="3" l="1"/>
  <c r="AP9" i="3"/>
  <c r="AP4" i="3"/>
  <c r="AP5" i="3"/>
  <c r="AG16" i="3" s="1"/>
  <c r="AO9" i="3"/>
  <c r="AP6" i="3"/>
  <c r="AP8" i="3"/>
  <c r="AO4" i="3"/>
  <c r="AO6" i="3"/>
  <c r="AO5" i="3"/>
  <c r="AP7" i="3"/>
  <c r="AO8" i="3"/>
  <c r="AN12" i="3"/>
  <c r="AM15" i="3"/>
  <c r="AM14" i="3"/>
  <c r="AM11" i="3"/>
  <c r="AN15" i="3"/>
  <c r="AN14" i="3"/>
  <c r="AM12" i="3"/>
  <c r="AN11" i="3"/>
  <c r="AG19" i="3" s="1"/>
  <c r="AN13" i="3"/>
  <c r="AM10" i="3"/>
  <c r="AN10" i="3"/>
  <c r="AM13" i="3"/>
  <c r="E10" i="3"/>
  <c r="D13" i="3"/>
  <c r="D12" i="3"/>
  <c r="E11" i="3"/>
  <c r="E12" i="3"/>
  <c r="D10" i="3"/>
  <c r="E9" i="3"/>
  <c r="D9" i="3"/>
  <c r="E13" i="3"/>
  <c r="D11" i="3"/>
  <c r="D8" i="3"/>
  <c r="E8" i="3"/>
  <c r="AN6" i="3"/>
  <c r="AM9" i="3"/>
  <c r="AN9" i="3"/>
  <c r="AN8" i="3"/>
  <c r="AM4" i="3"/>
  <c r="AM6" i="3"/>
  <c r="AM7" i="3"/>
  <c r="AM8" i="3"/>
  <c r="AN4" i="3"/>
  <c r="AN5" i="3"/>
  <c r="AG15" i="3" s="1"/>
  <c r="AM5" i="3"/>
  <c r="AN7" i="3"/>
  <c r="AR7" i="3"/>
  <c r="AQ8" i="3"/>
  <c r="AQ7" i="3"/>
  <c r="AR9" i="3"/>
  <c r="AQ5" i="3"/>
  <c r="AR4" i="3"/>
  <c r="AF17" i="3" s="1"/>
  <c r="AQ4" i="3"/>
  <c r="AR6" i="3"/>
  <c r="AR5" i="3"/>
  <c r="AR8" i="3"/>
  <c r="AQ6" i="3"/>
  <c r="AQ9" i="3"/>
  <c r="AK4" i="3"/>
  <c r="AL6" i="3"/>
  <c r="AH14" i="3" s="1"/>
  <c r="AK7" i="3"/>
  <c r="AK6" i="3"/>
  <c r="AL8" i="3"/>
  <c r="AL7" i="3"/>
  <c r="AI14" i="3" s="1"/>
  <c r="AK8" i="3"/>
  <c r="AL5" i="3"/>
  <c r="AG14" i="3" s="1"/>
  <c r="AK5" i="3"/>
  <c r="AL4" i="3"/>
  <c r="AL9" i="3"/>
  <c r="AK9" i="3"/>
  <c r="AL15" i="3"/>
  <c r="AK10" i="3"/>
  <c r="AL12" i="3"/>
  <c r="AH18" i="3" s="1"/>
  <c r="AK15" i="3"/>
  <c r="AK12" i="3"/>
  <c r="AL14" i="3"/>
  <c r="AL11" i="3"/>
  <c r="AG18" i="3" s="1"/>
  <c r="AK14" i="3"/>
  <c r="AL13" i="3"/>
  <c r="AI18" i="3" s="1"/>
  <c r="AL10" i="3"/>
  <c r="AF18" i="3" s="1"/>
  <c r="AK11" i="3"/>
  <c r="AK13" i="3"/>
  <c r="AP15" i="3"/>
  <c r="AO10" i="3"/>
  <c r="AO11" i="3"/>
  <c r="AP13" i="3"/>
  <c r="AI20" i="3" s="1"/>
  <c r="AO12" i="3"/>
  <c r="AO13" i="3"/>
  <c r="AP12" i="3"/>
  <c r="AH20" i="3" s="1"/>
  <c r="AO15" i="3"/>
  <c r="AP10" i="3"/>
  <c r="AF20" i="3" s="1"/>
  <c r="AP11" i="3"/>
  <c r="AG20" i="3" s="1"/>
  <c r="AP14" i="3"/>
  <c r="AO14" i="3"/>
  <c r="G19" i="2"/>
  <c r="J19" i="2" s="1"/>
  <c r="M19" i="2" s="1"/>
  <c r="P19" i="2" s="1"/>
  <c r="S19" i="2" s="1"/>
  <c r="V19" i="2" s="1"/>
  <c r="F19" i="2"/>
  <c r="I19" i="2" s="1"/>
  <c r="L19" i="2" s="1"/>
  <c r="O19" i="2" s="1"/>
  <c r="R19" i="2" s="1"/>
  <c r="U19" i="2" s="1"/>
  <c r="E19" i="2"/>
  <c r="H19" i="2" s="1"/>
  <c r="K19" i="2" s="1"/>
  <c r="N19" i="2" s="1"/>
  <c r="Q19" i="2" s="1"/>
  <c r="T19" i="2" s="1"/>
  <c r="F10" i="2"/>
  <c r="E11" i="2"/>
  <c r="E10" i="2"/>
  <c r="F11" i="2"/>
  <c r="AH19" i="3"/>
  <c r="AI19" i="3"/>
  <c r="AF19" i="3"/>
  <c r="AI17" i="3"/>
  <c r="AH17" i="3"/>
  <c r="AG17" i="3"/>
  <c r="AH15" i="3"/>
  <c r="AI15" i="3"/>
  <c r="AF15" i="3"/>
  <c r="AF14" i="3"/>
  <c r="AF16" i="3"/>
  <c r="AH16" i="3"/>
  <c r="AI16" i="3"/>
  <c r="L31" i="2"/>
  <c r="C21" i="2"/>
  <c r="D36" i="2"/>
  <c r="G25" i="2"/>
  <c r="G21" i="2"/>
  <c r="C22" i="2"/>
  <c r="C27" i="2"/>
  <c r="E34" i="2"/>
  <c r="E37" i="2"/>
  <c r="E27" i="2"/>
  <c r="C38" i="2"/>
  <c r="B23" i="2"/>
  <c r="F31" i="2"/>
  <c r="B22" i="2"/>
  <c r="C23" i="2"/>
  <c r="B35" i="2"/>
  <c r="D37" i="2"/>
  <c r="G40" i="2"/>
  <c r="I22" i="2"/>
  <c r="U21" i="2"/>
  <c r="O23" i="2"/>
  <c r="O38" i="2"/>
  <c r="U27" i="2"/>
  <c r="V36" i="2"/>
  <c r="K35" i="2"/>
  <c r="Q35" i="2"/>
  <c r="Q23" i="2"/>
  <c r="O21" i="2"/>
  <c r="P36" i="2"/>
  <c r="I27" i="2"/>
  <c r="K22" i="2"/>
  <c r="U23" i="2"/>
  <c r="M37" i="2"/>
  <c r="B28" i="2"/>
  <c r="B33" i="2"/>
  <c r="K33" i="2" s="1"/>
  <c r="F22" i="2"/>
  <c r="D34" i="2"/>
  <c r="D33" i="2"/>
  <c r="C26" i="2"/>
  <c r="I26" i="2" s="1"/>
  <c r="F39" i="2"/>
  <c r="G33" i="2"/>
  <c r="E38" i="2"/>
  <c r="J37" i="2"/>
  <c r="I21" i="2"/>
  <c r="L23" i="2"/>
  <c r="T33" i="2"/>
  <c r="N35" i="2"/>
  <c r="U22" i="2"/>
  <c r="U26" i="2"/>
  <c r="G37" i="2"/>
  <c r="C34" i="2"/>
  <c r="D23" i="2"/>
  <c r="C33" i="2"/>
  <c r="B20" i="2"/>
  <c r="B32" i="2"/>
  <c r="D32" i="2"/>
  <c r="D39" i="2"/>
  <c r="M32" i="2"/>
  <c r="C32" i="2"/>
  <c r="D38" i="2"/>
  <c r="G29" i="2"/>
  <c r="D27" i="2"/>
  <c r="F21" i="2"/>
  <c r="C37" i="2"/>
  <c r="C25" i="2"/>
  <c r="G31" i="2"/>
  <c r="B31" i="2"/>
  <c r="E20" i="2"/>
  <c r="B25" i="2"/>
  <c r="E22" i="2"/>
  <c r="N31" i="2"/>
  <c r="Q22" i="2"/>
  <c r="S32" i="2"/>
  <c r="C29" i="2"/>
  <c r="B21" i="2"/>
  <c r="E36" i="2"/>
  <c r="F27" i="2"/>
  <c r="F37" i="2"/>
  <c r="F29" i="2"/>
  <c r="G27" i="2"/>
  <c r="K25" i="2"/>
  <c r="V37" i="2"/>
  <c r="V32" i="2"/>
  <c r="P34" i="2"/>
  <c r="L22" i="2"/>
  <c r="U37" i="2"/>
  <c r="L26" i="2"/>
  <c r="O32" i="2"/>
  <c r="U33" i="2"/>
  <c r="U38" i="2"/>
  <c r="L29" i="2"/>
  <c r="R34" i="2"/>
  <c r="U25" i="2"/>
  <c r="S36" i="2"/>
  <c r="P33" i="2"/>
  <c r="N20" i="2"/>
  <c r="N33" i="2"/>
  <c r="H35" i="2"/>
  <c r="T28" i="2"/>
  <c r="T23" i="2"/>
  <c r="N23" i="2"/>
  <c r="N21" i="2"/>
  <c r="L34" i="2"/>
  <c r="M36" i="2"/>
  <c r="U32" i="2"/>
  <c r="L27" i="2"/>
  <c r="E25" i="2"/>
  <c r="F26" i="2"/>
  <c r="P37" i="2"/>
  <c r="D26" i="2"/>
  <c r="G26" i="2" s="1"/>
  <c r="C28" i="2"/>
  <c r="F33" i="2"/>
  <c r="F28" i="2"/>
  <c r="C36" i="2"/>
  <c r="G36" i="2"/>
  <c r="V27" i="2"/>
  <c r="C20" i="2"/>
  <c r="D20" i="2"/>
  <c r="P39" i="2"/>
  <c r="C35" i="2"/>
  <c r="D24" i="2"/>
  <c r="P27" i="2"/>
  <c r="N32" i="2"/>
  <c r="R26" i="2"/>
  <c r="I32" i="2"/>
  <c r="R33" i="2"/>
  <c r="R38" i="2"/>
  <c r="O27" i="2"/>
  <c r="R35" i="2"/>
  <c r="S33" i="2"/>
  <c r="K20" i="2"/>
  <c r="H28" i="2"/>
  <c r="K23" i="2"/>
  <c r="I34" i="2"/>
  <c r="J38" i="2"/>
  <c r="N22" i="2"/>
  <c r="F23" i="2"/>
  <c r="AQ10" i="3" a="1"/>
  <c r="B24" i="2"/>
  <c r="E24" i="2"/>
  <c r="C24" i="2"/>
  <c r="D22" i="2"/>
  <c r="E33" i="2"/>
  <c r="G34" i="2"/>
  <c r="C40" i="2"/>
  <c r="T22" i="2"/>
  <c r="V24" i="2"/>
  <c r="L21" i="2"/>
  <c r="O36" i="2"/>
  <c r="L24" i="2"/>
  <c r="R27" i="2"/>
  <c r="J33" i="2"/>
  <c r="H23" i="2"/>
  <c r="J36" i="2"/>
  <c r="I20" i="2"/>
  <c r="F40" i="2"/>
  <c r="P24" i="2"/>
  <c r="G35" i="2"/>
  <c r="B29" i="2"/>
  <c r="P32" i="2"/>
  <c r="D30" i="2"/>
  <c r="L32" i="2"/>
  <c r="I25" i="2"/>
  <c r="T35" i="2"/>
  <c r="R22" i="2"/>
  <c r="K32" i="2"/>
  <c r="E30" i="2"/>
  <c r="C30" i="2"/>
  <c r="G28" i="2"/>
  <c r="M27" i="2"/>
  <c r="H21" i="2"/>
  <c r="G39" i="2"/>
  <c r="S34" i="2"/>
  <c r="I37" i="2"/>
  <c r="I40" i="2"/>
  <c r="R23" i="2"/>
  <c r="R29" i="2"/>
  <c r="O35" i="2"/>
  <c r="H33" i="2"/>
  <c r="K28" i="2"/>
  <c r="T24" i="2"/>
  <c r="R36" i="2"/>
  <c r="T31" i="2"/>
  <c r="U35" i="2"/>
  <c r="V39" i="2"/>
  <c r="B40" i="2"/>
  <c r="B26" i="2"/>
  <c r="F25" i="2"/>
  <c r="M34" i="2"/>
  <c r="E39" i="2"/>
  <c r="Q31" i="2"/>
  <c r="H31" i="2"/>
  <c r="O26" i="2"/>
  <c r="I33" i="2"/>
  <c r="O28" i="2"/>
  <c r="O34" i="2"/>
  <c r="P38" i="2"/>
  <c r="Q33" i="2"/>
  <c r="H29" i="2"/>
  <c r="R21" i="2"/>
  <c r="M38" i="2"/>
  <c r="H22" i="2"/>
  <c r="S37" i="2"/>
  <c r="F38" i="2"/>
  <c r="E28" i="2"/>
  <c r="M24" i="2"/>
  <c r="O22" i="2"/>
  <c r="O30" i="2"/>
  <c r="L38" i="2"/>
  <c r="V30" i="2"/>
  <c r="K21" i="2"/>
  <c r="Q26" i="2"/>
  <c r="I23" i="2"/>
  <c r="M23" i="2"/>
  <c r="J23" i="2"/>
  <c r="V23" i="2"/>
  <c r="P23" i="2"/>
  <c r="M26" i="2"/>
  <c r="P26" i="2"/>
  <c r="S26" i="2"/>
  <c r="V26" i="2"/>
  <c r="J26" i="2"/>
  <c r="Q28" i="2"/>
  <c r="J34" i="2"/>
  <c r="M33" i="2"/>
  <c r="F34" i="2"/>
  <c r="U34" i="2"/>
  <c r="G23" i="2"/>
  <c r="S23" i="2"/>
  <c r="L33" i="2"/>
  <c r="Q20" i="2"/>
  <c r="H20" i="2"/>
  <c r="Q32" i="2"/>
  <c r="E32" i="2"/>
  <c r="T32" i="2"/>
  <c r="H32" i="2"/>
  <c r="G32" i="2"/>
  <c r="J32" i="2"/>
  <c r="S39" i="2"/>
  <c r="M39" i="2"/>
  <c r="J39" i="2"/>
  <c r="R32" i="2"/>
  <c r="F32" i="2"/>
  <c r="S38" i="2"/>
  <c r="V38" i="2"/>
  <c r="G38" i="2"/>
  <c r="J27" i="2"/>
  <c r="R37" i="2"/>
  <c r="L37" i="2"/>
  <c r="O25" i="2"/>
  <c r="L25" i="2"/>
  <c r="K31" i="2"/>
  <c r="E31" i="2"/>
  <c r="H25" i="2"/>
  <c r="N25" i="2"/>
  <c r="T25" i="2"/>
  <c r="Q25" i="2"/>
  <c r="U29" i="2"/>
  <c r="I29" i="2"/>
  <c r="Q21" i="2"/>
  <c r="T21" i="2"/>
  <c r="L28" i="2"/>
  <c r="U28" i="2"/>
  <c r="R28" i="2"/>
  <c r="I28" i="2"/>
  <c r="L36" i="2"/>
  <c r="F36" i="2"/>
  <c r="U36" i="2"/>
  <c r="I36" i="2"/>
  <c r="U20" i="2"/>
  <c r="L20" i="2"/>
  <c r="R20" i="2"/>
  <c r="F20" i="2"/>
  <c r="O20" i="2"/>
  <c r="M20" i="2"/>
  <c r="S20" i="2"/>
  <c r="V20" i="2"/>
  <c r="J20" i="2"/>
  <c r="P20" i="2"/>
  <c r="G20" i="2"/>
  <c r="F35" i="2"/>
  <c r="L35" i="2"/>
  <c r="I35" i="2"/>
  <c r="S24" i="2"/>
  <c r="G24" i="2"/>
  <c r="J24" i="2"/>
  <c r="N24" i="2"/>
  <c r="K24" i="2"/>
  <c r="Q24" i="2"/>
  <c r="H24" i="2"/>
  <c r="R24" i="2"/>
  <c r="U24" i="2"/>
  <c r="O24" i="2"/>
  <c r="I24" i="2"/>
  <c r="F24" i="2"/>
  <c r="V22" i="2"/>
  <c r="G22" i="2"/>
  <c r="J22" i="2"/>
  <c r="P22" i="2"/>
  <c r="S22" i="2"/>
  <c r="M22" i="2"/>
  <c r="O40" i="2"/>
  <c r="U40" i="2"/>
  <c r="R40" i="2"/>
  <c r="L40" i="2"/>
  <c r="E29" i="2"/>
  <c r="T29" i="2"/>
  <c r="N29" i="2"/>
  <c r="K29" i="2"/>
  <c r="J30" i="2"/>
  <c r="S30" i="2"/>
  <c r="P30" i="2"/>
  <c r="M30" i="2"/>
  <c r="G30" i="2"/>
  <c r="L30" i="2"/>
  <c r="I30" i="2"/>
  <c r="U30" i="2"/>
  <c r="F30" i="2"/>
  <c r="R30" i="2"/>
  <c r="H40" i="2"/>
  <c r="E40" i="2"/>
  <c r="K40" i="2"/>
  <c r="Q40" i="2"/>
  <c r="N40" i="2"/>
  <c r="K26" i="2"/>
  <c r="E26" i="2"/>
  <c r="H26" i="2"/>
  <c r="N26" i="2"/>
  <c r="T26" i="2"/>
  <c r="AR15" i="3" l="1"/>
  <c r="AR12" i="3"/>
  <c r="AH21" i="3" s="1"/>
  <c r="AQ11" i="3"/>
  <c r="AQ12" i="3"/>
  <c r="AR10" i="3"/>
  <c r="AF21" i="3" s="1"/>
  <c r="AR11" i="3"/>
  <c r="AG21" i="3" s="1"/>
  <c r="AR13" i="3"/>
  <c r="AI21" i="3" s="1"/>
  <c r="AQ15" i="3"/>
  <c r="AQ14" i="3"/>
  <c r="AQ13" i="3"/>
  <c r="AQ10" i="3"/>
  <c r="AR14" i="3"/>
  <c r="T40" i="2"/>
  <c r="R25" i="2"/>
  <c r="O33" i="2"/>
  <c r="E35" i="2"/>
  <c r="S27" i="2"/>
  <c r="O29" i="2"/>
  <c r="N28" i="2"/>
  <c r="Q29" i="2"/>
  <c r="O37" i="2"/>
  <c r="V33" i="2"/>
  <c r="E23" i="2"/>
  <c r="E21" i="2"/>
  <c r="V34" i="2"/>
  <c r="I38" i="2"/>
  <c r="T20" i="2"/>
</calcChain>
</file>

<file path=xl/sharedStrings.xml><?xml version="1.0" encoding="utf-8"?>
<sst xmlns="http://schemas.openxmlformats.org/spreadsheetml/2006/main" count="104" uniqueCount="69">
  <si>
    <t>Start Date</t>
  </si>
  <si>
    <t>Spot Price</t>
  </si>
  <si>
    <t>Strike Price</t>
  </si>
  <si>
    <t>Risk Free Rate</t>
  </si>
  <si>
    <t>End Date</t>
  </si>
  <si>
    <t>Time to Maturity</t>
  </si>
  <si>
    <t>Dividend/Convenience Yield</t>
  </si>
  <si>
    <t>Volatility</t>
  </si>
  <si>
    <t>BSM (1973)</t>
  </si>
  <si>
    <t>Object Handler</t>
  </si>
  <si>
    <t>Option Name</t>
  </si>
  <si>
    <t>Option Type</t>
  </si>
  <si>
    <t>bsm_call</t>
  </si>
  <si>
    <t>bsm_put</t>
  </si>
  <si>
    <t>Strike</t>
  </si>
  <si>
    <t>Price (%)</t>
  </si>
  <si>
    <t>Delta</t>
  </si>
  <si>
    <t>Gamma</t>
  </si>
  <si>
    <t>Vega</t>
  </si>
  <si>
    <t>Theta</t>
  </si>
  <si>
    <t>Rho</t>
  </si>
  <si>
    <t>Delta (%)</t>
  </si>
  <si>
    <t>Gamma (%)</t>
  </si>
  <si>
    <t>Vega (1 % vol)</t>
  </si>
  <si>
    <t>Theta (1D)</t>
  </si>
  <si>
    <t>Call</t>
  </si>
  <si>
    <t>Put</t>
  </si>
  <si>
    <t>Rho (1% rate)</t>
  </si>
  <si>
    <t>NPV</t>
  </si>
  <si>
    <t>Maturity</t>
  </si>
  <si>
    <t>Alpha</t>
  </si>
  <si>
    <t>Beta</t>
  </si>
  <si>
    <t>alpha</t>
  </si>
  <si>
    <t>beta</t>
  </si>
  <si>
    <t>rho</t>
  </si>
  <si>
    <t>F0</t>
  </si>
  <si>
    <t>ATMVol</t>
  </si>
  <si>
    <t>nu</t>
  </si>
  <si>
    <t>Initial</t>
  </si>
  <si>
    <t>isFixed</t>
  </si>
  <si>
    <t>today</t>
  </si>
  <si>
    <t>Calibration</t>
  </si>
  <si>
    <t>http://www.mathworks.com/help/fininst/calibrating-the-sabr-model.html</t>
  </si>
  <si>
    <t>Market Vol</t>
  </si>
  <si>
    <t>Model Vol</t>
  </si>
  <si>
    <t>Parameters</t>
  </si>
  <si>
    <t>Calibrated</t>
  </si>
  <si>
    <t>http://www.mathworks.com/help/fininst/pricing-a-swaption-using-the-sabr-model.html</t>
  </si>
  <si>
    <t>ExerciseDate</t>
  </si>
  <si>
    <t>Tenor</t>
  </si>
  <si>
    <t>ATM0</t>
  </si>
  <si>
    <t>Index</t>
  </si>
  <si>
    <t>3Mx10Y</t>
  </si>
  <si>
    <t>1Yx10Y</t>
  </si>
  <si>
    <t>2Yx10Y</t>
  </si>
  <si>
    <t>3Yx10Y</t>
  </si>
  <si>
    <t>4Yx10Y</t>
  </si>
  <si>
    <t>5Yx10Y</t>
  </si>
  <si>
    <t>7Yx10Y</t>
  </si>
  <si>
    <t>10Yx10Y</t>
  </si>
  <si>
    <t>Strikes</t>
  </si>
  <si>
    <t>Volatilities</t>
  </si>
  <si>
    <t>Nu</t>
  </si>
  <si>
    <t>Initial Guess</t>
  </si>
  <si>
    <t>T</t>
  </si>
  <si>
    <t>a</t>
  </si>
  <si>
    <t>b</t>
  </si>
  <si>
    <t>m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</si>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</sst>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0.00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1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0" fillId="6" borderId="0" xfId="0" applyFill="1"/>
    <xf numFmtId="0" fontId="2" fillId="5" borderId="4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6" borderId="5" xfId="0" applyFill="1" applyBorder="1"/>
    <xf numFmtId="0" fontId="0" fillId="3" borderId="13" xfId="0" applyFill="1" applyBorder="1" applyAlignment="1">
      <alignment horizontal="center" vertical="center"/>
    </xf>
    <xf numFmtId="10" fontId="0" fillId="0" borderId="7" xfId="1" applyNumberFormat="1" applyFont="1" applyBorder="1"/>
    <xf numFmtId="10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7" xfId="0" applyFill="1" applyBorder="1"/>
    <xf numFmtId="0" fontId="0" fillId="8" borderId="14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2" xfId="0" applyFill="1" applyBorder="1"/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4" fontId="2" fillId="7" borderId="11" xfId="0" applyNumberFormat="1" applyFont="1" applyFill="1" applyBorder="1" applyAlignment="1">
      <alignment horizontal="center" vertical="center"/>
    </xf>
    <xf numFmtId="14" fontId="2" fillId="7" borderId="15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4" fontId="0" fillId="0" borderId="0" xfId="0" applyNumberFormat="1"/>
    <xf numFmtId="0" fontId="0" fillId="9" borderId="0" xfId="0" applyFill="1"/>
    <xf numFmtId="0" fontId="0" fillId="10" borderId="3" xfId="0" applyFill="1" applyBorder="1"/>
    <xf numFmtId="0" fontId="0" fillId="10" borderId="15" xfId="0" applyFill="1" applyBorder="1"/>
    <xf numFmtId="0" fontId="0" fillId="2" borderId="3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4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1" borderId="2" xfId="0" applyFill="1" applyBorder="1"/>
    <xf numFmtId="0" fontId="0" fillId="11" borderId="0" xfId="0" applyFill="1" applyBorder="1"/>
    <xf numFmtId="0" fontId="0" fillId="11" borderId="15" xfId="0" applyFill="1" applyBorder="1"/>
    <xf numFmtId="0" fontId="0" fillId="11" borderId="13" xfId="0" applyFill="1" applyBorder="1"/>
    <xf numFmtId="0" fontId="0" fillId="11" borderId="6" xfId="0" applyFill="1" applyBorder="1"/>
    <xf numFmtId="14" fontId="0" fillId="2" borderId="14" xfId="0" applyNumberFormat="1" applyFill="1" applyBorder="1"/>
    <xf numFmtId="0" fontId="0" fillId="2" borderId="8" xfId="0" applyFill="1" applyBorder="1"/>
    <xf numFmtId="14" fontId="0" fillId="2" borderId="0" xfId="0" applyNumberFormat="1" applyFill="1" applyBorder="1"/>
    <xf numFmtId="164" fontId="0" fillId="2" borderId="10" xfId="0" applyNumberFormat="1" applyFill="1" applyBorder="1"/>
    <xf numFmtId="0" fontId="0" fillId="2" borderId="10" xfId="0" applyFill="1" applyBorder="1"/>
    <xf numFmtId="0" fontId="0" fillId="2" borderId="12" xfId="0" applyFill="1" applyBorder="1"/>
    <xf numFmtId="0" fontId="2" fillId="12" borderId="0" xfId="0" applyFont="1" applyFill="1"/>
    <xf numFmtId="0" fontId="3" fillId="12" borderId="0" xfId="0" applyFont="1" applyFill="1"/>
    <xf numFmtId="166" fontId="0" fillId="10" borderId="8" xfId="0" applyNumberFormat="1" applyFill="1" applyBorder="1"/>
    <xf numFmtId="166" fontId="0" fillId="10" borderId="10" xfId="0" applyNumberFormat="1" applyFill="1" applyBorder="1"/>
    <xf numFmtId="166" fontId="0" fillId="10" borderId="12" xfId="0" applyNumberForma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167" fontId="0" fillId="0" borderId="8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10" xfId="0" applyNumberFormat="1" applyFill="1" applyBorder="1" applyAlignment="1">
      <alignment horizontal="center" vertical="center"/>
    </xf>
    <xf numFmtId="167" fontId="0" fillId="0" borderId="11" xfId="0" applyNumberFormat="1" applyFill="1" applyBorder="1" applyAlignment="1">
      <alignment horizontal="center" vertical="center"/>
    </xf>
    <xf numFmtId="167" fontId="0" fillId="0" borderId="15" xfId="0" applyNumberFormat="1" applyFill="1" applyBorder="1" applyAlignment="1">
      <alignment horizontal="center" vertical="center"/>
    </xf>
    <xf numFmtId="167" fontId="0" fillId="0" borderId="12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/>
    <xf numFmtId="0" fontId="0" fillId="0" borderId="6" xfId="0" applyBorder="1" applyAlignment="1"/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'Black-Scholes'!$E$19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'Black-Scholes'!$E$20:$E$40</c:f>
              <c:numCache>
                <c:formatCode>General</c:formatCode>
                <c:ptCount val="21"/>
                <c:pt idx="0">
                  <c:v>51.351267971675988</c:v>
                </c:pt>
                <c:pt idx="1">
                  <c:v>46.486394770261825</c:v>
                </c:pt>
                <c:pt idx="2">
                  <c:v>41.621521764261971</c:v>
                </c:pt>
                <c:pt idx="3">
                  <c:v>36.756658839910351</c:v>
                </c:pt>
                <c:pt idx="4">
                  <c:v>31.892029658303382</c:v>
                </c:pt>
                <c:pt idx="5">
                  <c:v>27.030199191569896</c:v>
                </c:pt>
                <c:pt idx="6">
                  <c:v>22.187638487149783</c:v>
                </c:pt>
                <c:pt idx="7">
                  <c:v>17.428151056675404</c:v>
                </c:pt>
                <c:pt idx="8">
                  <c:v>12.90888210513222</c:v>
                </c:pt>
                <c:pt idx="9">
                  <c:v>8.8826569531374631</c:v>
                </c:pt>
                <c:pt idx="10">
                  <c:v>5.6093620613153421</c:v>
                </c:pt>
                <c:pt idx="11">
                  <c:v>3.2260930891388537</c:v>
                </c:pt>
                <c:pt idx="12">
                  <c:v>1.684946662730552</c:v>
                </c:pt>
                <c:pt idx="13">
                  <c:v>0.80002507579832705</c:v>
                </c:pt>
                <c:pt idx="14">
                  <c:v>0.34664413901543645</c:v>
                </c:pt>
                <c:pt idx="15">
                  <c:v>0.13781699652911444</c:v>
                </c:pt>
                <c:pt idx="16">
                  <c:v>5.0594239648503285E-2</c:v>
                </c:pt>
                <c:pt idx="17">
                  <c:v>1.7264034417595383E-2</c:v>
                </c:pt>
                <c:pt idx="18">
                  <c:v>5.5113822029356175E-3</c:v>
                </c:pt>
                <c:pt idx="19">
                  <c:v>1.6564228184514861E-3</c:v>
                </c:pt>
                <c:pt idx="20">
                  <c:v>4.7143686600829827E-4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'Black-Scholes'!$F$19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'Black-Scholes'!$F$20:$F$40</c:f>
              <c:numCache>
                <c:formatCode>General</c:formatCode>
                <c:ptCount val="21"/>
                <c:pt idx="0">
                  <c:v>52.666017851031128</c:v>
                </c:pt>
                <c:pt idx="1">
                  <c:v>47.932630728064154</c:v>
                </c:pt>
                <c:pt idx="2">
                  <c:v>43.199394530383195</c:v>
                </c:pt>
                <c:pt idx="3">
                  <c:v>38.467413856142784</c:v>
                </c:pt>
                <c:pt idx="4">
                  <c:v>33.742231409111838</c:v>
                </c:pt>
                <c:pt idx="5">
                  <c:v>29.042856630863643</c:v>
                </c:pt>
                <c:pt idx="6">
                  <c:v>24.416323882654627</c:v>
                </c:pt>
                <c:pt idx="7">
                  <c:v>19.950018434603862</c:v>
                </c:pt>
                <c:pt idx="8">
                  <c:v>15.769070752637845</c:v>
                </c:pt>
                <c:pt idx="9">
                  <c:v>12.012659391515989</c:v>
                </c:pt>
                <c:pt idx="10">
                  <c:v>8.797647070750326</c:v>
                </c:pt>
                <c:pt idx="11">
                  <c:v>6.1873022674253413</c:v>
                </c:pt>
                <c:pt idx="12">
                  <c:v>4.1791212363042405</c:v>
                </c:pt>
                <c:pt idx="13">
                  <c:v>2.713795890670172</c:v>
                </c:pt>
                <c:pt idx="14">
                  <c:v>1.6972109904030241</c:v>
                </c:pt>
                <c:pt idx="15">
                  <c:v>1.0244937938479619</c:v>
                </c:pt>
                <c:pt idx="16">
                  <c:v>0.59834352166328109</c:v>
                </c:pt>
                <c:pt idx="17">
                  <c:v>0.33896389381536246</c:v>
                </c:pt>
                <c:pt idx="18">
                  <c:v>0.18672749806424979</c:v>
                </c:pt>
                <c:pt idx="19">
                  <c:v>0.10027044648536068</c:v>
                </c:pt>
                <c:pt idx="20">
                  <c:v>5.26083626324493E-2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'Black-Scholes'!$G$19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'Black-Scholes'!$G$20:$G$40</c:f>
              <c:numCache>
                <c:formatCode>General</c:formatCode>
                <c:ptCount val="21"/>
                <c:pt idx="0">
                  <c:v>53.945260207282097</c:v>
                </c:pt>
                <c:pt idx="1">
                  <c:v>49.34002877015422</c:v>
                </c:pt>
                <c:pt idx="2">
                  <c:v>44.736193168503753</c:v>
                </c:pt>
                <c:pt idx="3">
                  <c:v>40.13845175423139</c:v>
                </c:pt>
                <c:pt idx="4">
                  <c:v>35.560442688722496</c:v>
                </c:pt>
                <c:pt idx="5">
                  <c:v>31.032389266168263</c:v>
                </c:pt>
                <c:pt idx="6">
                  <c:v>26.607424798948429</c:v>
                </c:pt>
                <c:pt idx="7">
                  <c:v>22.361716602029933</c:v>
                </c:pt>
                <c:pt idx="8">
                  <c:v>18.385773664904224</c:v>
                </c:pt>
                <c:pt idx="9">
                  <c:v>14.768916249512143</c:v>
                </c:pt>
                <c:pt idx="10">
                  <c:v>11.582454233521405</c:v>
                </c:pt>
                <c:pt idx="11">
                  <c:v>8.8674192398968721</c:v>
                </c:pt>
                <c:pt idx="12">
                  <c:v>6.6301222597669645</c:v>
                </c:pt>
                <c:pt idx="13">
                  <c:v>4.8453948840465699</c:v>
                </c:pt>
                <c:pt idx="14">
                  <c:v>3.4649598715028551</c:v>
                </c:pt>
                <c:pt idx="15">
                  <c:v>2.4276435369635814</c:v>
                </c:pt>
                <c:pt idx="16">
                  <c:v>1.6687382403625217</c:v>
                </c:pt>
                <c:pt idx="17">
                  <c:v>1.1269966693137867</c:v>
                </c:pt>
                <c:pt idx="18">
                  <c:v>0.74885680202003113</c:v>
                </c:pt>
                <c:pt idx="19">
                  <c:v>0.49024139916520848</c:v>
                </c:pt>
                <c:pt idx="20">
                  <c:v>0.31660925474539237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26840"/>
        <c:axId val="324927224"/>
      </c:lineChart>
      <c:catAx>
        <c:axId val="32492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27224"/>
        <c:crosses val="autoZero"/>
        <c:auto val="1"/>
        <c:lblAlgn val="ctr"/>
        <c:lblOffset val="100"/>
        <c:noMultiLvlLbl val="0"/>
      </c:catAx>
      <c:valAx>
        <c:axId val="32492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2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'Black-Scholes'!$H$19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'Black-Scholes'!$H$20:$H$40</c:f>
              <c:numCache>
                <c:formatCode>General</c:formatCode>
                <c:ptCount val="21"/>
                <c:pt idx="0">
                  <c:v>0.99999999999797373</c:v>
                </c:pt>
                <c:pt idx="1">
                  <c:v>0.99999999915384663</c:v>
                </c:pt>
                <c:pt idx="2">
                  <c:v>0.99999989692751245</c:v>
                </c:pt>
                <c:pt idx="3">
                  <c:v>0.99999526869513145</c:v>
                </c:pt>
                <c:pt idx="4">
                  <c:v>0.999900855723454</c:v>
                </c:pt>
                <c:pt idx="5">
                  <c:v>0.99890117289719427</c:v>
                </c:pt>
                <c:pt idx="6">
                  <c:v>0.99277003727158486</c:v>
                </c:pt>
                <c:pt idx="7">
                  <c:v>0.96901527371485274</c:v>
                </c:pt>
                <c:pt idx="8">
                  <c:v>0.9066674778277225</c:v>
                </c:pt>
                <c:pt idx="9">
                  <c:v>0.78931100120544728</c:v>
                </c:pt>
                <c:pt idx="10">
                  <c:v>0.62326012131904285</c:v>
                </c:pt>
                <c:pt idx="11">
                  <c:v>0.43958832724087621</c:v>
                </c:pt>
                <c:pt idx="12">
                  <c:v>0.27545573648582899</c:v>
                </c:pt>
                <c:pt idx="13">
                  <c:v>0.153622546415983</c:v>
                </c:pt>
                <c:pt idx="14">
                  <c:v>7.6707850220206833E-2</c:v>
                </c:pt>
                <c:pt idx="15">
                  <c:v>3.4568655196932072E-2</c:v>
                </c:pt>
                <c:pt idx="16">
                  <c:v>1.4183372794893422E-2</c:v>
                </c:pt>
                <c:pt idx="17">
                  <c:v>5.3447181072747152E-3</c:v>
                </c:pt>
                <c:pt idx="18">
                  <c:v>1.865264706418783E-3</c:v>
                </c:pt>
                <c:pt idx="19">
                  <c:v>6.0757164341324597E-4</c:v>
                </c:pt>
                <c:pt idx="20">
                  <c:v>1.8603157857366722E-4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'Black-Scholes'!$I$19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'Black-Scholes'!$I$20:$I$40</c:f>
              <c:numCache>
                <c:formatCode>General</c:formatCode>
                <c:ptCount val="21"/>
                <c:pt idx="0">
                  <c:v>0.99999985209040976</c:v>
                </c:pt>
                <c:pt idx="1">
                  <c:v>0.99999630797060013</c:v>
                </c:pt>
                <c:pt idx="2">
                  <c:v>0.99995081488153859</c:v>
                </c:pt>
                <c:pt idx="3">
                  <c:v>0.99960162056680213</c:v>
                </c:pt>
                <c:pt idx="4">
                  <c:v>0.9978369289158896</c:v>
                </c:pt>
                <c:pt idx="5">
                  <c:v>0.99151426708909784</c:v>
                </c:pt>
                <c:pt idx="6">
                  <c:v>0.97449476094172971</c:v>
                </c:pt>
                <c:pt idx="7">
                  <c:v>0.93845042555180658</c:v>
                </c:pt>
                <c:pt idx="8">
                  <c:v>0.87612076771477843</c:v>
                </c:pt>
                <c:pt idx="9">
                  <c:v>0.78541333445838069</c:v>
                </c:pt>
                <c:pt idx="10">
                  <c:v>0.67152928909201648</c:v>
                </c:pt>
                <c:pt idx="11">
                  <c:v>0.54561118762123428</c:v>
                </c:pt>
                <c:pt idx="12">
                  <c:v>0.42087915976463985</c:v>
                </c:pt>
                <c:pt idx="13">
                  <c:v>0.30857274289952735</c:v>
                </c:pt>
                <c:pt idx="14">
                  <c:v>0.21553137162652122</c:v>
                </c:pt>
                <c:pt idx="15">
                  <c:v>0.14386563526652577</c:v>
                </c:pt>
                <c:pt idx="16">
                  <c:v>9.2083587476748052E-2</c:v>
                </c:pt>
                <c:pt idx="17">
                  <c:v>5.6715864135296883E-2</c:v>
                </c:pt>
                <c:pt idx="18">
                  <c:v>3.3729410629354875E-2</c:v>
                </c:pt>
                <c:pt idx="19">
                  <c:v>1.94315403131959E-2</c:v>
                </c:pt>
                <c:pt idx="20">
                  <c:v>1.087728164097781E-2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'Black-Scholes'!$J$19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'Black-Scholes'!$J$20:$J$40</c:f>
              <c:numCache>
                <c:formatCode>General</c:formatCode>
                <c:ptCount val="21"/>
                <c:pt idx="0">
                  <c:v>0.9999936947091892</c:v>
                </c:pt>
                <c:pt idx="1">
                  <c:v>0.99993875971989055</c:v>
                </c:pt>
                <c:pt idx="2">
                  <c:v>0.99961201653787501</c:v>
                </c:pt>
                <c:pt idx="3">
                  <c:v>0.99824861942771748</c:v>
                </c:pt>
                <c:pt idx="4">
                  <c:v>0.99398165805242711</c:v>
                </c:pt>
                <c:pt idx="5">
                  <c:v>0.98343739201609637</c:v>
                </c:pt>
                <c:pt idx="6">
                  <c:v>0.9620199998133997</c:v>
                </c:pt>
                <c:pt idx="7">
                  <c:v>0.92510466179885897</c:v>
                </c:pt>
                <c:pt idx="8">
                  <c:v>0.86971292201024974</c:v>
                </c:pt>
                <c:pt idx="9">
                  <c:v>0.79583819715435589</c:v>
                </c:pt>
                <c:pt idx="10">
                  <c:v>0.70676484568909836</c:v>
                </c:pt>
                <c:pt idx="11">
                  <c:v>0.60829346478987156</c:v>
                </c:pt>
                <c:pt idx="12">
                  <c:v>0.50730422413760445</c:v>
                </c:pt>
                <c:pt idx="13">
                  <c:v>0.41027124781720281</c:v>
                </c:pt>
                <c:pt idx="14">
                  <c:v>0.32219517212117865</c:v>
                </c:pt>
                <c:pt idx="15">
                  <c:v>0.24613345477045323</c:v>
                </c:pt>
                <c:pt idx="16">
                  <c:v>0.18325893686850186</c:v>
                </c:pt>
                <c:pt idx="17">
                  <c:v>0.13325018268780464</c:v>
                </c:pt>
                <c:pt idx="18">
                  <c:v>9.4805580478882032E-2</c:v>
                </c:pt>
                <c:pt idx="19">
                  <c:v>6.6128175019685362E-2</c:v>
                </c:pt>
                <c:pt idx="20">
                  <c:v>4.5300590687671477E-2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873560"/>
        <c:axId val="324873944"/>
      </c:lineChart>
      <c:catAx>
        <c:axId val="32487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73944"/>
        <c:crosses val="autoZero"/>
        <c:auto val="1"/>
        <c:lblAlgn val="ctr"/>
        <c:lblOffset val="100"/>
        <c:noMultiLvlLbl val="0"/>
      </c:catAx>
      <c:valAx>
        <c:axId val="324873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7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'Black-Scholes'!$K$19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'Black-Scholes'!$K$20:$K$40</c:f>
              <c:numCache>
                <c:formatCode>General</c:formatCode>
                <c:ptCount val="21"/>
                <c:pt idx="0">
                  <c:v>1.3692847493972207E-12</c:v>
                </c:pt>
                <c:pt idx="1">
                  <c:v>4.9974530132015928E-10</c:v>
                </c:pt>
                <c:pt idx="2">
                  <c:v>5.2913082138361824E-8</c:v>
                </c:pt>
                <c:pt idx="3">
                  <c:v>2.0953683930718338E-6</c:v>
                </c:pt>
                <c:pt idx="4">
                  <c:v>3.7509232264887705E-5</c:v>
                </c:pt>
                <c:pt idx="5">
                  <c:v>3.5067945529645793E-4</c:v>
                </c:pt>
                <c:pt idx="6">
                  <c:v>1.9153390921697968E-3</c:v>
                </c:pt>
                <c:pt idx="7">
                  <c:v>6.6759421305251027E-3</c:v>
                </c:pt>
                <c:pt idx="8">
                  <c:v>1.5935920226396613E-2</c:v>
                </c:pt>
                <c:pt idx="9">
                  <c:v>2.7583386025393623E-2</c:v>
                </c:pt>
                <c:pt idx="10">
                  <c:v>3.6275151947488239E-2</c:v>
                </c:pt>
                <c:pt idx="11">
                  <c:v>3.7671132108679478E-2</c:v>
                </c:pt>
                <c:pt idx="12">
                  <c:v>3.1899956339162323E-2</c:v>
                </c:pt>
                <c:pt idx="13">
                  <c:v>2.2628437577600548E-2</c:v>
                </c:pt>
                <c:pt idx="14">
                  <c:v>1.3755932503804115E-2</c:v>
                </c:pt>
                <c:pt idx="15">
                  <c:v>7.3064387976447967E-3</c:v>
                </c:pt>
                <c:pt idx="16">
                  <c:v>3.4474284429524705E-3</c:v>
                </c:pt>
                <c:pt idx="17">
                  <c:v>1.4657001515255936E-3</c:v>
                </c:pt>
                <c:pt idx="18">
                  <c:v>5.6846288592867292E-4</c:v>
                </c:pt>
                <c:pt idx="19">
                  <c:v>2.0328629830316118E-4</c:v>
                </c:pt>
                <c:pt idx="20">
                  <c:v>6.7656568446650486E-5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'Black-Scholes'!$L$19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'Black-Scholes'!$L$20:$L$40</c:f>
              <c:numCache>
                <c:formatCode>General</c:formatCode>
                <c:ptCount val="21"/>
                <c:pt idx="0">
                  <c:v>5.3036426240239398E-8</c:v>
                </c:pt>
                <c:pt idx="1">
                  <c:v>1.1689360545427928E-6</c:v>
                </c:pt>
                <c:pt idx="2">
                  <c:v>1.3705054456011508E-5</c:v>
                </c:pt>
                <c:pt idx="3">
                  <c:v>9.7246188728185596E-5</c:v>
                </c:pt>
                <c:pt idx="4">
                  <c:v>4.5982068891240878E-4</c:v>
                </c:pt>
                <c:pt idx="5">
                  <c:v>1.5592631556323342E-3</c:v>
                </c:pt>
                <c:pt idx="6">
                  <c:v>4.0144881197870051E-3</c:v>
                </c:pt>
                <c:pt idx="7">
                  <c:v>8.2083720036389748E-3</c:v>
                </c:pt>
                <c:pt idx="8">
                  <c:v>1.3817348067151158E-2</c:v>
                </c:pt>
                <c:pt idx="9">
                  <c:v>1.9714308883397837E-2</c:v>
                </c:pt>
                <c:pt idx="10">
                  <c:v>2.4416138528288861E-2</c:v>
                </c:pt>
                <c:pt idx="11">
                  <c:v>2.6770756557666687E-2</c:v>
                </c:pt>
                <c:pt idx="12">
                  <c:v>2.6415353821696224E-2</c:v>
                </c:pt>
                <c:pt idx="13">
                  <c:v>2.378189212809163E-2</c:v>
                </c:pt>
                <c:pt idx="14">
                  <c:v>1.9764655427412021E-2</c:v>
                </c:pt>
                <c:pt idx="15">
                  <c:v>1.5314056853435537E-2</c:v>
                </c:pt>
                <c:pt idx="16">
                  <c:v>1.115668108404287E-2</c:v>
                </c:pt>
                <c:pt idx="17">
                  <c:v>7.6983132573977073E-3</c:v>
                </c:pt>
                <c:pt idx="18">
                  <c:v>5.0630879494794716E-3</c:v>
                </c:pt>
                <c:pt idx="19">
                  <c:v>3.1913792531404212E-3</c:v>
                </c:pt>
                <c:pt idx="20">
                  <c:v>1.9371543762694841E-3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'Black-Scholes'!$M$19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'Black-Scholes'!$M$20:$M$40</c:f>
              <c:numCache>
                <c:formatCode>General</c:formatCode>
                <c:ptCount val="21"/>
                <c:pt idx="0">
                  <c:v>1.5914107020028816E-6</c:v>
                </c:pt>
                <c:pt idx="1">
                  <c:v>1.3761083414784375E-5</c:v>
                </c:pt>
                <c:pt idx="2">
                  <c:v>7.7476119887306816E-5</c:v>
                </c:pt>
                <c:pt idx="3">
                  <c:v>3.0992588599364386E-4</c:v>
                </c:pt>
                <c:pt idx="4">
                  <c:v>9.4027122788167079E-4</c:v>
                </c:pt>
                <c:pt idx="5">
                  <c:v>2.27389449252952E-3</c:v>
                </c:pt>
                <c:pt idx="6">
                  <c:v>4.556235953817679E-3</c:v>
                </c:pt>
                <c:pt idx="7">
                  <c:v>7.7986551112496968E-3</c:v>
                </c:pt>
                <c:pt idx="8">
                  <c:v>1.1684812372074922E-2</c:v>
                </c:pt>
                <c:pt idx="9">
                  <c:v>1.563174319305221E-2</c:v>
                </c:pt>
                <c:pt idx="10">
                  <c:v>1.8976411468504775E-2</c:v>
                </c:pt>
                <c:pt idx="11">
                  <c:v>2.1186497397774371E-2</c:v>
                </c:pt>
                <c:pt idx="12">
                  <c:v>2.1998500318131661E-2</c:v>
                </c:pt>
                <c:pt idx="13">
                  <c:v>2.1443296238233996E-2</c:v>
                </c:pt>
                <c:pt idx="14">
                  <c:v>1.977896275845074E-2</c:v>
                </c:pt>
                <c:pt idx="15">
                  <c:v>1.7380660834570641E-2</c:v>
                </c:pt>
                <c:pt idx="16">
                  <c:v>1.4635114796040641E-2</c:v>
                </c:pt>
                <c:pt idx="17">
                  <c:v>1.1867527765623827E-2</c:v>
                </c:pt>
                <c:pt idx="18">
                  <c:v>9.3075301513786107E-3</c:v>
                </c:pt>
                <c:pt idx="19">
                  <c:v>7.0867924794787525E-3</c:v>
                </c:pt>
                <c:pt idx="20">
                  <c:v>5.2556953389601068E-3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836264"/>
        <c:axId val="325362704"/>
      </c:lineChart>
      <c:catAx>
        <c:axId val="32583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362704"/>
        <c:crosses val="autoZero"/>
        <c:auto val="1"/>
        <c:lblAlgn val="ctr"/>
        <c:lblOffset val="100"/>
        <c:noMultiLvlLbl val="0"/>
      </c:catAx>
      <c:valAx>
        <c:axId val="32536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83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'Black-Scholes'!$N$19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'Black-Scholes'!$N$20:$N$40</c:f>
              <c:numCache>
                <c:formatCode>General</c:formatCode>
                <c:ptCount val="21"/>
                <c:pt idx="0">
                  <c:v>7.5029301336832357E-10</c:v>
                </c:pt>
                <c:pt idx="1">
                  <c:v>2.7383304181926147E-7</c:v>
                </c:pt>
                <c:pt idx="2">
                  <c:v>2.8993469664856223E-5</c:v>
                </c:pt>
                <c:pt idx="3">
                  <c:v>1.1481470646968772E-3</c:v>
                </c:pt>
                <c:pt idx="4">
                  <c:v>2.0553003980760393E-2</c:v>
                </c:pt>
                <c:pt idx="5">
                  <c:v>0.19215312618983976</c:v>
                </c:pt>
                <c:pt idx="6">
                  <c:v>1.0495008724218056</c:v>
                </c:pt>
                <c:pt idx="7">
                  <c:v>3.6580504824795126</c:v>
                </c:pt>
                <c:pt idx="8">
                  <c:v>8.732011082957019</c:v>
                </c:pt>
                <c:pt idx="9">
                  <c:v>15.114184123503337</c:v>
                </c:pt>
                <c:pt idx="10">
                  <c:v>19.876795587664784</c:v>
                </c:pt>
                <c:pt idx="11">
                  <c:v>20.641716223933969</c:v>
                </c:pt>
                <c:pt idx="12">
                  <c:v>17.479428131047868</c:v>
                </c:pt>
                <c:pt idx="13">
                  <c:v>12.399143878137286</c:v>
                </c:pt>
                <c:pt idx="14">
                  <c:v>7.5374972623584009</c:v>
                </c:pt>
                <c:pt idx="15">
                  <c:v>4.003528108298533</c:v>
                </c:pt>
                <c:pt idx="16">
                  <c:v>1.8890018865493059</c:v>
                </c:pt>
                <c:pt idx="17">
                  <c:v>0.80312337069895257</c:v>
                </c:pt>
                <c:pt idx="18">
                  <c:v>0.31148651283762852</c:v>
                </c:pt>
                <c:pt idx="19">
                  <c:v>0.1113897524948828</c:v>
                </c:pt>
                <c:pt idx="20">
                  <c:v>3.7072092299534426E-2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'Black-Scholes'!$O$19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'Black-Scholes'!$O$20:$O$40</c:f>
              <c:numCache>
                <c:formatCode>General</c:formatCode>
                <c:ptCount val="21"/>
                <c:pt idx="0">
                  <c:v>5.8122110948207656E-5</c:v>
                </c:pt>
                <c:pt idx="1">
                  <c:v>1.2810258131975816E-3</c:v>
                </c:pt>
                <c:pt idx="2">
                  <c:v>1.5019237760012521E-2</c:v>
                </c:pt>
                <c:pt idx="3">
                  <c:v>0.10657116572951816</c:v>
                </c:pt>
                <c:pt idx="4">
                  <c:v>0.50391308373962407</c:v>
                </c:pt>
                <c:pt idx="5">
                  <c:v>1.708781540418991</c:v>
                </c:pt>
                <c:pt idx="6">
                  <c:v>4.3994390353830335</c:v>
                </c:pt>
                <c:pt idx="7">
                  <c:v>8.9954761683714839</c:v>
                </c:pt>
                <c:pt idx="8">
                  <c:v>15.142299251672481</c:v>
                </c:pt>
                <c:pt idx="9">
                  <c:v>21.604722063997595</c:v>
                </c:pt>
                <c:pt idx="10">
                  <c:v>26.757412085795977</c:v>
                </c:pt>
                <c:pt idx="11">
                  <c:v>29.337815405662116</c:v>
                </c:pt>
                <c:pt idx="12">
                  <c:v>28.948332955283526</c:v>
                </c:pt>
                <c:pt idx="13">
                  <c:v>26.062347537634665</c:v>
                </c:pt>
                <c:pt idx="14">
                  <c:v>21.659896358807689</c:v>
                </c:pt>
                <c:pt idx="15">
                  <c:v>16.782528058559492</c:v>
                </c:pt>
                <c:pt idx="16">
                  <c:v>12.226499818129163</c:v>
                </c:pt>
                <c:pt idx="17">
                  <c:v>8.4365076793399307</c:v>
                </c:pt>
                <c:pt idx="18">
                  <c:v>5.54858953367612</c:v>
                </c:pt>
                <c:pt idx="19">
                  <c:v>3.4974019212497756</c:v>
                </c:pt>
                <c:pt idx="20">
                  <c:v>2.122908905500803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'Black-Scholes'!$P$19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'Black-Scholes'!$P$20:$P$40</c:f>
              <c:numCache>
                <c:formatCode>General</c:formatCode>
                <c:ptCount val="21"/>
                <c:pt idx="0">
                  <c:v>2.6160175923335086E-3</c:v>
                </c:pt>
                <c:pt idx="1">
                  <c:v>2.2620959038001667E-2</c:v>
                </c:pt>
                <c:pt idx="2">
                  <c:v>0.12735800529420291</c:v>
                </c:pt>
                <c:pt idx="3">
                  <c:v>0.50946720985256455</c:v>
                </c:pt>
                <c:pt idx="4">
                  <c:v>1.5456513335041122</c:v>
                </c:pt>
                <c:pt idx="5">
                  <c:v>3.737908754843049</c:v>
                </c:pt>
                <c:pt idx="6">
                  <c:v>7.4897029377824875</c:v>
                </c:pt>
                <c:pt idx="7">
                  <c:v>12.819707032191257</c:v>
                </c:pt>
                <c:pt idx="8">
                  <c:v>19.207910748616325</c:v>
                </c:pt>
                <c:pt idx="9">
                  <c:v>25.696016207757051</c:v>
                </c:pt>
                <c:pt idx="10">
                  <c:v>31.194101044117424</c:v>
                </c:pt>
                <c:pt idx="11">
                  <c:v>34.82711901004005</c:v>
                </c:pt>
                <c:pt idx="12">
                  <c:v>36.161918331175329</c:v>
                </c:pt>
                <c:pt idx="13">
                  <c:v>35.249254090247682</c:v>
                </c:pt>
                <c:pt idx="14">
                  <c:v>32.513363438549163</c:v>
                </c:pt>
                <c:pt idx="15">
                  <c:v>28.570949317102404</c:v>
                </c:pt>
                <c:pt idx="16">
                  <c:v>24.057722952395597</c:v>
                </c:pt>
                <c:pt idx="17">
                  <c:v>19.508264820203543</c:v>
                </c:pt>
                <c:pt idx="18">
                  <c:v>15.300049563910092</c:v>
                </c:pt>
                <c:pt idx="19">
                  <c:v>11.649521884074661</c:v>
                </c:pt>
                <c:pt idx="20">
                  <c:v>8.6394991873316744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022656"/>
        <c:axId val="315074304"/>
      </c:lineChart>
      <c:catAx>
        <c:axId val="32502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74304"/>
        <c:crosses val="autoZero"/>
        <c:auto val="1"/>
        <c:lblAlgn val="ctr"/>
        <c:lblOffset val="100"/>
        <c:noMultiLvlLbl val="0"/>
      </c:catAx>
      <c:valAx>
        <c:axId val="31507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2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'Black-Scholes'!$Q$19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'Black-Scholes'!$Q$20:$Q$40</c:f>
              <c:numCache>
                <c:formatCode>General</c:formatCode>
                <c:ptCount val="21"/>
                <c:pt idx="0">
                  <c:v>-4.8648732030860042</c:v>
                </c:pt>
                <c:pt idx="1">
                  <c:v>-5.3513606144613544</c:v>
                </c:pt>
                <c:pt idx="2">
                  <c:v>-5.8378573754653633</c:v>
                </c:pt>
                <c:pt idx="3">
                  <c:v>-6.3247058766389026</c:v>
                </c:pt>
                <c:pt idx="4">
                  <c:v>-6.8173074378571874</c:v>
                </c:pt>
                <c:pt idx="5">
                  <c:v>-7.3561277008742527</c:v>
                </c:pt>
                <c:pt idx="6">
                  <c:v>-8.0920043424348389</c:v>
                </c:pt>
                <c:pt idx="7">
                  <c:v>-9.2825260575860149</c:v>
                </c:pt>
                <c:pt idx="8">
                  <c:v>-10.962970613043334</c:v>
                </c:pt>
                <c:pt idx="9">
                  <c:v>-12.521521521819457</c:v>
                </c:pt>
                <c:pt idx="10">
                  <c:v>-12.926695396556548</c:v>
                </c:pt>
                <c:pt idx="11">
                  <c:v>-11.607500385230777</c:v>
                </c:pt>
                <c:pt idx="12">
                  <c:v>-8.9660539664177019</c:v>
                </c:pt>
                <c:pt idx="13">
                  <c:v>-5.9819104721001093</c:v>
                </c:pt>
                <c:pt idx="14">
                  <c:v>-3.4836005890613491</c:v>
                </c:pt>
                <c:pt idx="15">
                  <c:v>-1.7931926118453692</c:v>
                </c:pt>
                <c:pt idx="16">
                  <c:v>-0.82625999257457827</c:v>
                </c:pt>
                <c:pt idx="17">
                  <c:v>-0.34486080793610641</c:v>
                </c:pt>
                <c:pt idx="18">
                  <c:v>-0.13179408602962889</c:v>
                </c:pt>
                <c:pt idx="19">
                  <c:v>-4.656733381291956E-2</c:v>
                </c:pt>
                <c:pt idx="20">
                  <c:v>-1.5344485788465943E-2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'Black-Scholes'!$R$19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'Black-Scholes'!$R$20:$R$40</c:f>
              <c:numCache>
                <c:formatCode>General</c:formatCode>
                <c:ptCount val="21"/>
                <c:pt idx="0">
                  <c:v>-4.7334073430862365</c:v>
                </c:pt>
                <c:pt idx="1">
                  <c:v>-5.2069337941104967</c:v>
                </c:pt>
                <c:pt idx="2">
                  <c:v>-5.6823097066682706</c:v>
                </c:pt>
                <c:pt idx="3">
                  <c:v>-6.1687240577993814</c:v>
                </c:pt>
                <c:pt idx="4">
                  <c:v>-6.6961102860301942</c:v>
                </c:pt>
                <c:pt idx="5">
                  <c:v>-7.3227096389310802</c:v>
                </c:pt>
                <c:pt idx="6">
                  <c:v>-8.1062128451092352</c:v>
                </c:pt>
                <c:pt idx="7">
                  <c:v>-9.0311768127854712</c:v>
                </c:pt>
                <c:pt idx="8">
                  <c:v>-9.9477702153142307</c:v>
                </c:pt>
                <c:pt idx="9">
                  <c:v>-10.595729182111775</c:v>
                </c:pt>
                <c:pt idx="10">
                  <c:v>-10.718755889502903</c:v>
                </c:pt>
                <c:pt idx="11">
                  <c:v>-10.191532961003144</c:v>
                </c:pt>
                <c:pt idx="12">
                  <c:v>-9.07395023835522</c:v>
                </c:pt>
                <c:pt idx="13">
                  <c:v>-7.5707262655465817</c:v>
                </c:pt>
                <c:pt idx="14">
                  <c:v>-5.9385237027073146</c:v>
                </c:pt>
                <c:pt idx="15">
                  <c:v>-4.399018343967569</c:v>
                </c:pt>
                <c:pt idx="16">
                  <c:v>-3.0923377394097264</c:v>
                </c:pt>
                <c:pt idx="17">
                  <c:v>-2.072924903450974</c:v>
                </c:pt>
                <c:pt idx="18">
                  <c:v>-1.3312389463830181</c:v>
                </c:pt>
                <c:pt idx="19">
                  <c:v>-0.82256420911150718</c:v>
                </c:pt>
                <c:pt idx="20">
                  <c:v>-0.49094285540042998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'Black-Scholes'!$S$19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'Black-Scholes'!$S$20:$S$40</c:f>
              <c:numCache>
                <c:formatCode>General</c:formatCode>
                <c:ptCount val="21"/>
                <c:pt idx="0">
                  <c:v>-4.6057292085040906</c:v>
                </c:pt>
                <c:pt idx="1">
                  <c:v>-5.0681369368664502</c:v>
                </c:pt>
                <c:pt idx="2">
                  <c:v>-5.5379960725058464</c:v>
                </c:pt>
                <c:pt idx="3">
                  <c:v>-6.0306261960527721</c:v>
                </c:pt>
                <c:pt idx="4">
                  <c:v>-6.5718265572283663</c:v>
                </c:pt>
                <c:pt idx="5">
                  <c:v>-7.1859138920500527</c:v>
                </c:pt>
                <c:pt idx="6">
                  <c:v>-7.8707047090027009</c:v>
                </c:pt>
                <c:pt idx="7">
                  <c:v>-8.5746059800355479</c:v>
                </c:pt>
                <c:pt idx="8">
                  <c:v>-9.1955143280270697</c:v>
                </c:pt>
                <c:pt idx="9">
                  <c:v>-9.6078389852027968</c:v>
                </c:pt>
                <c:pt idx="10">
                  <c:v>-9.7046853272398081</c:v>
                </c:pt>
                <c:pt idx="11">
                  <c:v>-9.4334922034639099</c:v>
                </c:pt>
                <c:pt idx="12">
                  <c:v>-8.8097300790256874</c:v>
                </c:pt>
                <c:pt idx="13">
                  <c:v>-7.906832237414176</c:v>
                </c:pt>
                <c:pt idx="14">
                  <c:v>-6.8312482857516539</c:v>
                </c:pt>
                <c:pt idx="15">
                  <c:v>-5.6947023609223066</c:v>
                </c:pt>
                <c:pt idx="16">
                  <c:v>-4.5927385038568973</c:v>
                </c:pt>
                <c:pt idx="17">
                  <c:v>-3.5933077130714355</c:v>
                </c:pt>
                <c:pt idx="18">
                  <c:v>-2.7346761548625413</c:v>
                </c:pt>
                <c:pt idx="19">
                  <c:v>-2.0296161061760842</c:v>
                </c:pt>
                <c:pt idx="20">
                  <c:v>-1.4724840491941977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468056"/>
        <c:axId val="325468448"/>
      </c:lineChart>
      <c:catAx>
        <c:axId val="325468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68448"/>
        <c:crosses val="autoZero"/>
        <c:auto val="1"/>
        <c:lblAlgn val="ctr"/>
        <c:lblOffset val="100"/>
        <c:noMultiLvlLbl val="0"/>
      </c:catAx>
      <c:valAx>
        <c:axId val="32546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68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'Black-Scholes'!$T$19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'Black-Scholes'!$T$20:$T$40</c:f>
              <c:numCache>
                <c:formatCode>General</c:formatCode>
                <c:ptCount val="21"/>
                <c:pt idx="0">
                  <c:v>13.328419733731884</c:v>
                </c:pt>
                <c:pt idx="1">
                  <c:v>14.661261683595301</c:v>
                </c:pt>
                <c:pt idx="2">
                  <c:v>15.994100802325823</c:v>
                </c:pt>
                <c:pt idx="3">
                  <c:v>17.326813158795286</c:v>
                </c:pt>
                <c:pt idx="4">
                  <c:v>18.657001620285488</c:v>
                </c:pt>
                <c:pt idx="5">
                  <c:v>19.961621396753291</c:v>
                </c:pt>
                <c:pt idx="6">
                  <c:v>21.120374038358548</c:v>
                </c:pt>
                <c:pt idx="7">
                  <c:v>21.77352775748215</c:v>
                </c:pt>
                <c:pt idx="8">
                  <c:v>21.303524843189059</c:v>
                </c:pt>
                <c:pt idx="9">
                  <c:v>19.19135429244033</c:v>
                </c:pt>
                <c:pt idx="10">
                  <c:v>15.538808238517511</c:v>
                </c:pt>
                <c:pt idx="11">
                  <c:v>11.159654694506491</c:v>
                </c:pt>
                <c:pt idx="12">
                  <c:v>7.08510328379516</c:v>
                </c:pt>
                <c:pt idx="13">
                  <c:v>3.9896519358355955</c:v>
                </c:pt>
                <c:pt idx="14">
                  <c:v>2.0066139405493848</c:v>
                </c:pt>
                <c:pt idx="15">
                  <c:v>0.90932836251071014</c:v>
                </c:pt>
                <c:pt idx="16">
                  <c:v>0.37472412050433923</c:v>
                </c:pt>
                <c:pt idx="17">
                  <c:v>0.14170076063284304</c:v>
                </c:pt>
                <c:pt idx="18">
                  <c:v>4.9593174914778673E-2</c:v>
                </c:pt>
                <c:pt idx="19">
                  <c:v>1.6191983978869319E-2</c:v>
                </c:pt>
                <c:pt idx="20">
                  <c:v>4.9675947921529575E-3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'Black-Scholes'!$U$19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'Black-Scholes'!$U$20:$U$40</c:f>
              <c:numCache>
                <c:formatCode>General</c:formatCode>
                <c:ptCount val="21"/>
                <c:pt idx="0">
                  <c:v>25.93642047014238</c:v>
                </c:pt>
                <c:pt idx="1">
                  <c:v>28.529863051504574</c:v>
                </c:pt>
                <c:pt idx="2">
                  <c:v>31.120924360422279</c:v>
                </c:pt>
                <c:pt idx="3">
                  <c:v>33.694656548239685</c:v>
                </c:pt>
                <c:pt idx="4">
                  <c:v>36.187102182179245</c:v>
                </c:pt>
                <c:pt idx="5">
                  <c:v>38.415654837285558</c:v>
                </c:pt>
                <c:pt idx="6">
                  <c:v>40.018165595352521</c:v>
                </c:pt>
                <c:pt idx="7">
                  <c:v>40.490424175658511</c:v>
                </c:pt>
                <c:pt idx="8">
                  <c:v>39.366030695254778</c:v>
                </c:pt>
                <c:pt idx="9">
                  <c:v>36.454067974971025</c:v>
                </c:pt>
                <c:pt idx="10">
                  <c:v>31.975496897781575</c:v>
                </c:pt>
                <c:pt idx="11">
                  <c:v>26.506200819012683</c:v>
                </c:pt>
                <c:pt idx="12">
                  <c:v>20.77194232337521</c:v>
                </c:pt>
                <c:pt idx="13">
                  <c:v>15.421084054401414</c:v>
                </c:pt>
                <c:pt idx="14">
                  <c:v>10.879959546437862</c:v>
                </c:pt>
                <c:pt idx="15">
                  <c:v>7.3216820453724081</c:v>
                </c:pt>
                <c:pt idx="16">
                  <c:v>4.7178165621980908</c:v>
                </c:pt>
                <c:pt idx="17">
                  <c:v>2.921984942309229</c:v>
                </c:pt>
                <c:pt idx="18">
                  <c:v>1.7458704465047845</c:v>
                </c:pt>
                <c:pt idx="19">
                  <c:v>1.0097992245667089</c:v>
                </c:pt>
                <c:pt idx="20">
                  <c:v>0.56718893230976986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'Black-Scholes'!$V$19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'Black-Scholes'!$V$20:$V$40</c:f>
              <c:numCache>
                <c:formatCode>General</c:formatCode>
                <c:ptCount val="21"/>
                <c:pt idx="0">
                  <c:v>37.852692545454907</c:v>
                </c:pt>
                <c:pt idx="1">
                  <c:v>41.633299070001236</c:v>
                </c:pt>
                <c:pt idx="2">
                  <c:v>45.390417933109916</c:v>
                </c:pt>
                <c:pt idx="3">
                  <c:v>49.057323442635898</c:v>
                </c:pt>
                <c:pt idx="4">
                  <c:v>52.46936146563305</c:v>
                </c:pt>
                <c:pt idx="5">
                  <c:v>55.32439720721208</c:v>
                </c:pt>
                <c:pt idx="6">
                  <c:v>57.201020697856052</c:v>
                </c:pt>
                <c:pt idx="7">
                  <c:v>57.656506502347369</c:v>
                </c:pt>
                <c:pt idx="8">
                  <c:v>56.371659070784197</c:v>
                </c:pt>
                <c:pt idx="9">
                  <c:v>53.272523396649376</c:v>
                </c:pt>
                <c:pt idx="10">
                  <c:v>48.570435892100051</c:v>
                </c:pt>
                <c:pt idx="11">
                  <c:v>42.70843334719747</c:v>
                </c:pt>
                <c:pt idx="12">
                  <c:v>36.246822044378213</c:v>
                </c:pt>
                <c:pt idx="13">
                  <c:v>29.73840813507433</c:v>
                </c:pt>
                <c:pt idx="14">
                  <c:v>23.633882745710945</c:v>
                </c:pt>
                <c:pt idx="15">
                  <c:v>18.234823512395941</c:v>
                </c:pt>
                <c:pt idx="16">
                  <c:v>13.690812695743288</c:v>
                </c:pt>
                <c:pt idx="17">
                  <c:v>10.025771177643826</c:v>
                </c:pt>
                <c:pt idx="18">
                  <c:v>7.176740750028638</c:v>
                </c:pt>
                <c:pt idx="19">
                  <c:v>5.0322543310712309</c:v>
                </c:pt>
                <c:pt idx="20">
                  <c:v>3.4631094361822674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469232"/>
        <c:axId val="325469624"/>
      </c:lineChart>
      <c:catAx>
        <c:axId val="32546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69624"/>
        <c:crosses val="autoZero"/>
        <c:auto val="1"/>
        <c:lblAlgn val="ctr"/>
        <c:lblOffset val="100"/>
        <c:noMultiLvlLbl val="0"/>
      </c:catAx>
      <c:valAx>
        <c:axId val="325469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6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Market Vol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SABR!$B$3:$H$3</c:f>
              <c:numCache>
                <c:formatCode>General</c:formatCode>
                <c:ptCount val="7"/>
                <c:pt idx="0">
                  <c:v>0.02</c:v>
                </c:pt>
                <c:pt idx="1">
                  <c:v>2.5000000000000001E-2</c:v>
                </c:pt>
                <c:pt idx="2">
                  <c:v>0.03</c:v>
                </c:pt>
                <c:pt idx="3">
                  <c:v>3.5000000000000003E-2</c:v>
                </c:pt>
                <c:pt idx="4">
                  <c:v>0.04</c:v>
                </c:pt>
                <c:pt idx="5">
                  <c:v>4.4999999999999998E-2</c:v>
                </c:pt>
                <c:pt idx="6">
                  <c:v>0.05</c:v>
                </c:pt>
              </c:numCache>
            </c:numRef>
          </c:cat>
          <c:val>
            <c:numRef>
              <c:f>SABR!$B$4:$H$4</c:f>
              <c:numCache>
                <c:formatCode>General</c:formatCode>
                <c:ptCount val="7"/>
                <c:pt idx="0">
                  <c:v>0.45600000000000002</c:v>
                </c:pt>
                <c:pt idx="1">
                  <c:v>0.41600000000000004</c:v>
                </c:pt>
                <c:pt idx="2">
                  <c:v>0.379</c:v>
                </c:pt>
                <c:pt idx="3">
                  <c:v>0.36599999999999999</c:v>
                </c:pt>
                <c:pt idx="4">
                  <c:v>0.37799999999999995</c:v>
                </c:pt>
                <c:pt idx="5">
                  <c:v>0.39200000000000002</c:v>
                </c:pt>
                <c:pt idx="6">
                  <c:v>0.4</c:v>
                </c:pt>
              </c:numCache>
            </c:numRef>
          </c:val>
          <c:smooth val="0"/>
        </c:ser>
        <c:ser>
          <c:idx val="1"/>
          <c:order val="1"/>
          <c:tx>
            <c:v>Model Vol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SABR!$B$5:$H$5</c:f>
              <c:numCache>
                <c:formatCode>General</c:formatCode>
                <c:ptCount val="7"/>
                <c:pt idx="0">
                  <c:v>0.46067172934403411</c:v>
                </c:pt>
                <c:pt idx="1">
                  <c:v>0.40859674328283779</c:v>
                </c:pt>
                <c:pt idx="2">
                  <c:v>0.37990144380903468</c:v>
                </c:pt>
                <c:pt idx="3">
                  <c:v>0.37133820546658619</c:v>
                </c:pt>
                <c:pt idx="4">
                  <c:v>0.37636137253848395</c:v>
                </c:pt>
                <c:pt idx="5">
                  <c:v>0.38811436571231578</c:v>
                </c:pt>
                <c:pt idx="6">
                  <c:v>0.40231575985477047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726032"/>
        <c:axId val="325726424"/>
      </c:lineChart>
      <c:catAx>
        <c:axId val="3257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26424"/>
        <c:crosses val="autoZero"/>
        <c:auto val="1"/>
        <c:lblAlgn val="ctr"/>
        <c:lblOffset val="100"/>
        <c:noMultiLvlLbl val="0"/>
      </c:catAx>
      <c:valAx>
        <c:axId val="32572642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2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SABR!$R$4</c:f>
              <c:strCache>
                <c:ptCount val="1"/>
                <c:pt idx="0">
                  <c:v>0.01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SABR!$Y$4:$Y$11</c:f>
              <c:numCache>
                <c:formatCode>General</c:formatCode>
                <c:ptCount val="8"/>
                <c:pt idx="0">
                  <c:v>0.57600000000000007</c:v>
                </c:pt>
                <c:pt idx="1">
                  <c:v>0.53700000000000003</c:v>
                </c:pt>
                <c:pt idx="2">
                  <c:v>0.49399999999999999</c:v>
                </c:pt>
                <c:pt idx="3">
                  <c:v>0.45600000000000002</c:v>
                </c:pt>
                <c:pt idx="4">
                  <c:v>0.441</c:v>
                </c:pt>
                <c:pt idx="5">
                  <c:v>0.41100000000000003</c:v>
                </c:pt>
                <c:pt idx="6">
                  <c:v>0.35200000000000004</c:v>
                </c:pt>
                <c:pt idx="7">
                  <c:v>0.32</c:v>
                </c:pt>
              </c:numCache>
            </c:numRef>
          </c:val>
        </c:ser>
        <c:ser>
          <c:idx val="1"/>
          <c:order val="1"/>
          <c:tx>
            <c:strRef>
              <c:f>SABR!$S$5</c:f>
              <c:strCache>
                <c:ptCount val="1"/>
                <c:pt idx="0">
                  <c:v>0.0175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SABR!$Z$4:$Z$11</c:f>
              <c:numCache>
                <c:formatCode>General</c:formatCode>
                <c:ptCount val="8"/>
                <c:pt idx="0">
                  <c:v>0.46600000000000003</c:v>
                </c:pt>
                <c:pt idx="1">
                  <c:v>0.46899999999999997</c:v>
                </c:pt>
                <c:pt idx="2">
                  <c:v>0.44799999999999995</c:v>
                </c:pt>
                <c:pt idx="3">
                  <c:v>0.41600000000000004</c:v>
                </c:pt>
                <c:pt idx="4">
                  <c:v>0.39799999999999996</c:v>
                </c:pt>
                <c:pt idx="5">
                  <c:v>0.374</c:v>
                </c:pt>
                <c:pt idx="6">
                  <c:v>0.33399999999999996</c:v>
                </c:pt>
                <c:pt idx="7">
                  <c:v>0.31</c:v>
                </c:pt>
              </c:numCache>
            </c:numRef>
          </c:val>
        </c:ser>
        <c:ser>
          <c:idx val="2"/>
          <c:order val="2"/>
          <c:tx>
            <c:strRef>
              <c:f>SABR!$T$6</c:f>
              <c:strCache>
                <c:ptCount val="1"/>
                <c:pt idx="0">
                  <c:v>0.0268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SABR!$AA$4:$AA$11</c:f>
              <c:numCache>
                <c:formatCode>General</c:formatCode>
                <c:ptCount val="8"/>
                <c:pt idx="0">
                  <c:v>0.35899999999999999</c:v>
                </c:pt>
                <c:pt idx="1">
                  <c:v>0.39299999999999996</c:v>
                </c:pt>
                <c:pt idx="2">
                  <c:v>0.39600000000000002</c:v>
                </c:pt>
                <c:pt idx="3">
                  <c:v>0.379</c:v>
                </c:pt>
                <c:pt idx="4">
                  <c:v>0.37200000000000005</c:v>
                </c:pt>
                <c:pt idx="5">
                  <c:v>0.34700000000000003</c:v>
                </c:pt>
                <c:pt idx="6">
                  <c:v>0.30499999999999999</c:v>
                </c:pt>
                <c:pt idx="7">
                  <c:v>0.28899999999999998</c:v>
                </c:pt>
              </c:numCache>
            </c:numRef>
          </c:val>
        </c:ser>
        <c:ser>
          <c:idx val="3"/>
          <c:order val="3"/>
          <c:tx>
            <c:strRef>
              <c:f>SABR!$U$7</c:f>
              <c:strCache>
                <c:ptCount val="1"/>
                <c:pt idx="0">
                  <c:v>0.035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SABR!$AB$4:$AB$11</c:f>
              <c:numCache>
                <c:formatCode>General</c:formatCode>
                <c:ptCount val="8"/>
                <c:pt idx="0">
                  <c:v>0.34100000000000003</c:v>
                </c:pt>
                <c:pt idx="1">
                  <c:v>0.36499999999999999</c:v>
                </c:pt>
                <c:pt idx="2">
                  <c:v>0.37799999999999995</c:v>
                </c:pt>
                <c:pt idx="3">
                  <c:v>0.36599999999999999</c:v>
                </c:pt>
                <c:pt idx="4">
                  <c:v>0.35</c:v>
                </c:pt>
                <c:pt idx="5">
                  <c:v>0.31900000000000001</c:v>
                </c:pt>
                <c:pt idx="6">
                  <c:v>0.28100000000000003</c:v>
                </c:pt>
                <c:pt idx="7">
                  <c:v>0.26600000000000001</c:v>
                </c:pt>
              </c:numCache>
            </c:numRef>
          </c:val>
        </c:ser>
        <c:ser>
          <c:idx val="4"/>
          <c:order val="4"/>
          <c:tx>
            <c:strRef>
              <c:f>SABR!$V$8</c:f>
              <c:strCache>
                <c:ptCount val="1"/>
                <c:pt idx="0">
                  <c:v>0.0426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SABR!$AC$4:$AC$11</c:f>
              <c:numCache>
                <c:formatCode>General</c:formatCode>
                <c:ptCount val="8"/>
                <c:pt idx="0">
                  <c:v>0.41</c:v>
                </c:pt>
                <c:pt idx="1">
                  <c:v>0.41299999999999998</c:v>
                </c:pt>
                <c:pt idx="2">
                  <c:v>0.39500000000000002</c:v>
                </c:pt>
                <c:pt idx="3">
                  <c:v>0.37799999999999995</c:v>
                </c:pt>
                <c:pt idx="4">
                  <c:v>0.36</c:v>
                </c:pt>
                <c:pt idx="5">
                  <c:v>0.32600000000000001</c:v>
                </c:pt>
                <c:pt idx="6">
                  <c:v>0.28999999999999998</c:v>
                </c:pt>
                <c:pt idx="7">
                  <c:v>0.26</c:v>
                </c:pt>
              </c:numCache>
            </c:numRef>
          </c:val>
        </c:ser>
        <c:ser>
          <c:idx val="5"/>
          <c:order val="5"/>
          <c:tx>
            <c:strRef>
              <c:f>SABR!$W$9</c:f>
              <c:strCache>
                <c:ptCount val="1"/>
                <c:pt idx="0">
                  <c:v>0.0491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SABR!$AD$4:$AD$11</c:f>
              <c:numCache>
                <c:formatCode>General</c:formatCode>
                <c:ptCount val="8"/>
                <c:pt idx="0">
                  <c:v>0.45799999999999996</c:v>
                </c:pt>
                <c:pt idx="1">
                  <c:v>0.434</c:v>
                </c:pt>
                <c:pt idx="2">
                  <c:v>0.41899999999999998</c:v>
                </c:pt>
                <c:pt idx="3">
                  <c:v>0.39200000000000002</c:v>
                </c:pt>
                <c:pt idx="4">
                  <c:v>0.36899999999999999</c:v>
                </c:pt>
                <c:pt idx="5">
                  <c:v>0.33200000000000002</c:v>
                </c:pt>
                <c:pt idx="6">
                  <c:v>0.29600000000000004</c:v>
                </c:pt>
                <c:pt idx="7">
                  <c:v>0.26300000000000001</c:v>
                </c:pt>
              </c:numCache>
            </c:numRef>
          </c:val>
        </c:ser>
        <c:ser>
          <c:idx val="6"/>
          <c:order val="6"/>
          <c:tx>
            <c:strRef>
              <c:f>SABR!$X$10</c:f>
              <c:strCache>
                <c:ptCount val="1"/>
                <c:pt idx="0">
                  <c:v>0.0558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SABR!$AE$4:$AE$11</c:f>
              <c:numCache>
                <c:formatCode>General</c:formatCode>
                <c:ptCount val="8"/>
                <c:pt idx="0">
                  <c:v>0.503</c:v>
                </c:pt>
                <c:pt idx="1">
                  <c:v>0.46899999999999997</c:v>
                </c:pt>
                <c:pt idx="2">
                  <c:v>0.44</c:v>
                </c:pt>
                <c:pt idx="3">
                  <c:v>0.4</c:v>
                </c:pt>
                <c:pt idx="4">
                  <c:v>0.375</c:v>
                </c:pt>
                <c:pt idx="5">
                  <c:v>0.33799999999999997</c:v>
                </c:pt>
                <c:pt idx="6">
                  <c:v>0.30199999999999999</c:v>
                </c:pt>
                <c:pt idx="7">
                  <c:v>0.27300000000000002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5727208"/>
        <c:axId val="325727600"/>
        <c:axId val="325603136"/>
      </c:surface3DChart>
      <c:catAx>
        <c:axId val="325727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27600"/>
        <c:crosses val="autoZero"/>
        <c:auto val="1"/>
        <c:lblAlgn val="ctr"/>
        <c:lblOffset val="100"/>
        <c:noMultiLvlLbl val="0"/>
      </c:catAx>
      <c:valAx>
        <c:axId val="32572760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27208"/>
        <c:crosses val="autoZero"/>
        <c:crossBetween val="midCat"/>
      </c:valAx>
      <c:serAx>
        <c:axId val="3256031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2760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Calibrated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SABR!$R$4</c:f>
              <c:strCache>
                <c:ptCount val="1"/>
                <c:pt idx="0">
                  <c:v>0.01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SABR!$Y$14:$Y$21</c:f>
              <c:numCache>
                <c:formatCode>0.0000</c:formatCode>
                <c:ptCount val="8"/>
                <c:pt idx="0">
                  <c:v>0.63138682042357941</c:v>
                </c:pt>
                <c:pt idx="1">
                  <c:v>0.56425865893000005</c:v>
                </c:pt>
                <c:pt idx="2">
                  <c:v>0.50758691642804565</c:v>
                </c:pt>
                <c:pt idx="3">
                  <c:v>0.46067172934403411</c:v>
                </c:pt>
                <c:pt idx="4">
                  <c:v>0.4428447354894367</c:v>
                </c:pt>
                <c:pt idx="5">
                  <c:v>0.41490764137412295</c:v>
                </c:pt>
                <c:pt idx="6">
                  <c:v>0.35971624360184862</c:v>
                </c:pt>
                <c:pt idx="7">
                  <c:v>0.32902147000523951</c:v>
                </c:pt>
              </c:numCache>
            </c:numRef>
          </c:val>
        </c:ser>
        <c:ser>
          <c:idx val="1"/>
          <c:order val="1"/>
          <c:tx>
            <c:strRef>
              <c:f>SABR!$S$5</c:f>
              <c:strCache>
                <c:ptCount val="1"/>
                <c:pt idx="0">
                  <c:v>0.0175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SABR!$Z$14:$Z$21</c:f>
              <c:numCache>
                <c:formatCode>0.0000</c:formatCode>
                <c:ptCount val="8"/>
                <c:pt idx="0">
                  <c:v>0.46049772386968679</c:v>
                </c:pt>
                <c:pt idx="1">
                  <c:v>0.45087777478253427</c:v>
                </c:pt>
                <c:pt idx="2">
                  <c:v>0.43379954735276349</c:v>
                </c:pt>
                <c:pt idx="3">
                  <c:v>0.40859674328283779</c:v>
                </c:pt>
                <c:pt idx="4">
                  <c:v>0.39624047768651571</c:v>
                </c:pt>
                <c:pt idx="5">
                  <c:v>0.37039609693954034</c:v>
                </c:pt>
                <c:pt idx="6">
                  <c:v>0.3240301776417806</c:v>
                </c:pt>
                <c:pt idx="7">
                  <c:v>0.30093668678105701</c:v>
                </c:pt>
              </c:numCache>
            </c:numRef>
          </c:val>
        </c:ser>
        <c:ser>
          <c:idx val="2"/>
          <c:order val="2"/>
          <c:tx>
            <c:strRef>
              <c:f>SABR!$T$6</c:f>
              <c:strCache>
                <c:ptCount val="1"/>
                <c:pt idx="0">
                  <c:v>0.0268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SABR!$AA$14:$AA$21</c:f>
              <c:numCache>
                <c:formatCode>0.0000</c:formatCode>
                <c:ptCount val="8"/>
                <c:pt idx="0">
                  <c:v>0.35642385127827692</c:v>
                </c:pt>
                <c:pt idx="1">
                  <c:v>0.3884742848404325</c:v>
                </c:pt>
                <c:pt idx="2">
                  <c:v>0.39383696064146545</c:v>
                </c:pt>
                <c:pt idx="3">
                  <c:v>0.37990144380903468</c:v>
                </c:pt>
                <c:pt idx="4">
                  <c:v>0.36830401701326676</c:v>
                </c:pt>
                <c:pt idx="5">
                  <c:v>0.34152089202476937</c:v>
                </c:pt>
                <c:pt idx="6">
                  <c:v>0.30125605494708207</c:v>
                </c:pt>
                <c:pt idx="7">
                  <c:v>0.28190840303813702</c:v>
                </c:pt>
              </c:numCache>
            </c:numRef>
          </c:val>
        </c:ser>
        <c:ser>
          <c:idx val="3"/>
          <c:order val="3"/>
          <c:tx>
            <c:strRef>
              <c:f>SABR!$U$7</c:f>
              <c:strCache>
                <c:ptCount val="1"/>
                <c:pt idx="0">
                  <c:v>0.035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SABR!$AB$14:$AB$21</c:f>
              <c:numCache>
                <c:formatCode>0.0000</c:formatCode>
                <c:ptCount val="8"/>
                <c:pt idx="0">
                  <c:v>0.34554809563325062</c:v>
                </c:pt>
                <c:pt idx="1">
                  <c:v>0.37902124821136651</c:v>
                </c:pt>
                <c:pt idx="2">
                  <c:v>0.38514837668428586</c:v>
                </c:pt>
                <c:pt idx="3">
                  <c:v>0.37133820546658619</c:v>
                </c:pt>
                <c:pt idx="4">
                  <c:v>0.35698280537310756</c:v>
                </c:pt>
                <c:pt idx="5">
                  <c:v>0.32726460943897578</c:v>
                </c:pt>
                <c:pt idx="6">
                  <c:v>0.29047180362071395</c:v>
                </c:pt>
                <c:pt idx="7">
                  <c:v>0.27070444355836443</c:v>
                </c:pt>
              </c:numCache>
            </c:numRef>
          </c:val>
        </c:ser>
        <c:ser>
          <c:idx val="4"/>
          <c:order val="4"/>
          <c:tx>
            <c:strRef>
              <c:f>SABR!$V$8</c:f>
              <c:strCache>
                <c:ptCount val="1"/>
                <c:pt idx="0">
                  <c:v>0.0426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SABR!$AC$14:$AC$21</c:f>
              <c:numCache>
                <c:formatCode>0.0000</c:formatCode>
                <c:ptCount val="8"/>
                <c:pt idx="0">
                  <c:v>0.40122172480906093</c:v>
                </c:pt>
                <c:pt idx="1">
                  <c:v>0.40333183654574534</c:v>
                </c:pt>
                <c:pt idx="2">
                  <c:v>0.39685773971223609</c:v>
                </c:pt>
                <c:pt idx="3">
                  <c:v>0.37636137253848395</c:v>
                </c:pt>
                <c:pt idx="4">
                  <c:v>0.35791201356686297</c:v>
                </c:pt>
                <c:pt idx="5">
                  <c:v>0.32477806193013609</c:v>
                </c:pt>
                <c:pt idx="6">
                  <c:v>0.28918808567986465</c:v>
                </c:pt>
                <c:pt idx="7">
                  <c:v>0.2657722055609853</c:v>
                </c:pt>
              </c:numCache>
            </c:numRef>
          </c:val>
        </c:ser>
        <c:ser>
          <c:idx val="5"/>
          <c:order val="5"/>
          <c:tx>
            <c:strRef>
              <c:f>SABR!$W$9</c:f>
              <c:strCache>
                <c:ptCount val="1"/>
                <c:pt idx="0">
                  <c:v>0.0491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SABR!$AD$14:$AD$21</c:f>
              <c:numCache>
                <c:formatCode>0.0000</c:formatCode>
                <c:ptCount val="8"/>
                <c:pt idx="0">
                  <c:v>0.46044569006281555</c:v>
                </c:pt>
                <c:pt idx="1">
                  <c:v>0.43621015544180691</c:v>
                </c:pt>
                <c:pt idx="2">
                  <c:v>0.41667380612507421</c:v>
                </c:pt>
                <c:pt idx="3">
                  <c:v>0.38811436571231578</c:v>
                </c:pt>
                <c:pt idx="4">
                  <c:v>0.36584101764312149</c:v>
                </c:pt>
                <c:pt idx="5">
                  <c:v>0.32975475505182028</c:v>
                </c:pt>
                <c:pt idx="6">
                  <c:v>0.29389513647158388</c:v>
                </c:pt>
                <c:pt idx="7">
                  <c:v>0.26529133486369588</c:v>
                </c:pt>
              </c:numCache>
            </c:numRef>
          </c:val>
        </c:ser>
        <c:ser>
          <c:idx val="6"/>
          <c:order val="6"/>
          <c:tx>
            <c:strRef>
              <c:f>SABR!$X$10</c:f>
              <c:strCache>
                <c:ptCount val="1"/>
                <c:pt idx="0">
                  <c:v>0.0558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SABR!$AE$14:$AE$21</c:f>
              <c:numCache>
                <c:formatCode>0.0000</c:formatCode>
                <c:ptCount val="8"/>
                <c:pt idx="0">
                  <c:v>0.51170169438391067</c:v>
                </c:pt>
                <c:pt idx="1">
                  <c:v>0.46815557505970012</c:v>
                </c:pt>
                <c:pt idx="2">
                  <c:v>0.43815167482992146</c:v>
                </c:pt>
                <c:pt idx="3">
                  <c:v>0.40231575985477047</c:v>
                </c:pt>
                <c:pt idx="4">
                  <c:v>0.37694220482485086</c:v>
                </c:pt>
                <c:pt idx="5">
                  <c:v>0.33853058306795969</c:v>
                </c:pt>
                <c:pt idx="6">
                  <c:v>0.3016732190232343</c:v>
                </c:pt>
                <c:pt idx="7">
                  <c:v>0.26761680878740057</c:v>
                </c:pt>
              </c:numCache>
            </c:numRef>
          </c:val>
        </c:ser>
        <c:bandFmts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5467272"/>
        <c:axId val="325466880"/>
        <c:axId val="325938848"/>
      </c:surface3DChart>
      <c:catAx>
        <c:axId val="32546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66880"/>
        <c:crosses val="autoZero"/>
        <c:auto val="1"/>
        <c:lblAlgn val="ctr"/>
        <c:lblOffset val="100"/>
        <c:noMultiLvlLbl val="0"/>
      </c:catAx>
      <c:valAx>
        <c:axId val="32546688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67272"/>
        <c:crosses val="autoZero"/>
        <c:crossBetween val="midCat"/>
      </c:valAx>
      <c:serAx>
        <c:axId val="3259388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6688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41</xdr:row>
      <xdr:rowOff>14286</xdr:rowOff>
    </xdr:from>
    <xdr:to>
      <xdr:col>6</xdr:col>
      <xdr:colOff>1695449</xdr:colOff>
      <xdr:row>55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41</xdr:row>
      <xdr:rowOff>14286</xdr:rowOff>
    </xdr:from>
    <xdr:to>
      <xdr:col>9</xdr:col>
      <xdr:colOff>1695449</xdr:colOff>
      <xdr:row>55</xdr:row>
      <xdr:rowOff>95249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41</xdr:row>
      <xdr:rowOff>14286</xdr:rowOff>
    </xdr:from>
    <xdr:to>
      <xdr:col>12</xdr:col>
      <xdr:colOff>1695449</xdr:colOff>
      <xdr:row>55</xdr:row>
      <xdr:rowOff>95249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</xdr:colOff>
      <xdr:row>41</xdr:row>
      <xdr:rowOff>14286</xdr:rowOff>
    </xdr:from>
    <xdr:to>
      <xdr:col>15</xdr:col>
      <xdr:colOff>1695449</xdr:colOff>
      <xdr:row>55</xdr:row>
      <xdr:rowOff>95249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38100</xdr:colOff>
      <xdr:row>41</xdr:row>
      <xdr:rowOff>14286</xdr:rowOff>
    </xdr:from>
    <xdr:to>
      <xdr:col>18</xdr:col>
      <xdr:colOff>1695449</xdr:colOff>
      <xdr:row>55</xdr:row>
      <xdr:rowOff>95249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38100</xdr:colOff>
      <xdr:row>41</xdr:row>
      <xdr:rowOff>14286</xdr:rowOff>
    </xdr:from>
    <xdr:to>
      <xdr:col>21</xdr:col>
      <xdr:colOff>1695449</xdr:colOff>
      <xdr:row>55</xdr:row>
      <xdr:rowOff>95249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13</xdr:row>
      <xdr:rowOff>119062</xdr:rowOff>
    </xdr:from>
    <xdr:to>
      <xdr:col>7</xdr:col>
      <xdr:colOff>161925</xdr:colOff>
      <xdr:row>28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23</xdr:row>
      <xdr:rowOff>33336</xdr:rowOff>
    </xdr:from>
    <xdr:to>
      <xdr:col>23</xdr:col>
      <xdr:colOff>542925</xdr:colOff>
      <xdr:row>47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23</xdr:row>
      <xdr:rowOff>9525</xdr:rowOff>
    </xdr:from>
    <xdr:to>
      <xdr:col>35</xdr:col>
      <xdr:colOff>857251</xdr:colOff>
      <xdr:row>47</xdr:row>
      <xdr:rowOff>90489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athworks.com/help/fininst/pricing-a-swaption-using-the-sabr-mod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M31" zoomScale="70" zoomScaleNormal="70" workbookViewId="0">
      <selection activeCell="H26" sqref="H26"/>
    </sheetView>
  </sheetViews>
  <sheetFormatPr defaultRowHeight="15" x14ac:dyDescent="0.25"/>
  <cols>
    <col min="1" max="1" width="19" customWidth="1"/>
    <col min="2" max="2" width="28.42578125" customWidth="1"/>
    <col min="3" max="3" width="26.85546875" bestFit="1" customWidth="1"/>
    <col min="4" max="4" width="19.42578125" customWidth="1"/>
    <col min="5" max="7" width="25.7109375" customWidth="1"/>
    <col min="8" max="10" width="24.7109375" customWidth="1"/>
    <col min="11" max="13" width="26.5703125" customWidth="1"/>
    <col min="14" max="22" width="24.5703125" customWidth="1"/>
  </cols>
  <sheetData>
    <row r="1" spans="1:6" x14ac:dyDescent="0.25">
      <c r="A1" s="3" t="s">
        <v>0</v>
      </c>
      <c r="B1" s="6">
        <f>_xll.cegToday()</f>
        <v>42050</v>
      </c>
      <c r="C1" s="3" t="s">
        <v>4</v>
      </c>
      <c r="D1" s="6">
        <v>42443</v>
      </c>
      <c r="E1" s="2">
        <f>_xll.cegSetEvaluationDate(B1)</f>
        <v>42050</v>
      </c>
    </row>
    <row r="2" spans="1:6" x14ac:dyDescent="0.25">
      <c r="A2" s="4" t="s">
        <v>1</v>
      </c>
      <c r="B2" s="1">
        <v>100</v>
      </c>
      <c r="C2" s="4" t="s">
        <v>5</v>
      </c>
      <c r="D2" s="7">
        <f>_xll.cegYearFraction(B1,D1,"ACTUAL365")</f>
        <v>1.0767123287671232</v>
      </c>
    </row>
    <row r="3" spans="1:6" x14ac:dyDescent="0.25">
      <c r="A3" s="4" t="s">
        <v>2</v>
      </c>
      <c r="B3" s="1">
        <v>100</v>
      </c>
      <c r="C3" s="4" t="s">
        <v>7</v>
      </c>
      <c r="D3" s="8">
        <v>0.2</v>
      </c>
    </row>
    <row r="4" spans="1:6" ht="15.75" thickBot="1" x14ac:dyDescent="0.3">
      <c r="A4" s="5" t="s">
        <v>3</v>
      </c>
      <c r="B4" s="9">
        <v>0.1</v>
      </c>
      <c r="C4" s="5" t="s">
        <v>6</v>
      </c>
      <c r="D4" s="9">
        <v>0</v>
      </c>
    </row>
    <row r="5" spans="1:6" ht="15.75" thickBot="1" x14ac:dyDescent="0.3"/>
    <row r="6" spans="1:6" ht="15.75" thickBot="1" x14ac:dyDescent="0.3">
      <c r="A6" s="11" t="s">
        <v>8</v>
      </c>
    </row>
    <row r="7" spans="1:6" ht="15.75" thickBot="1" x14ac:dyDescent="0.3">
      <c r="A7" s="3" t="s">
        <v>9</v>
      </c>
      <c r="B7" s="12" t="str">
        <f>_xll.cegEuropeanOptionBlackScholes(B8,B9,B2,B3,D1,B4,D4,D3)</f>
        <v>OPTION@bsm_call#21:05:09</v>
      </c>
      <c r="C7" s="13" t="str">
        <f>_xll.cegEuropeanOptionBlackScholes(C8,C9,B2,B3,D1,B4,D4,D3)</f>
        <v>OPTION@bsm_put#21:05:09</v>
      </c>
      <c r="D7" s="10"/>
      <c r="E7" s="10"/>
      <c r="F7" s="10"/>
    </row>
    <row r="8" spans="1:6" ht="15.75" thickBot="1" x14ac:dyDescent="0.3">
      <c r="A8" s="4" t="s">
        <v>10</v>
      </c>
      <c r="B8" s="14" t="s">
        <v>12</v>
      </c>
      <c r="C8" s="15" t="s">
        <v>13</v>
      </c>
      <c r="D8" s="10"/>
      <c r="E8" s="10"/>
      <c r="F8" s="10"/>
    </row>
    <row r="9" spans="1:6" ht="15.75" thickBot="1" x14ac:dyDescent="0.3">
      <c r="A9" s="4" t="s">
        <v>11</v>
      </c>
      <c r="B9" s="16" t="s">
        <v>25</v>
      </c>
      <c r="C9" s="17" t="s">
        <v>26</v>
      </c>
      <c r="D9" s="22"/>
      <c r="E9" s="23" t="s">
        <v>25</v>
      </c>
      <c r="F9" s="13" t="s">
        <v>26</v>
      </c>
    </row>
    <row r="10" spans="1:6" x14ac:dyDescent="0.25">
      <c r="A10" s="4" t="s">
        <v>28</v>
      </c>
      <c r="B10" s="18">
        <f>_xll.cegGetOptionBSMGreek(B$7,$A10)</f>
        <v>13.97398915335449</v>
      </c>
      <c r="C10" s="19">
        <f>_xll.cegGetOptionBSMGreek(C$7,$A10)</f>
        <v>3.7662646923264345</v>
      </c>
      <c r="D10" s="3" t="s">
        <v>15</v>
      </c>
      <c r="E10" s="24">
        <f>B10/$B$2</f>
        <v>0.13973989153354491</v>
      </c>
      <c r="F10" s="25">
        <f>C10/$B$2</f>
        <v>3.7662646923264348E-2</v>
      </c>
    </row>
    <row r="11" spans="1:6" x14ac:dyDescent="0.25">
      <c r="A11" s="4" t="s">
        <v>16</v>
      </c>
      <c r="B11" s="18">
        <f>_xll.cegGetOptionBSMGreek(B$7,$A11)</f>
        <v>0.7332225143581319</v>
      </c>
      <c r="C11" s="19">
        <f>_xll.cegGetOptionBSMGreek(C$7,$A11)</f>
        <v>-0.26677748564186832</v>
      </c>
      <c r="D11" s="4" t="s">
        <v>21</v>
      </c>
      <c r="E11" s="26">
        <f>B11*100</f>
        <v>73.322251435813186</v>
      </c>
      <c r="F11" s="27">
        <f>C11*100</f>
        <v>-26.677748564186832</v>
      </c>
    </row>
    <row r="12" spans="1:6" x14ac:dyDescent="0.25">
      <c r="A12" s="4" t="s">
        <v>17</v>
      </c>
      <c r="B12" s="18">
        <f>_xll.cegGetOptionBSMGreek(B$7,$A12)</f>
        <v>1.583654309951869E-2</v>
      </c>
      <c r="C12" s="19">
        <f>_xll.cegGetOptionBSMGreek(C$7,$A12)</f>
        <v>1.583654309951869E-2</v>
      </c>
      <c r="D12" s="4" t="s">
        <v>22</v>
      </c>
      <c r="E12" s="26">
        <f>B12*100</f>
        <v>1.583654309951869</v>
      </c>
      <c r="F12" s="27">
        <f>C12*100</f>
        <v>1.583654309951869</v>
      </c>
    </row>
    <row r="13" spans="1:6" x14ac:dyDescent="0.25">
      <c r="A13" s="4" t="s">
        <v>18</v>
      </c>
      <c r="B13" s="18">
        <f>_xll.cegGetOptionBSMGreek(B$7,$A13)</f>
        <v>34.102802400607359</v>
      </c>
      <c r="C13" s="19">
        <f>_xll.cegGetOptionBSMGreek(C$7,$A13)</f>
        <v>34.102802400607359</v>
      </c>
      <c r="D13" s="4" t="s">
        <v>23</v>
      </c>
      <c r="E13" s="26">
        <f>B13/100</f>
        <v>0.34102802400607357</v>
      </c>
      <c r="F13" s="27">
        <f>C13/100</f>
        <v>0.34102802400607357</v>
      </c>
    </row>
    <row r="14" spans="1:6" x14ac:dyDescent="0.25">
      <c r="A14" s="4" t="s">
        <v>19</v>
      </c>
      <c r="B14" s="18">
        <f>_xll.cegGetOptionBSMGreek(B$7,$A14)</f>
        <v>-9.1021348481496052</v>
      </c>
      <c r="C14" s="19">
        <f>_xll.cegGetOptionBSMGreek(C$7,$A14)</f>
        <v>-0.12290729425241394</v>
      </c>
      <c r="D14" s="4" t="s">
        <v>24</v>
      </c>
      <c r="E14" s="26">
        <f>B14/365</f>
        <v>-2.4937355748355084E-2</v>
      </c>
      <c r="F14" s="27">
        <f>C14/365</f>
        <v>-3.3673231302031216E-4</v>
      </c>
    </row>
    <row r="15" spans="1:6" ht="15.75" thickBot="1" x14ac:dyDescent="0.3">
      <c r="A15" s="5" t="s">
        <v>20</v>
      </c>
      <c r="B15" s="20">
        <f>_xll.cegGetOptionBSMGreek(B$7,$A15)</f>
        <v>63.9010056904281</v>
      </c>
      <c r="C15" s="21">
        <f>_xll.cegGetOptionBSMGreek(C$7,$A15)</f>
        <v>-32.779444410437584</v>
      </c>
      <c r="D15" s="5" t="s">
        <v>27</v>
      </c>
      <c r="E15" s="28">
        <f>B15/100</f>
        <v>0.63901005690428103</v>
      </c>
      <c r="F15" s="29">
        <f>C15/100</f>
        <v>-0.32779444410437586</v>
      </c>
    </row>
    <row r="17" spans="1:22" ht="15.75" thickBot="1" x14ac:dyDescent="0.3"/>
    <row r="18" spans="1:22" x14ac:dyDescent="0.25">
      <c r="A18" s="51"/>
      <c r="B18" s="135" t="s">
        <v>29</v>
      </c>
      <c r="C18" s="136"/>
      <c r="D18" s="137"/>
      <c r="E18" s="135" t="s">
        <v>28</v>
      </c>
      <c r="F18" s="136"/>
      <c r="G18" s="137"/>
      <c r="H18" s="135" t="s">
        <v>16</v>
      </c>
      <c r="I18" s="136"/>
      <c r="J18" s="137"/>
      <c r="K18" s="135" t="s">
        <v>17</v>
      </c>
      <c r="L18" s="136"/>
      <c r="M18" s="137"/>
      <c r="N18" s="135" t="s">
        <v>18</v>
      </c>
      <c r="O18" s="136"/>
      <c r="P18" s="137"/>
      <c r="Q18" s="135" t="s">
        <v>19</v>
      </c>
      <c r="R18" s="136"/>
      <c r="S18" s="137"/>
      <c r="T18" s="135" t="s">
        <v>20</v>
      </c>
      <c r="U18" s="136"/>
      <c r="V18" s="137"/>
    </row>
    <row r="19" spans="1:22" ht="15.75" thickBot="1" x14ac:dyDescent="0.3">
      <c r="A19" s="52" t="s">
        <v>14</v>
      </c>
      <c r="B19" s="53">
        <f>B1+100</f>
        <v>42150</v>
      </c>
      <c r="C19" s="54">
        <f>B1+200</f>
        <v>42250</v>
      </c>
      <c r="D19" s="55">
        <f>B1+300</f>
        <v>42350</v>
      </c>
      <c r="E19" s="53">
        <f>E1+100</f>
        <v>42150</v>
      </c>
      <c r="F19" s="54">
        <f>E1+200</f>
        <v>42250</v>
      </c>
      <c r="G19" s="55">
        <f>E1+300</f>
        <v>42350</v>
      </c>
      <c r="H19" s="53">
        <f t="shared" ref="H19:V19" si="0">E19</f>
        <v>42150</v>
      </c>
      <c r="I19" s="54">
        <f t="shared" si="0"/>
        <v>42250</v>
      </c>
      <c r="J19" s="55">
        <f t="shared" si="0"/>
        <v>42350</v>
      </c>
      <c r="K19" s="53">
        <f t="shared" si="0"/>
        <v>42150</v>
      </c>
      <c r="L19" s="54">
        <f t="shared" si="0"/>
        <v>42250</v>
      </c>
      <c r="M19" s="55">
        <f t="shared" si="0"/>
        <v>42350</v>
      </c>
      <c r="N19" s="53">
        <f t="shared" si="0"/>
        <v>42150</v>
      </c>
      <c r="O19" s="54">
        <f t="shared" si="0"/>
        <v>42250</v>
      </c>
      <c r="P19" s="55">
        <f t="shared" si="0"/>
        <v>42350</v>
      </c>
      <c r="Q19" s="53">
        <f t="shared" si="0"/>
        <v>42150</v>
      </c>
      <c r="R19" s="54">
        <f t="shared" si="0"/>
        <v>42250</v>
      </c>
      <c r="S19" s="55">
        <f t="shared" si="0"/>
        <v>42350</v>
      </c>
      <c r="T19" s="53">
        <f>Q19</f>
        <v>42150</v>
      </c>
      <c r="U19" s="54">
        <f t="shared" si="0"/>
        <v>42250</v>
      </c>
      <c r="V19" s="55">
        <f t="shared" si="0"/>
        <v>42350</v>
      </c>
    </row>
    <row r="20" spans="1:22" x14ac:dyDescent="0.25">
      <c r="A20" s="30">
        <v>50</v>
      </c>
      <c r="B20" s="33" t="str">
        <f>_xll.cegEuropeanOptionBlackScholes(B$19&amp;"_"&amp;$A20,$B$9,$B$2,$A20,B$19,$B$4,$D$4,$D$3)</f>
        <v>OPTION@42150_50#21:05:22</v>
      </c>
      <c r="C20" s="34" t="str">
        <f>_xll.cegEuropeanOptionBlackScholes(C$19&amp;"_"&amp;$A20,$B$9,$B$2,$A20,C$19,$B$4,$D$4,$D$3)</f>
        <v>OPTION@42250_50#21:05:22</v>
      </c>
      <c r="D20" s="35" t="str">
        <f>_xll.cegEuropeanOptionBlackScholes(D$19&amp;"_"&amp;$A20,$B$9,$B$2,$A20,D$19,$B$4,$D$4,$D$3)</f>
        <v>OPTION@42350_50#21:05:22</v>
      </c>
      <c r="E20" s="42">
        <f>_xll.cegGetOptionBSMGreek(B20,$E$18)</f>
        <v>51.351267971675988</v>
      </c>
      <c r="F20" s="43">
        <f>_xll.cegGetOptionBSMGreek(C20,$E$18)</f>
        <v>52.666017851031128</v>
      </c>
      <c r="G20" s="44">
        <f>_xll.cegGetOptionBSMGreek(D20,$E$18)</f>
        <v>53.945260207282097</v>
      </c>
      <c r="H20" s="56">
        <f>_xll.cegGetOptionBSMGreek(B20,$H$18)</f>
        <v>0.99999999999797373</v>
      </c>
      <c r="I20" s="57">
        <f>_xll.cegGetOptionBSMGreek(C20,$H$18)</f>
        <v>0.99999985209040976</v>
      </c>
      <c r="J20" s="58">
        <f>_xll.cegGetOptionBSMGreek(D20,$H$18)</f>
        <v>0.9999936947091892</v>
      </c>
      <c r="K20" s="42">
        <f>_xll.cegGetOptionBSMGreek(B20,$K$18)</f>
        <v>1.3692847493972207E-12</v>
      </c>
      <c r="L20" s="43">
        <f>_xll.cegGetOptionBSMGreek(C20,$K$18)</f>
        <v>5.3036426240239398E-8</v>
      </c>
      <c r="M20" s="44">
        <f>_xll.cegGetOptionBSMGreek(D20,$K$18)</f>
        <v>1.5914107020028816E-6</v>
      </c>
      <c r="N20" s="56">
        <f>_xll.cegGetOptionBSMGreek(B20,$N$18)</f>
        <v>7.5029301336832357E-10</v>
      </c>
      <c r="O20" s="57">
        <f>_xll.cegGetOptionBSMGreek(C20,$N$18)</f>
        <v>5.8122110948207656E-5</v>
      </c>
      <c r="P20" s="58">
        <f>_xll.cegGetOptionBSMGreek(D20,$N$18)</f>
        <v>2.6160175923335086E-3</v>
      </c>
      <c r="Q20" s="42">
        <f>_xll.cegGetOptionBSMGreek(B20,$Q$18)</f>
        <v>-4.8648732030860042</v>
      </c>
      <c r="R20" s="43">
        <f>_xll.cegGetOptionBSMGreek(C20,$Q$18)</f>
        <v>-4.7334073430862365</v>
      </c>
      <c r="S20" s="44">
        <f>_xll.cegGetOptionBSMGreek(D20,$Q$18)</f>
        <v>-4.6057292085040906</v>
      </c>
      <c r="T20" s="56">
        <f>_xll.cegGetOptionBSMGreek(B20,$T$18)</f>
        <v>13.328419733731884</v>
      </c>
      <c r="U20" s="57">
        <f>_xll.cegGetOptionBSMGreek(C20,$T$18)</f>
        <v>25.93642047014238</v>
      </c>
      <c r="V20" s="58">
        <f>_xll.cegGetOptionBSMGreek(D20,$T$18)</f>
        <v>37.852692545454907</v>
      </c>
    </row>
    <row r="21" spans="1:22" x14ac:dyDescent="0.25">
      <c r="A21" s="31">
        <v>55</v>
      </c>
      <c r="B21" s="36" t="str">
        <f>_xll.cegEuropeanOptionBlackScholes(B$19&amp;"_"&amp;$A21,$B$9,$B$2,$A21,B$19,$B$4,$D$4,$D$3)</f>
        <v>OPTION@42150_55#21:05:22</v>
      </c>
      <c r="C21" s="37" t="str">
        <f>_xll.cegEuropeanOptionBlackScholes(C$19&amp;"_"&amp;$A21,$B$9,$B$2,$A21,C$19,$B$4,$D$4,$D$3)</f>
        <v>OPTION@42250_55#21:05:22</v>
      </c>
      <c r="D21" s="38" t="str">
        <f>_xll.cegEuropeanOptionBlackScholes(D$19&amp;"_"&amp;$A21,$B$9,$B$2,$A21,D$19,$B$4,$D$4,$D$3)</f>
        <v>OPTION@42350_55#21:05:22</v>
      </c>
      <c r="E21" s="45">
        <f>_xll.cegGetOptionBSMGreek(B21,$E$18)</f>
        <v>46.486394770261825</v>
      </c>
      <c r="F21" s="46">
        <f>_xll.cegGetOptionBSMGreek(C21,$E$18)</f>
        <v>47.932630728064154</v>
      </c>
      <c r="G21" s="47">
        <f>_xll.cegGetOptionBSMGreek(D21,$E$18)</f>
        <v>49.34002877015422</v>
      </c>
      <c r="H21" s="59">
        <f>_xll.cegGetOptionBSMGreek(B21,$H$18)</f>
        <v>0.99999999915384663</v>
      </c>
      <c r="I21" s="60">
        <f>_xll.cegGetOptionBSMGreek(C21,$H$18)</f>
        <v>0.99999630797060013</v>
      </c>
      <c r="J21" s="61">
        <f>_xll.cegGetOptionBSMGreek(D21,$H$18)</f>
        <v>0.99993875971989055</v>
      </c>
      <c r="K21" s="45">
        <f>_xll.cegGetOptionBSMGreek(B21,$K$18)</f>
        <v>4.9974530132015928E-10</v>
      </c>
      <c r="L21" s="46">
        <f>_xll.cegGetOptionBSMGreek(C21,$K$18)</f>
        <v>1.1689360545427928E-6</v>
      </c>
      <c r="M21" s="47">
        <f>_xll.cegGetOptionBSMGreek(D21,$K$18)</f>
        <v>1.3761083414784375E-5</v>
      </c>
      <c r="N21" s="59">
        <f>_xll.cegGetOptionBSMGreek(B21,$N$18)</f>
        <v>2.7383304181926147E-7</v>
      </c>
      <c r="O21" s="60">
        <f>_xll.cegGetOptionBSMGreek(C21,$N$18)</f>
        <v>1.2810258131975816E-3</v>
      </c>
      <c r="P21" s="61">
        <f>_xll.cegGetOptionBSMGreek(D21,$N$18)</f>
        <v>2.2620959038001667E-2</v>
      </c>
      <c r="Q21" s="45">
        <f>_xll.cegGetOptionBSMGreek(B21,$Q$18)</f>
        <v>-5.3513606144613544</v>
      </c>
      <c r="R21" s="46">
        <f>_xll.cegGetOptionBSMGreek(C21,$Q$18)</f>
        <v>-5.2069337941104967</v>
      </c>
      <c r="S21" s="47">
        <f>_xll.cegGetOptionBSMGreek(D21,$Q$18)</f>
        <v>-5.0681369368664502</v>
      </c>
      <c r="T21" s="59">
        <f>_xll.cegGetOptionBSMGreek(B21,$T$18)</f>
        <v>14.661261683595301</v>
      </c>
      <c r="U21" s="60">
        <f>_xll.cegGetOptionBSMGreek(C21,$T$18)</f>
        <v>28.529863051504574</v>
      </c>
      <c r="V21" s="61">
        <f>_xll.cegGetOptionBSMGreek(D21,$T$18)</f>
        <v>41.633299070001236</v>
      </c>
    </row>
    <row r="22" spans="1:22" x14ac:dyDescent="0.25">
      <c r="A22" s="31">
        <v>60</v>
      </c>
      <c r="B22" s="36" t="str">
        <f>_xll.cegEuropeanOptionBlackScholes(B$19&amp;"_"&amp;$A22,$B$9,$B$2,$A22,B$19,$B$4,$D$4,$D$3)</f>
        <v>OPTION@42150_60#21:05:22</v>
      </c>
      <c r="C22" s="37" t="str">
        <f>_xll.cegEuropeanOptionBlackScholes(C$19&amp;"_"&amp;$A22,$B$9,$B$2,$A22,C$19,$B$4,$D$4,$D$3)</f>
        <v>OPTION@42250_60#21:05:22</v>
      </c>
      <c r="D22" s="38" t="str">
        <f>_xll.cegEuropeanOptionBlackScholes(D$19&amp;"_"&amp;$A22,$B$9,$B$2,$A22,D$19,$B$4,$D$4,$D$3)</f>
        <v>OPTION@42350_60#21:05:22</v>
      </c>
      <c r="E22" s="45">
        <f>_xll.cegGetOptionBSMGreek(B22,$E$18)</f>
        <v>41.621521764261971</v>
      </c>
      <c r="F22" s="46">
        <f>_xll.cegGetOptionBSMGreek(C22,$E$18)</f>
        <v>43.199394530383195</v>
      </c>
      <c r="G22" s="47">
        <f>_xll.cegGetOptionBSMGreek(D22,$E$18)</f>
        <v>44.736193168503753</v>
      </c>
      <c r="H22" s="59">
        <f>_xll.cegGetOptionBSMGreek(B22,$H$18)</f>
        <v>0.99999989692751245</v>
      </c>
      <c r="I22" s="60">
        <f>_xll.cegGetOptionBSMGreek(C22,$H$18)</f>
        <v>0.99995081488153859</v>
      </c>
      <c r="J22" s="61">
        <f>_xll.cegGetOptionBSMGreek(D22,$H$18)</f>
        <v>0.99961201653787501</v>
      </c>
      <c r="K22" s="45">
        <f>_xll.cegGetOptionBSMGreek(B22,$K$18)</f>
        <v>5.2913082138361824E-8</v>
      </c>
      <c r="L22" s="46">
        <f>_xll.cegGetOptionBSMGreek(C22,$K$18)</f>
        <v>1.3705054456011508E-5</v>
      </c>
      <c r="M22" s="47">
        <f>_xll.cegGetOptionBSMGreek(D22,$K$18)</f>
        <v>7.7476119887306816E-5</v>
      </c>
      <c r="N22" s="59">
        <f>_xll.cegGetOptionBSMGreek(B22,$N$18)</f>
        <v>2.8993469664856223E-5</v>
      </c>
      <c r="O22" s="60">
        <f>_xll.cegGetOptionBSMGreek(C22,$N$18)</f>
        <v>1.5019237760012521E-2</v>
      </c>
      <c r="P22" s="61">
        <f>_xll.cegGetOptionBSMGreek(D22,$N$18)</f>
        <v>0.12735800529420291</v>
      </c>
      <c r="Q22" s="45">
        <f>_xll.cegGetOptionBSMGreek(B22,$Q$18)</f>
        <v>-5.8378573754653633</v>
      </c>
      <c r="R22" s="46">
        <f>_xll.cegGetOptionBSMGreek(C22,$Q$18)</f>
        <v>-5.6823097066682706</v>
      </c>
      <c r="S22" s="47">
        <f>_xll.cegGetOptionBSMGreek(D22,$Q$18)</f>
        <v>-5.5379960725058464</v>
      </c>
      <c r="T22" s="59">
        <f>_xll.cegGetOptionBSMGreek(B22,$T$18)</f>
        <v>15.994100802325823</v>
      </c>
      <c r="U22" s="60">
        <f>_xll.cegGetOptionBSMGreek(C22,$T$18)</f>
        <v>31.120924360422279</v>
      </c>
      <c r="V22" s="61">
        <f>_xll.cegGetOptionBSMGreek(D22,$T$18)</f>
        <v>45.390417933109916</v>
      </c>
    </row>
    <row r="23" spans="1:22" x14ac:dyDescent="0.25">
      <c r="A23" s="31">
        <v>65</v>
      </c>
      <c r="B23" s="36" t="str">
        <f>_xll.cegEuropeanOptionBlackScholes(B$19&amp;"_"&amp;$A23,$B$9,$B$2,$A23,B$19,$B$4,$D$4,$D$3)</f>
        <v>OPTION@42150_65#21:05:22</v>
      </c>
      <c r="C23" s="37" t="str">
        <f>_xll.cegEuropeanOptionBlackScholes(C$19&amp;"_"&amp;$A23,$B$9,$B$2,$A23,C$19,$B$4,$D$4,$D$3)</f>
        <v>OPTION@42250_65#21:05:22</v>
      </c>
      <c r="D23" s="38" t="str">
        <f>_xll.cegEuropeanOptionBlackScholes(D$19&amp;"_"&amp;$A23,$B$9,$B$2,$A23,D$19,$B$4,$D$4,$D$3)</f>
        <v>OPTION@42350_65#21:05:22</v>
      </c>
      <c r="E23" s="45">
        <f>_xll.cegGetOptionBSMGreek(B23,$E$18)</f>
        <v>36.756658839910351</v>
      </c>
      <c r="F23" s="46">
        <f>_xll.cegGetOptionBSMGreek(C23,$E$18)</f>
        <v>38.467413856142784</v>
      </c>
      <c r="G23" s="47">
        <f>_xll.cegGetOptionBSMGreek(D23,$E$18)</f>
        <v>40.13845175423139</v>
      </c>
      <c r="H23" s="59">
        <f>_xll.cegGetOptionBSMGreek(B23,$H$18)</f>
        <v>0.99999526869513145</v>
      </c>
      <c r="I23" s="60">
        <f>_xll.cegGetOptionBSMGreek(C23,$H$18)</f>
        <v>0.99960162056680213</v>
      </c>
      <c r="J23" s="61">
        <f>_xll.cegGetOptionBSMGreek(D23,$H$18)</f>
        <v>0.99824861942771748</v>
      </c>
      <c r="K23" s="45">
        <f>_xll.cegGetOptionBSMGreek(B23,$K$18)</f>
        <v>2.0953683930718338E-6</v>
      </c>
      <c r="L23" s="46">
        <f>_xll.cegGetOptionBSMGreek(C23,$K$18)</f>
        <v>9.7246188728185596E-5</v>
      </c>
      <c r="M23" s="47">
        <f>_xll.cegGetOptionBSMGreek(D23,$K$18)</f>
        <v>3.0992588599364386E-4</v>
      </c>
      <c r="N23" s="59">
        <f>_xll.cegGetOptionBSMGreek(B23,$N$18)</f>
        <v>1.1481470646968772E-3</v>
      </c>
      <c r="O23" s="60">
        <f>_xll.cegGetOptionBSMGreek(C23,$N$18)</f>
        <v>0.10657116572951816</v>
      </c>
      <c r="P23" s="61">
        <f>_xll.cegGetOptionBSMGreek(D23,$N$18)</f>
        <v>0.50946720985256455</v>
      </c>
      <c r="Q23" s="45">
        <f>_xll.cegGetOptionBSMGreek(B23,$Q$18)</f>
        <v>-6.3247058766389026</v>
      </c>
      <c r="R23" s="46">
        <f>_xll.cegGetOptionBSMGreek(C23,$Q$18)</f>
        <v>-6.1687240577993814</v>
      </c>
      <c r="S23" s="47">
        <f>_xll.cegGetOptionBSMGreek(D23,$Q$18)</f>
        <v>-6.0306261960527721</v>
      </c>
      <c r="T23" s="59">
        <f>_xll.cegGetOptionBSMGreek(B23,$T$18)</f>
        <v>17.326813158795286</v>
      </c>
      <c r="U23" s="60">
        <f>_xll.cegGetOptionBSMGreek(C23,$T$18)</f>
        <v>33.694656548239685</v>
      </c>
      <c r="V23" s="61">
        <f>_xll.cegGetOptionBSMGreek(D23,$T$18)</f>
        <v>49.057323442635898</v>
      </c>
    </row>
    <row r="24" spans="1:22" x14ac:dyDescent="0.25">
      <c r="A24" s="31">
        <v>70</v>
      </c>
      <c r="B24" s="36" t="str">
        <f>_xll.cegEuropeanOptionBlackScholes(B$19&amp;"_"&amp;$A24,$B$9,$B$2,$A24,B$19,$B$4,$D$4,$D$3)</f>
        <v>OPTION@42150_70#21:05:22</v>
      </c>
      <c r="C24" s="37" t="str">
        <f>_xll.cegEuropeanOptionBlackScholes(C$19&amp;"_"&amp;$A24,$B$9,$B$2,$A24,C$19,$B$4,$D$4,$D$3)</f>
        <v>OPTION@42250_70#21:05:22</v>
      </c>
      <c r="D24" s="38" t="str">
        <f>_xll.cegEuropeanOptionBlackScholes(D$19&amp;"_"&amp;$A24,$B$9,$B$2,$A24,D$19,$B$4,$D$4,$D$3)</f>
        <v>OPTION@42350_70#21:05:22</v>
      </c>
      <c r="E24" s="45">
        <f>_xll.cegGetOptionBSMGreek(B24,$E$18)</f>
        <v>31.892029658303382</v>
      </c>
      <c r="F24" s="46">
        <f>_xll.cegGetOptionBSMGreek(C24,$E$18)</f>
        <v>33.742231409111838</v>
      </c>
      <c r="G24" s="47">
        <f>_xll.cegGetOptionBSMGreek(D24,$E$18)</f>
        <v>35.560442688722496</v>
      </c>
      <c r="H24" s="59">
        <f>_xll.cegGetOptionBSMGreek(B24,$H$18)</f>
        <v>0.999900855723454</v>
      </c>
      <c r="I24" s="60">
        <f>_xll.cegGetOptionBSMGreek(C24,$H$18)</f>
        <v>0.9978369289158896</v>
      </c>
      <c r="J24" s="61">
        <f>_xll.cegGetOptionBSMGreek(D24,$H$18)</f>
        <v>0.99398165805242711</v>
      </c>
      <c r="K24" s="45">
        <f>_xll.cegGetOptionBSMGreek(B24,$K$18)</f>
        <v>3.7509232264887705E-5</v>
      </c>
      <c r="L24" s="46">
        <f>_xll.cegGetOptionBSMGreek(C24,$K$18)</f>
        <v>4.5982068891240878E-4</v>
      </c>
      <c r="M24" s="47">
        <f>_xll.cegGetOptionBSMGreek(D24,$K$18)</f>
        <v>9.4027122788167079E-4</v>
      </c>
      <c r="N24" s="59">
        <f>_xll.cegGetOptionBSMGreek(B24,$N$18)</f>
        <v>2.0553003980760393E-2</v>
      </c>
      <c r="O24" s="60">
        <f>_xll.cegGetOptionBSMGreek(C24,$N$18)</f>
        <v>0.50391308373962407</v>
      </c>
      <c r="P24" s="61">
        <f>_xll.cegGetOptionBSMGreek(D24,$N$18)</f>
        <v>1.5456513335041122</v>
      </c>
      <c r="Q24" s="45">
        <f>_xll.cegGetOptionBSMGreek(B24,$Q$18)</f>
        <v>-6.8173074378571874</v>
      </c>
      <c r="R24" s="46">
        <f>_xll.cegGetOptionBSMGreek(C24,$Q$18)</f>
        <v>-6.6961102860301942</v>
      </c>
      <c r="S24" s="47">
        <f>_xll.cegGetOptionBSMGreek(D24,$Q$18)</f>
        <v>-6.5718265572283663</v>
      </c>
      <c r="T24" s="59">
        <f>_xll.cegGetOptionBSMGreek(B24,$T$18)</f>
        <v>18.657001620285488</v>
      </c>
      <c r="U24" s="60">
        <f>_xll.cegGetOptionBSMGreek(C24,$T$18)</f>
        <v>36.187102182179245</v>
      </c>
      <c r="V24" s="61">
        <f>_xll.cegGetOptionBSMGreek(D24,$T$18)</f>
        <v>52.46936146563305</v>
      </c>
    </row>
    <row r="25" spans="1:22" x14ac:dyDescent="0.25">
      <c r="A25" s="31">
        <v>75</v>
      </c>
      <c r="B25" s="36" t="str">
        <f>_xll.cegEuropeanOptionBlackScholes(B$19&amp;"_"&amp;$A25,$B$9,$B$2,$A25,B$19,$B$4,$D$4,$D$3)</f>
        <v>OPTION@42150_75#21:05:22</v>
      </c>
      <c r="C25" s="37" t="str">
        <f>_xll.cegEuropeanOptionBlackScholes(C$19&amp;"_"&amp;$A25,$B$9,$B$2,$A25,C$19,$B$4,$D$4,$D$3)</f>
        <v>OPTION@42250_75#21:05:22</v>
      </c>
      <c r="D25" s="38" t="str">
        <f>_xll.cegEuropeanOptionBlackScholes(D$19&amp;"_"&amp;$A25,$B$9,$B$2,$A25,D$19,$B$4,$D$4,$D$3)</f>
        <v>OPTION@42350_75#21:05:19</v>
      </c>
      <c r="E25" s="45">
        <f>_xll.cegGetOptionBSMGreek(B25,$E$18)</f>
        <v>27.030199191569896</v>
      </c>
      <c r="F25" s="46">
        <f>_xll.cegGetOptionBSMGreek(C25,$E$18)</f>
        <v>29.042856630863643</v>
      </c>
      <c r="G25" s="47">
        <f>_xll.cegGetOptionBSMGreek(D25,$E$18)</f>
        <v>31.032389266168263</v>
      </c>
      <c r="H25" s="59">
        <f>_xll.cegGetOptionBSMGreek(B25,$H$18)</f>
        <v>0.99890117289719427</v>
      </c>
      <c r="I25" s="60">
        <f>_xll.cegGetOptionBSMGreek(C25,$H$18)</f>
        <v>0.99151426708909784</v>
      </c>
      <c r="J25" s="61">
        <f>_xll.cegGetOptionBSMGreek(D25,$H$18)</f>
        <v>0.98343739201609637</v>
      </c>
      <c r="K25" s="45">
        <f>_xll.cegGetOptionBSMGreek(B25,$K$18)</f>
        <v>3.5067945529645793E-4</v>
      </c>
      <c r="L25" s="46">
        <f>_xll.cegGetOptionBSMGreek(C25,$K$18)</f>
        <v>1.5592631556323342E-3</v>
      </c>
      <c r="M25" s="47">
        <f>_xll.cegGetOptionBSMGreek(D25,$K$18)</f>
        <v>2.27389449252952E-3</v>
      </c>
      <c r="N25" s="59">
        <f>_xll.cegGetOptionBSMGreek(B25,$N$18)</f>
        <v>0.19215312618983976</v>
      </c>
      <c r="O25" s="60">
        <f>_xll.cegGetOptionBSMGreek(C25,$N$18)</f>
        <v>1.708781540418991</v>
      </c>
      <c r="P25" s="61">
        <f>_xll.cegGetOptionBSMGreek(D25,$N$18)</f>
        <v>3.737908754843049</v>
      </c>
      <c r="Q25" s="45">
        <f>_xll.cegGetOptionBSMGreek(B25,$Q$18)</f>
        <v>-7.3561277008742527</v>
      </c>
      <c r="R25" s="46">
        <f>_xll.cegGetOptionBSMGreek(C25,$Q$18)</f>
        <v>-7.3227096389310802</v>
      </c>
      <c r="S25" s="47">
        <f>_xll.cegGetOptionBSMGreek(D25,$Q$18)</f>
        <v>-7.1859138920500527</v>
      </c>
      <c r="T25" s="59">
        <f>_xll.cegGetOptionBSMGreek(B25,$T$18)</f>
        <v>19.961621396753291</v>
      </c>
      <c r="U25" s="60">
        <f>_xll.cegGetOptionBSMGreek(C25,$T$18)</f>
        <v>38.415654837285558</v>
      </c>
      <c r="V25" s="61">
        <f>_xll.cegGetOptionBSMGreek(D25,$T$18)</f>
        <v>55.32439720721208</v>
      </c>
    </row>
    <row r="26" spans="1:22" x14ac:dyDescent="0.25">
      <c r="A26" s="31">
        <v>80</v>
      </c>
      <c r="B26" s="36" t="str">
        <f>_xll.cegEuropeanOptionBlackScholes(B$19&amp;"_"&amp;$A26,$B$9,$B$2,$A26,B$19,$B$4,$D$4,$D$3)</f>
        <v>OPTION@42150_80#21:05:22</v>
      </c>
      <c r="C26" s="37" t="str">
        <f>_xll.cegEuropeanOptionBlackScholes(C$19&amp;"_"&amp;$A26,$B$9,$B$2,$A26,C$19,$B$4,$D$4,$D$3)</f>
        <v>OPTION@42250_80#21:05:22</v>
      </c>
      <c r="D26" s="38" t="str">
        <f>_xll.cegEuropeanOptionBlackScholes(D$19&amp;"_"&amp;$A26,$B$9,$B$2,$A26,D$19,$B$4,$D$4,$D$3)</f>
        <v>OPTION@42350_80#21:05:22</v>
      </c>
      <c r="E26" s="45">
        <f>_xll.cegGetOptionBSMGreek(B26,$E$18)</f>
        <v>22.187638487149783</v>
      </c>
      <c r="F26" s="46">
        <f>_xll.cegGetOptionBSMGreek(C26,$E$18)</f>
        <v>24.416323882654627</v>
      </c>
      <c r="G26" s="47">
        <f>_xll.cegGetOptionBSMGreek(D26,$E$18)</f>
        <v>26.607424798948429</v>
      </c>
      <c r="H26" s="59">
        <f>_xll.cegGetOptionBSMGreek(B26,$H$18)</f>
        <v>0.99277003727158486</v>
      </c>
      <c r="I26" s="60">
        <f>_xll.cegGetOptionBSMGreek(C26,$H$18)</f>
        <v>0.97449476094172971</v>
      </c>
      <c r="J26" s="61">
        <f>_xll.cegGetOptionBSMGreek(D26,$H$18)</f>
        <v>0.9620199998133997</v>
      </c>
      <c r="K26" s="45">
        <f>_xll.cegGetOptionBSMGreek(B26,$K$18)</f>
        <v>1.9153390921697968E-3</v>
      </c>
      <c r="L26" s="46">
        <f>_xll.cegGetOptionBSMGreek(C26,$K$18)</f>
        <v>4.0144881197870051E-3</v>
      </c>
      <c r="M26" s="47">
        <f>_xll.cegGetOptionBSMGreek(D26,$K$18)</f>
        <v>4.556235953817679E-3</v>
      </c>
      <c r="N26" s="59">
        <f>_xll.cegGetOptionBSMGreek(B26,$N$18)</f>
        <v>1.0495008724218056</v>
      </c>
      <c r="O26" s="60">
        <f>_xll.cegGetOptionBSMGreek(C26,$N$18)</f>
        <v>4.3994390353830335</v>
      </c>
      <c r="P26" s="61">
        <f>_xll.cegGetOptionBSMGreek(D26,$N$18)</f>
        <v>7.4897029377824875</v>
      </c>
      <c r="Q26" s="45">
        <f>_xll.cegGetOptionBSMGreek(B26,$Q$18)</f>
        <v>-8.0920043424348389</v>
      </c>
      <c r="R26" s="46">
        <f>_xll.cegGetOptionBSMGreek(C26,$Q$18)</f>
        <v>-8.1062128451092352</v>
      </c>
      <c r="S26" s="47">
        <f>_xll.cegGetOptionBSMGreek(D26,$Q$18)</f>
        <v>-7.8707047090027009</v>
      </c>
      <c r="T26" s="59">
        <f>_xll.cegGetOptionBSMGreek(B26,$T$18)</f>
        <v>21.120374038358548</v>
      </c>
      <c r="U26" s="60">
        <f>_xll.cegGetOptionBSMGreek(C26,$T$18)</f>
        <v>40.018165595352521</v>
      </c>
      <c r="V26" s="61">
        <f>_xll.cegGetOptionBSMGreek(D26,$T$18)</f>
        <v>57.201020697856052</v>
      </c>
    </row>
    <row r="27" spans="1:22" x14ac:dyDescent="0.25">
      <c r="A27" s="31">
        <v>85</v>
      </c>
      <c r="B27" s="36" t="str">
        <f>_xll.cegEuropeanOptionBlackScholes(B$19&amp;"_"&amp;$A27,$B$9,$B$2,$A27,B$19,$B$4,$D$4,$D$3)</f>
        <v>OPTION@42150_85#21:05:20</v>
      </c>
      <c r="C27" s="37" t="str">
        <f>_xll.cegEuropeanOptionBlackScholes(C$19&amp;"_"&amp;$A27,$B$9,$B$2,$A27,C$19,$B$4,$D$4,$D$3)</f>
        <v>OPTION@42250_85#21:05:22</v>
      </c>
      <c r="D27" s="38" t="str">
        <f>_xll.cegEuropeanOptionBlackScholes(D$19&amp;"_"&amp;$A27,$B$9,$B$2,$A27,D$19,$B$4,$D$4,$D$3)</f>
        <v>OPTION@42350_85#21:05:22</v>
      </c>
      <c r="E27" s="45">
        <f>_xll.cegGetOptionBSMGreek(B27,$E$18)</f>
        <v>17.428151056675404</v>
      </c>
      <c r="F27" s="46">
        <f>_xll.cegGetOptionBSMGreek(C27,$E$18)</f>
        <v>19.950018434603862</v>
      </c>
      <c r="G27" s="47">
        <f>_xll.cegGetOptionBSMGreek(D27,$E$18)</f>
        <v>22.361716602029933</v>
      </c>
      <c r="H27" s="59">
        <f>_xll.cegGetOptionBSMGreek(B27,$H$18)</f>
        <v>0.96901527371485274</v>
      </c>
      <c r="I27" s="60">
        <f>_xll.cegGetOptionBSMGreek(C27,$H$18)</f>
        <v>0.93845042555180658</v>
      </c>
      <c r="J27" s="61">
        <f>_xll.cegGetOptionBSMGreek(D27,$H$18)</f>
        <v>0.92510466179885897</v>
      </c>
      <c r="K27" s="45">
        <f>_xll.cegGetOptionBSMGreek(B27,$K$18)</f>
        <v>6.6759421305251027E-3</v>
      </c>
      <c r="L27" s="46">
        <f>_xll.cegGetOptionBSMGreek(C27,$K$18)</f>
        <v>8.2083720036389748E-3</v>
      </c>
      <c r="M27" s="47">
        <f>_xll.cegGetOptionBSMGreek(D27,$K$18)</f>
        <v>7.7986551112496968E-3</v>
      </c>
      <c r="N27" s="59">
        <f>_xll.cegGetOptionBSMGreek(B27,$N$18)</f>
        <v>3.6580504824795126</v>
      </c>
      <c r="O27" s="60">
        <f>_xll.cegGetOptionBSMGreek(C27,$N$18)</f>
        <v>8.9954761683714839</v>
      </c>
      <c r="P27" s="61">
        <f>_xll.cegGetOptionBSMGreek(D27,$N$18)</f>
        <v>12.819707032191257</v>
      </c>
      <c r="Q27" s="45">
        <f>_xll.cegGetOptionBSMGreek(B27,$Q$18)</f>
        <v>-9.2825260575860149</v>
      </c>
      <c r="R27" s="46">
        <f>_xll.cegGetOptionBSMGreek(C27,$Q$18)</f>
        <v>-9.0311768127854712</v>
      </c>
      <c r="S27" s="47">
        <f>_xll.cegGetOptionBSMGreek(D27,$Q$18)</f>
        <v>-8.5746059800355479</v>
      </c>
      <c r="T27" s="59">
        <f>_xll.cegGetOptionBSMGreek(B27,$T$18)</f>
        <v>21.77352775748215</v>
      </c>
      <c r="U27" s="60">
        <f>_xll.cegGetOptionBSMGreek(C27,$T$18)</f>
        <v>40.490424175658511</v>
      </c>
      <c r="V27" s="61">
        <f>_xll.cegGetOptionBSMGreek(D27,$T$18)</f>
        <v>57.656506502347369</v>
      </c>
    </row>
    <row r="28" spans="1:22" x14ac:dyDescent="0.25">
      <c r="A28" s="31">
        <v>90</v>
      </c>
      <c r="B28" s="36" t="str">
        <f>_xll.cegEuropeanOptionBlackScholes(B$19&amp;"_"&amp;$A28,$B$9,$B$2,$A28,B$19,$B$4,$D$4,$D$3)</f>
        <v>OPTION@42150_90#21:05:22</v>
      </c>
      <c r="C28" s="37" t="str">
        <f>_xll.cegEuropeanOptionBlackScholes(C$19&amp;"_"&amp;$A28,$B$9,$B$2,$A28,C$19,$B$4,$D$4,$D$3)</f>
        <v>OPTION@42250_90#21:05:22</v>
      </c>
      <c r="D28" s="38" t="str">
        <f>_xll.cegEuropeanOptionBlackScholes(D$19&amp;"_"&amp;$A28,$B$9,$B$2,$A28,D$19,$B$4,$D$4,$D$3)</f>
        <v>OPTION@42350_90#21:05:19</v>
      </c>
      <c r="E28" s="45">
        <f>_xll.cegGetOptionBSMGreek(B28,$E$18)</f>
        <v>12.90888210513222</v>
      </c>
      <c r="F28" s="46">
        <f>_xll.cegGetOptionBSMGreek(C28,$E$18)</f>
        <v>15.769070752637845</v>
      </c>
      <c r="G28" s="47">
        <f>_xll.cegGetOptionBSMGreek(D28,$E$18)</f>
        <v>18.385773664904224</v>
      </c>
      <c r="H28" s="59">
        <f>_xll.cegGetOptionBSMGreek(B28,$H$18)</f>
        <v>0.9066674778277225</v>
      </c>
      <c r="I28" s="60">
        <f>_xll.cegGetOptionBSMGreek(C28,$H$18)</f>
        <v>0.87612076771477843</v>
      </c>
      <c r="J28" s="61">
        <f>_xll.cegGetOptionBSMGreek(D28,$H$18)</f>
        <v>0.86971292201024974</v>
      </c>
      <c r="K28" s="45">
        <f>_xll.cegGetOptionBSMGreek(B28,$K$18)</f>
        <v>1.5935920226396613E-2</v>
      </c>
      <c r="L28" s="46">
        <f>_xll.cegGetOptionBSMGreek(C28,$K$18)</f>
        <v>1.3817348067151158E-2</v>
      </c>
      <c r="M28" s="47">
        <f>_xll.cegGetOptionBSMGreek(D28,$K$18)</f>
        <v>1.1684812372074922E-2</v>
      </c>
      <c r="N28" s="59">
        <f>_xll.cegGetOptionBSMGreek(B28,$N$18)</f>
        <v>8.732011082957019</v>
      </c>
      <c r="O28" s="60">
        <f>_xll.cegGetOptionBSMGreek(C28,$N$18)</f>
        <v>15.142299251672481</v>
      </c>
      <c r="P28" s="61">
        <f>_xll.cegGetOptionBSMGreek(D28,$N$18)</f>
        <v>19.207910748616325</v>
      </c>
      <c r="Q28" s="45">
        <f>_xll.cegGetOptionBSMGreek(B28,$Q$18)</f>
        <v>-10.962970613043334</v>
      </c>
      <c r="R28" s="46">
        <f>_xll.cegGetOptionBSMGreek(C28,$Q$18)</f>
        <v>-9.9477702153142307</v>
      </c>
      <c r="S28" s="47">
        <f>_xll.cegGetOptionBSMGreek(D28,$Q$18)</f>
        <v>-9.1955143280270697</v>
      </c>
      <c r="T28" s="59">
        <f>_xll.cegGetOptionBSMGreek(B28,$T$18)</f>
        <v>21.303524843189059</v>
      </c>
      <c r="U28" s="60">
        <f>_xll.cegGetOptionBSMGreek(C28,$T$18)</f>
        <v>39.366030695254778</v>
      </c>
      <c r="V28" s="61">
        <f>_xll.cegGetOptionBSMGreek(D28,$T$18)</f>
        <v>56.371659070784197</v>
      </c>
    </row>
    <row r="29" spans="1:22" x14ac:dyDescent="0.25">
      <c r="A29" s="31">
        <v>95</v>
      </c>
      <c r="B29" s="36" t="str">
        <f>_xll.cegEuropeanOptionBlackScholes(B$19&amp;"_"&amp;$A29,$B$9,$B$2,$A29,B$19,$B$4,$D$4,$D$3)</f>
        <v>OPTION@42150_95#21:05:22</v>
      </c>
      <c r="C29" s="37" t="str">
        <f>_xll.cegEuropeanOptionBlackScholes(C$19&amp;"_"&amp;$A29,$B$9,$B$2,$A29,C$19,$B$4,$D$4,$D$3)</f>
        <v>OPTION@42250_95#21:05:22</v>
      </c>
      <c r="D29" s="38" t="str">
        <f>_xll.cegEuropeanOptionBlackScholes(D$19&amp;"_"&amp;$A29,$B$9,$B$2,$A29,D$19,$B$4,$D$4,$D$3)</f>
        <v>OPTION@42350_95#21:05:19</v>
      </c>
      <c r="E29" s="45">
        <f>_xll.cegGetOptionBSMGreek(B29,$E$18)</f>
        <v>8.8826569531374631</v>
      </c>
      <c r="F29" s="46">
        <f>_xll.cegGetOptionBSMGreek(C29,$E$18)</f>
        <v>12.012659391515989</v>
      </c>
      <c r="G29" s="47">
        <f>_xll.cegGetOptionBSMGreek(D29,$E$18)</f>
        <v>14.768916249512143</v>
      </c>
      <c r="H29" s="59">
        <f>_xll.cegGetOptionBSMGreek(B29,$H$18)</f>
        <v>0.78931100120544728</v>
      </c>
      <c r="I29" s="60">
        <f>_xll.cegGetOptionBSMGreek(C29,$H$18)</f>
        <v>0.78541333445838069</v>
      </c>
      <c r="J29" s="61">
        <f>_xll.cegGetOptionBSMGreek(D29,$H$18)</f>
        <v>0.79583819715435589</v>
      </c>
      <c r="K29" s="45">
        <f>_xll.cegGetOptionBSMGreek(B29,$K$18)</f>
        <v>2.7583386025393623E-2</v>
      </c>
      <c r="L29" s="46">
        <f>_xll.cegGetOptionBSMGreek(C29,$K$18)</f>
        <v>1.9714308883397837E-2</v>
      </c>
      <c r="M29" s="47">
        <f>_xll.cegGetOptionBSMGreek(D29,$K$18)</f>
        <v>1.563174319305221E-2</v>
      </c>
      <c r="N29" s="59">
        <f>_xll.cegGetOptionBSMGreek(B29,$N$18)</f>
        <v>15.114184123503337</v>
      </c>
      <c r="O29" s="60">
        <f>_xll.cegGetOptionBSMGreek(C29,$N$18)</f>
        <v>21.604722063997595</v>
      </c>
      <c r="P29" s="61">
        <f>_xll.cegGetOptionBSMGreek(D29,$N$18)</f>
        <v>25.696016207757051</v>
      </c>
      <c r="Q29" s="45">
        <f>_xll.cegGetOptionBSMGreek(B29,$Q$18)</f>
        <v>-12.521521521819457</v>
      </c>
      <c r="R29" s="46">
        <f>_xll.cegGetOptionBSMGreek(C29,$Q$18)</f>
        <v>-10.595729182111775</v>
      </c>
      <c r="S29" s="47">
        <f>_xll.cegGetOptionBSMGreek(D29,$Q$18)</f>
        <v>-9.6078389852027968</v>
      </c>
      <c r="T29" s="59">
        <f>_xll.cegGetOptionBSMGreek(B29,$T$18)</f>
        <v>19.19135429244033</v>
      </c>
      <c r="U29" s="60">
        <f>_xll.cegGetOptionBSMGreek(C29,$T$18)</f>
        <v>36.454067974971025</v>
      </c>
      <c r="V29" s="61">
        <f>_xll.cegGetOptionBSMGreek(D29,$T$18)</f>
        <v>53.272523396649376</v>
      </c>
    </row>
    <row r="30" spans="1:22" x14ac:dyDescent="0.25">
      <c r="A30" s="31">
        <v>100</v>
      </c>
      <c r="B30" s="36" t="str">
        <f>_xll.cegEuropeanOptionBlackScholes(B$19&amp;"_"&amp;$A30,$B$9,$B$2,$A30,B$19,$B$4,$D$4,$D$3)</f>
        <v>OPTION@42150_100#21:05:15</v>
      </c>
      <c r="C30" s="37" t="str">
        <f>_xll.cegEuropeanOptionBlackScholes(C$19&amp;"_"&amp;$A30,$B$9,$B$2,$A30,C$19,$B$4,$D$4,$D$3)</f>
        <v>OPTION@42250_100#21:05:22</v>
      </c>
      <c r="D30" s="38" t="str">
        <f>_xll.cegEuropeanOptionBlackScholes(D$19&amp;"_"&amp;$A30,$B$9,$B$2,$A30,D$19,$B$4,$D$4,$D$3)</f>
        <v>OPTION@42350_100#21:05:22</v>
      </c>
      <c r="E30" s="45">
        <f>_xll.cegGetOptionBSMGreek(B30,$E$18)</f>
        <v>5.6093620613153421</v>
      </c>
      <c r="F30" s="46">
        <f>_xll.cegGetOptionBSMGreek(C30,$E$18)</f>
        <v>8.797647070750326</v>
      </c>
      <c r="G30" s="47">
        <f>_xll.cegGetOptionBSMGreek(D30,$E$18)</f>
        <v>11.582454233521405</v>
      </c>
      <c r="H30" s="59">
        <f>_xll.cegGetOptionBSMGreek(B30,$H$18)</f>
        <v>0.62326012131904285</v>
      </c>
      <c r="I30" s="60">
        <f>_xll.cegGetOptionBSMGreek(C30,$H$18)</f>
        <v>0.67152928909201648</v>
      </c>
      <c r="J30" s="61">
        <f>_xll.cegGetOptionBSMGreek(D30,$H$18)</f>
        <v>0.70676484568909836</v>
      </c>
      <c r="K30" s="45">
        <f>_xll.cegGetOptionBSMGreek(B30,$K$18)</f>
        <v>3.6275151947488239E-2</v>
      </c>
      <c r="L30" s="46">
        <f>_xll.cegGetOptionBSMGreek(C30,$K$18)</f>
        <v>2.4416138528288861E-2</v>
      </c>
      <c r="M30" s="47">
        <f>_xll.cegGetOptionBSMGreek(D30,$K$18)</f>
        <v>1.8976411468504775E-2</v>
      </c>
      <c r="N30" s="59">
        <f>_xll.cegGetOptionBSMGreek(B30,$N$18)</f>
        <v>19.876795587664784</v>
      </c>
      <c r="O30" s="60">
        <f>_xll.cegGetOptionBSMGreek(C30,$N$18)</f>
        <v>26.757412085795977</v>
      </c>
      <c r="P30" s="61">
        <f>_xll.cegGetOptionBSMGreek(D30,$N$18)</f>
        <v>31.194101044117424</v>
      </c>
      <c r="Q30" s="45">
        <f>_xll.cegGetOptionBSMGreek(B30,$Q$18)</f>
        <v>-12.926695396556548</v>
      </c>
      <c r="R30" s="46">
        <f>_xll.cegGetOptionBSMGreek(C30,$Q$18)</f>
        <v>-10.718755889502903</v>
      </c>
      <c r="S30" s="47">
        <f>_xll.cegGetOptionBSMGreek(D30,$Q$18)</f>
        <v>-9.7046853272398081</v>
      </c>
      <c r="T30" s="59">
        <f>_xll.cegGetOptionBSMGreek(B30,$T$18)</f>
        <v>15.538808238517511</v>
      </c>
      <c r="U30" s="60">
        <f>_xll.cegGetOptionBSMGreek(C30,$T$18)</f>
        <v>31.975496897781575</v>
      </c>
      <c r="V30" s="61">
        <f>_xll.cegGetOptionBSMGreek(D30,$T$18)</f>
        <v>48.570435892100051</v>
      </c>
    </row>
    <row r="31" spans="1:22" x14ac:dyDescent="0.25">
      <c r="A31" s="31">
        <v>105</v>
      </c>
      <c r="B31" s="36" t="str">
        <f>_xll.cegEuropeanOptionBlackScholes(B$19&amp;"_"&amp;$A31,$B$9,$B$2,$A31,B$19,$B$4,$D$4,$D$3)</f>
        <v>OPTION@42150_105#21:05:22</v>
      </c>
      <c r="C31" s="37" t="str">
        <f>_xll.cegEuropeanOptionBlackScholes(C$19&amp;"_"&amp;$A31,$B$9,$B$2,$A31,C$19,$B$4,$D$4,$D$3)</f>
        <v>OPTION@42250_105#21:05:18</v>
      </c>
      <c r="D31" s="38" t="str">
        <f>_xll.cegEuropeanOptionBlackScholes(D$19&amp;"_"&amp;$A31,$B$9,$B$2,$A31,D$19,$B$4,$D$4,$D$3)</f>
        <v>OPTION@42350_105#21:05:19</v>
      </c>
      <c r="E31" s="45">
        <f>_xll.cegGetOptionBSMGreek(B31,$E$18)</f>
        <v>3.2260930891388537</v>
      </c>
      <c r="F31" s="46">
        <f>_xll.cegGetOptionBSMGreek(C31,$E$18)</f>
        <v>6.1873022674253413</v>
      </c>
      <c r="G31" s="47">
        <f>_xll.cegGetOptionBSMGreek(D31,$E$18)</f>
        <v>8.8674192398968721</v>
      </c>
      <c r="H31" s="59">
        <f>_xll.cegGetOptionBSMGreek(B31,$H$18)</f>
        <v>0.43958832724087621</v>
      </c>
      <c r="I31" s="60">
        <f>_xll.cegGetOptionBSMGreek(C31,$H$18)</f>
        <v>0.54561118762123428</v>
      </c>
      <c r="J31" s="61">
        <f>_xll.cegGetOptionBSMGreek(D31,$H$18)</f>
        <v>0.60829346478987156</v>
      </c>
      <c r="K31" s="45">
        <f>_xll.cegGetOptionBSMGreek(B31,$K$18)</f>
        <v>3.7671132108679478E-2</v>
      </c>
      <c r="L31" s="46">
        <f>_xll.cegGetOptionBSMGreek(C31,$K$18)</f>
        <v>2.6770756557666687E-2</v>
      </c>
      <c r="M31" s="47">
        <f>_xll.cegGetOptionBSMGreek(D31,$K$18)</f>
        <v>2.1186497397774371E-2</v>
      </c>
      <c r="N31" s="59">
        <f>_xll.cegGetOptionBSMGreek(B31,$N$18)</f>
        <v>20.641716223933969</v>
      </c>
      <c r="O31" s="60">
        <f>_xll.cegGetOptionBSMGreek(C31,$N$18)</f>
        <v>29.337815405662116</v>
      </c>
      <c r="P31" s="61">
        <f>_xll.cegGetOptionBSMGreek(D31,$N$18)</f>
        <v>34.82711901004005</v>
      </c>
      <c r="Q31" s="45">
        <f>_xll.cegGetOptionBSMGreek(B31,$Q$18)</f>
        <v>-11.607500385230777</v>
      </c>
      <c r="R31" s="46">
        <f>_xll.cegGetOptionBSMGreek(C31,$Q$18)</f>
        <v>-10.191532961003144</v>
      </c>
      <c r="S31" s="47">
        <f>_xll.cegGetOptionBSMGreek(D31,$Q$18)</f>
        <v>-9.4334922034639099</v>
      </c>
      <c r="T31" s="59">
        <f>_xll.cegGetOptionBSMGreek(B31,$T$18)</f>
        <v>11.159654694506491</v>
      </c>
      <c r="U31" s="60">
        <f>_xll.cegGetOptionBSMGreek(C31,$T$18)</f>
        <v>26.506200819012683</v>
      </c>
      <c r="V31" s="61">
        <f>_xll.cegGetOptionBSMGreek(D31,$T$18)</f>
        <v>42.70843334719747</v>
      </c>
    </row>
    <row r="32" spans="1:22" x14ac:dyDescent="0.25">
      <c r="A32" s="31">
        <v>110</v>
      </c>
      <c r="B32" s="36" t="str">
        <f>_xll.cegEuropeanOptionBlackScholes(B$19&amp;"_"&amp;$A32,$B$9,$B$2,$A32,B$19,$B$4,$D$4,$D$3)</f>
        <v>OPTION@42150_110#21:05:22</v>
      </c>
      <c r="C32" s="37" t="str">
        <f>_xll.cegEuropeanOptionBlackScholes(C$19&amp;"_"&amp;$A32,$B$9,$B$2,$A32,C$19,$B$4,$D$4,$D$3)</f>
        <v>OPTION@42250_110#21:05:22</v>
      </c>
      <c r="D32" s="38" t="str">
        <f>_xll.cegEuropeanOptionBlackScholes(D$19&amp;"_"&amp;$A32,$B$9,$B$2,$A32,D$19,$B$4,$D$4,$D$3)</f>
        <v>OPTION@42350_110#21:05:22</v>
      </c>
      <c r="E32" s="45">
        <f>_xll.cegGetOptionBSMGreek(B32,$E$18)</f>
        <v>1.684946662730552</v>
      </c>
      <c r="F32" s="46">
        <f>_xll.cegGetOptionBSMGreek(C32,$E$18)</f>
        <v>4.1791212363042405</v>
      </c>
      <c r="G32" s="47">
        <f>_xll.cegGetOptionBSMGreek(D32,$E$18)</f>
        <v>6.6301222597669645</v>
      </c>
      <c r="H32" s="59">
        <f>_xll.cegGetOptionBSMGreek(B32,$H$18)</f>
        <v>0.27545573648582899</v>
      </c>
      <c r="I32" s="60">
        <f>_xll.cegGetOptionBSMGreek(C32,$H$18)</f>
        <v>0.42087915976463985</v>
      </c>
      <c r="J32" s="61">
        <f>_xll.cegGetOptionBSMGreek(D32,$H$18)</f>
        <v>0.50730422413760445</v>
      </c>
      <c r="K32" s="45">
        <f>_xll.cegGetOptionBSMGreek(B32,$K$18)</f>
        <v>3.1899956339162323E-2</v>
      </c>
      <c r="L32" s="46">
        <f>_xll.cegGetOptionBSMGreek(C32,$K$18)</f>
        <v>2.6415353821696224E-2</v>
      </c>
      <c r="M32" s="47">
        <f>_xll.cegGetOptionBSMGreek(D32,$K$18)</f>
        <v>2.1998500318131661E-2</v>
      </c>
      <c r="N32" s="59">
        <f>_xll.cegGetOptionBSMGreek(B32,$N$18)</f>
        <v>17.479428131047868</v>
      </c>
      <c r="O32" s="60">
        <f>_xll.cegGetOptionBSMGreek(C32,$N$18)</f>
        <v>28.948332955283526</v>
      </c>
      <c r="P32" s="61">
        <f>_xll.cegGetOptionBSMGreek(D32,$N$18)</f>
        <v>36.161918331175329</v>
      </c>
      <c r="Q32" s="45">
        <f>_xll.cegGetOptionBSMGreek(B32,$Q$18)</f>
        <v>-8.9660539664177019</v>
      </c>
      <c r="R32" s="46">
        <f>_xll.cegGetOptionBSMGreek(C32,$Q$18)</f>
        <v>-9.07395023835522</v>
      </c>
      <c r="S32" s="47">
        <f>_xll.cegGetOptionBSMGreek(D32,$Q$18)</f>
        <v>-8.8097300790256874</v>
      </c>
      <c r="T32" s="59">
        <f>_xll.cegGetOptionBSMGreek(B32,$T$18)</f>
        <v>7.08510328379516</v>
      </c>
      <c r="U32" s="60">
        <f>_xll.cegGetOptionBSMGreek(C32,$T$18)</f>
        <v>20.77194232337521</v>
      </c>
      <c r="V32" s="61">
        <f>_xll.cegGetOptionBSMGreek(D32,$T$18)</f>
        <v>36.246822044378213</v>
      </c>
    </row>
    <row r="33" spans="1:22" x14ac:dyDescent="0.25">
      <c r="A33" s="31">
        <v>115</v>
      </c>
      <c r="B33" s="36" t="str">
        <f>_xll.cegEuropeanOptionBlackScholes(B$19&amp;"_"&amp;$A33,$B$9,$B$2,$A33,B$19,$B$4,$D$4,$D$3)</f>
        <v>OPTION@42150_115#21:05:22</v>
      </c>
      <c r="C33" s="37" t="str">
        <f>_xll.cegEuropeanOptionBlackScholes(C$19&amp;"_"&amp;$A33,$B$9,$B$2,$A33,C$19,$B$4,$D$4,$D$3)</f>
        <v>OPTION@42250_115#21:05:22</v>
      </c>
      <c r="D33" s="38" t="str">
        <f>_xll.cegEuropeanOptionBlackScholes(D$19&amp;"_"&amp;$A33,$B$9,$B$2,$A33,D$19,$B$4,$D$4,$D$3)</f>
        <v>OPTION@42350_115#21:05:22</v>
      </c>
      <c r="E33" s="45">
        <f>_xll.cegGetOptionBSMGreek(B33,$E$18)</f>
        <v>0.80002507579832705</v>
      </c>
      <c r="F33" s="46">
        <f>_xll.cegGetOptionBSMGreek(C33,$E$18)</f>
        <v>2.713795890670172</v>
      </c>
      <c r="G33" s="47">
        <f>_xll.cegGetOptionBSMGreek(D33,$E$18)</f>
        <v>4.8453948840465699</v>
      </c>
      <c r="H33" s="59">
        <f>_xll.cegGetOptionBSMGreek(B33,$H$18)</f>
        <v>0.153622546415983</v>
      </c>
      <c r="I33" s="60">
        <f>_xll.cegGetOptionBSMGreek(C33,$H$18)</f>
        <v>0.30857274289952735</v>
      </c>
      <c r="J33" s="61">
        <f>_xll.cegGetOptionBSMGreek(D33,$H$18)</f>
        <v>0.41027124781720281</v>
      </c>
      <c r="K33" s="45">
        <f>_xll.cegGetOptionBSMGreek(B33,$K$18)</f>
        <v>2.2628437577600548E-2</v>
      </c>
      <c r="L33" s="46">
        <f>_xll.cegGetOptionBSMGreek(C33,$K$18)</f>
        <v>2.378189212809163E-2</v>
      </c>
      <c r="M33" s="47">
        <f>_xll.cegGetOptionBSMGreek(D33,$K$18)</f>
        <v>2.1443296238233996E-2</v>
      </c>
      <c r="N33" s="59">
        <f>_xll.cegGetOptionBSMGreek(B33,$N$18)</f>
        <v>12.399143878137286</v>
      </c>
      <c r="O33" s="60">
        <f>_xll.cegGetOptionBSMGreek(C33,$N$18)</f>
        <v>26.062347537634665</v>
      </c>
      <c r="P33" s="61">
        <f>_xll.cegGetOptionBSMGreek(D33,$N$18)</f>
        <v>35.249254090247682</v>
      </c>
      <c r="Q33" s="45">
        <f>_xll.cegGetOptionBSMGreek(B33,$Q$18)</f>
        <v>-5.9819104721001093</v>
      </c>
      <c r="R33" s="46">
        <f>_xll.cegGetOptionBSMGreek(C33,$Q$18)</f>
        <v>-7.5707262655465817</v>
      </c>
      <c r="S33" s="47">
        <f>_xll.cegGetOptionBSMGreek(D33,$Q$18)</f>
        <v>-7.906832237414176</v>
      </c>
      <c r="T33" s="59">
        <f>_xll.cegGetOptionBSMGreek(B33,$T$18)</f>
        <v>3.9896519358355955</v>
      </c>
      <c r="U33" s="60">
        <f>_xll.cegGetOptionBSMGreek(C33,$T$18)</f>
        <v>15.421084054401414</v>
      </c>
      <c r="V33" s="61">
        <f>_xll.cegGetOptionBSMGreek(D33,$T$18)</f>
        <v>29.73840813507433</v>
      </c>
    </row>
    <row r="34" spans="1:22" x14ac:dyDescent="0.25">
      <c r="A34" s="31">
        <v>120</v>
      </c>
      <c r="B34" s="36" t="str">
        <f>_xll.cegEuropeanOptionBlackScholes(B$19&amp;"_"&amp;$A34,$B$9,$B$2,$A34,B$19,$B$4,$D$4,$D$3)</f>
        <v>OPTION@42150_120#21:05:18</v>
      </c>
      <c r="C34" s="37" t="str">
        <f>_xll.cegEuropeanOptionBlackScholes(C$19&amp;"_"&amp;$A34,$B$9,$B$2,$A34,C$19,$B$4,$D$4,$D$3)</f>
        <v>OPTION@42250_120#21:05:22</v>
      </c>
      <c r="D34" s="38" t="str">
        <f>_xll.cegEuropeanOptionBlackScholes(D$19&amp;"_"&amp;$A34,$B$9,$B$2,$A34,D$19,$B$4,$D$4,$D$3)</f>
        <v>OPTION@42350_120#21:05:22</v>
      </c>
      <c r="E34" s="45">
        <f>_xll.cegGetOptionBSMGreek(B34,$E$18)</f>
        <v>0.34664413901543645</v>
      </c>
      <c r="F34" s="46">
        <f>_xll.cegGetOptionBSMGreek(C34,$E$18)</f>
        <v>1.6972109904030241</v>
      </c>
      <c r="G34" s="47">
        <f>_xll.cegGetOptionBSMGreek(D34,$E$18)</f>
        <v>3.4649598715028551</v>
      </c>
      <c r="H34" s="59">
        <f>_xll.cegGetOptionBSMGreek(B34,$H$18)</f>
        <v>7.6707850220206833E-2</v>
      </c>
      <c r="I34" s="60">
        <f>_xll.cegGetOptionBSMGreek(C34,$H$18)</f>
        <v>0.21553137162652122</v>
      </c>
      <c r="J34" s="61">
        <f>_xll.cegGetOptionBSMGreek(D34,$H$18)</f>
        <v>0.32219517212117865</v>
      </c>
      <c r="K34" s="45">
        <f>_xll.cegGetOptionBSMGreek(B34,$K$18)</f>
        <v>1.3755932503804115E-2</v>
      </c>
      <c r="L34" s="46">
        <f>_xll.cegGetOptionBSMGreek(C34,$K$18)</f>
        <v>1.9764655427412021E-2</v>
      </c>
      <c r="M34" s="47">
        <f>_xll.cegGetOptionBSMGreek(D34,$K$18)</f>
        <v>1.977896275845074E-2</v>
      </c>
      <c r="N34" s="59">
        <f>_xll.cegGetOptionBSMGreek(B34,$N$18)</f>
        <v>7.5374972623584009</v>
      </c>
      <c r="O34" s="60">
        <f>_xll.cegGetOptionBSMGreek(C34,$N$18)</f>
        <v>21.659896358807689</v>
      </c>
      <c r="P34" s="61">
        <f>_xll.cegGetOptionBSMGreek(D34,$N$18)</f>
        <v>32.513363438549163</v>
      </c>
      <c r="Q34" s="45">
        <f>_xll.cegGetOptionBSMGreek(B34,$Q$18)</f>
        <v>-3.4836005890613491</v>
      </c>
      <c r="R34" s="46">
        <f>_xll.cegGetOptionBSMGreek(C34,$Q$18)</f>
        <v>-5.9385237027073146</v>
      </c>
      <c r="S34" s="47">
        <f>_xll.cegGetOptionBSMGreek(D34,$Q$18)</f>
        <v>-6.8312482857516539</v>
      </c>
      <c r="T34" s="59">
        <f>_xll.cegGetOptionBSMGreek(B34,$T$18)</f>
        <v>2.0066139405493848</v>
      </c>
      <c r="U34" s="60">
        <f>_xll.cegGetOptionBSMGreek(C34,$T$18)</f>
        <v>10.879959546437862</v>
      </c>
      <c r="V34" s="61">
        <f>_xll.cegGetOptionBSMGreek(D34,$T$18)</f>
        <v>23.633882745710945</v>
      </c>
    </row>
    <row r="35" spans="1:22" x14ac:dyDescent="0.25">
      <c r="A35" s="31">
        <v>125</v>
      </c>
      <c r="B35" s="36" t="str">
        <f>_xll.cegEuropeanOptionBlackScholes(B$19&amp;"_"&amp;$A35,$B$9,$B$2,$A35,B$19,$B$4,$D$4,$D$3)</f>
        <v>OPTION@42150_125#21:05:22</v>
      </c>
      <c r="C35" s="37" t="str">
        <f>_xll.cegEuropeanOptionBlackScholes(C$19&amp;"_"&amp;$A35,$B$9,$B$2,$A35,C$19,$B$4,$D$4,$D$3)</f>
        <v>OPTION@42250_125#21:05:22</v>
      </c>
      <c r="D35" s="38" t="str">
        <f>_xll.cegEuropeanOptionBlackScholes(D$19&amp;"_"&amp;$A35,$B$9,$B$2,$A35,D$19,$B$4,$D$4,$D$3)</f>
        <v>OPTION@42350_125#21:05:15</v>
      </c>
      <c r="E35" s="45">
        <f>_xll.cegGetOptionBSMGreek(B35,$E$18)</f>
        <v>0.13781699652911444</v>
      </c>
      <c r="F35" s="46">
        <f>_xll.cegGetOptionBSMGreek(C35,$E$18)</f>
        <v>1.0244937938479619</v>
      </c>
      <c r="G35" s="47">
        <f>_xll.cegGetOptionBSMGreek(D35,$E$18)</f>
        <v>2.4276435369635814</v>
      </c>
      <c r="H35" s="59">
        <f>_xll.cegGetOptionBSMGreek(B35,$H$18)</f>
        <v>3.4568655196932072E-2</v>
      </c>
      <c r="I35" s="60">
        <f>_xll.cegGetOptionBSMGreek(C35,$H$18)</f>
        <v>0.14386563526652577</v>
      </c>
      <c r="J35" s="61">
        <f>_xll.cegGetOptionBSMGreek(D35,$H$18)</f>
        <v>0.24613345477045323</v>
      </c>
      <c r="K35" s="45">
        <f>_xll.cegGetOptionBSMGreek(B35,$K$18)</f>
        <v>7.3064387976447967E-3</v>
      </c>
      <c r="L35" s="46">
        <f>_xll.cegGetOptionBSMGreek(C35,$K$18)</f>
        <v>1.5314056853435537E-2</v>
      </c>
      <c r="M35" s="47">
        <f>_xll.cegGetOptionBSMGreek(D35,$K$18)</f>
        <v>1.7380660834570641E-2</v>
      </c>
      <c r="N35" s="59">
        <f>_xll.cegGetOptionBSMGreek(B35,$N$18)</f>
        <v>4.003528108298533</v>
      </c>
      <c r="O35" s="60">
        <f>_xll.cegGetOptionBSMGreek(C35,$N$18)</f>
        <v>16.782528058559492</v>
      </c>
      <c r="P35" s="61">
        <f>_xll.cegGetOptionBSMGreek(D35,$N$18)</f>
        <v>28.570949317102404</v>
      </c>
      <c r="Q35" s="45">
        <f>_xll.cegGetOptionBSMGreek(B35,$Q$18)</f>
        <v>-1.7931926118453692</v>
      </c>
      <c r="R35" s="46">
        <f>_xll.cegGetOptionBSMGreek(C35,$Q$18)</f>
        <v>-4.399018343967569</v>
      </c>
      <c r="S35" s="47">
        <f>_xll.cegGetOptionBSMGreek(D35,$Q$18)</f>
        <v>-5.6947023609223066</v>
      </c>
      <c r="T35" s="59">
        <f>_xll.cegGetOptionBSMGreek(B35,$T$18)</f>
        <v>0.90932836251071014</v>
      </c>
      <c r="U35" s="60">
        <f>_xll.cegGetOptionBSMGreek(C35,$T$18)</f>
        <v>7.3216820453724081</v>
      </c>
      <c r="V35" s="61">
        <f>_xll.cegGetOptionBSMGreek(D35,$T$18)</f>
        <v>18.234823512395941</v>
      </c>
    </row>
    <row r="36" spans="1:22" x14ac:dyDescent="0.25">
      <c r="A36" s="31">
        <v>130</v>
      </c>
      <c r="B36" s="36" t="str">
        <f>_xll.cegEuropeanOptionBlackScholes(B$19&amp;"_"&amp;$A36,$B$9,$B$2,$A36,B$19,$B$4,$D$4,$D$3)</f>
        <v>OPTION@42150_130#21:05:15</v>
      </c>
      <c r="C36" s="37" t="str">
        <f>_xll.cegEuropeanOptionBlackScholes(C$19&amp;"_"&amp;$A36,$B$9,$B$2,$A36,C$19,$B$4,$D$4,$D$3)</f>
        <v>OPTION@42250_130#21:05:22</v>
      </c>
      <c r="D36" s="38" t="str">
        <f>_xll.cegEuropeanOptionBlackScholes(D$19&amp;"_"&amp;$A36,$B$9,$B$2,$A36,D$19,$B$4,$D$4,$D$3)</f>
        <v>OPTION@42350_130#21:05:22</v>
      </c>
      <c r="E36" s="45">
        <f>_xll.cegGetOptionBSMGreek(B36,$E$18)</f>
        <v>5.0594239648503285E-2</v>
      </c>
      <c r="F36" s="46">
        <f>_xll.cegGetOptionBSMGreek(C36,$E$18)</f>
        <v>0.59834352166328109</v>
      </c>
      <c r="G36" s="47">
        <f>_xll.cegGetOptionBSMGreek(D36,$E$18)</f>
        <v>1.6687382403625217</v>
      </c>
      <c r="H36" s="59">
        <f>_xll.cegGetOptionBSMGreek(B36,$H$18)</f>
        <v>1.4183372794893422E-2</v>
      </c>
      <c r="I36" s="60">
        <f>_xll.cegGetOptionBSMGreek(C36,$H$18)</f>
        <v>9.2083587476748052E-2</v>
      </c>
      <c r="J36" s="61">
        <f>_xll.cegGetOptionBSMGreek(D36,$H$18)</f>
        <v>0.18325893686850186</v>
      </c>
      <c r="K36" s="45">
        <f>_xll.cegGetOptionBSMGreek(B36,$K$18)</f>
        <v>3.4474284429524705E-3</v>
      </c>
      <c r="L36" s="46">
        <f>_xll.cegGetOptionBSMGreek(C36,$K$18)</f>
        <v>1.115668108404287E-2</v>
      </c>
      <c r="M36" s="47">
        <f>_xll.cegGetOptionBSMGreek(D36,$K$18)</f>
        <v>1.4635114796040641E-2</v>
      </c>
      <c r="N36" s="59">
        <f>_xll.cegGetOptionBSMGreek(B36,$N$18)</f>
        <v>1.8890018865493059</v>
      </c>
      <c r="O36" s="60">
        <f>_xll.cegGetOptionBSMGreek(C36,$N$18)</f>
        <v>12.226499818129163</v>
      </c>
      <c r="P36" s="61">
        <f>_xll.cegGetOptionBSMGreek(D36,$N$18)</f>
        <v>24.057722952395597</v>
      </c>
      <c r="Q36" s="45">
        <f>_xll.cegGetOptionBSMGreek(B36,$Q$18)</f>
        <v>-0.82625999257457827</v>
      </c>
      <c r="R36" s="46">
        <f>_xll.cegGetOptionBSMGreek(C36,$Q$18)</f>
        <v>-3.0923377394097264</v>
      </c>
      <c r="S36" s="47">
        <f>_xll.cegGetOptionBSMGreek(D36,$Q$18)</f>
        <v>-4.5927385038568973</v>
      </c>
      <c r="T36" s="59">
        <f>_xll.cegGetOptionBSMGreek(B36,$T$18)</f>
        <v>0.37472412050433923</v>
      </c>
      <c r="U36" s="60">
        <f>_xll.cegGetOptionBSMGreek(C36,$T$18)</f>
        <v>4.7178165621980908</v>
      </c>
      <c r="V36" s="61">
        <f>_xll.cegGetOptionBSMGreek(D36,$T$18)</f>
        <v>13.690812695743288</v>
      </c>
    </row>
    <row r="37" spans="1:22" x14ac:dyDescent="0.25">
      <c r="A37" s="31">
        <v>135</v>
      </c>
      <c r="B37" s="36" t="str">
        <f>_xll.cegEuropeanOptionBlackScholes(B$19&amp;"_"&amp;$A37,$B$9,$B$2,$A37,B$19,$B$4,$D$4,$D$3)</f>
        <v>OPTION@42150_135#21:05:18</v>
      </c>
      <c r="C37" s="37" t="str">
        <f>_xll.cegEuropeanOptionBlackScholes(C$19&amp;"_"&amp;$A37,$B$9,$B$2,$A37,C$19,$B$4,$D$4,$D$3)</f>
        <v>OPTION@42250_135#21:05:22</v>
      </c>
      <c r="D37" s="38" t="str">
        <f>_xll.cegEuropeanOptionBlackScholes(D$19&amp;"_"&amp;$A37,$B$9,$B$2,$A37,D$19,$B$4,$D$4,$D$3)</f>
        <v>OPTION@42350_135#21:05:22</v>
      </c>
      <c r="E37" s="45">
        <f>_xll.cegGetOptionBSMGreek(B37,$E$18)</f>
        <v>1.7264034417595383E-2</v>
      </c>
      <c r="F37" s="46">
        <f>_xll.cegGetOptionBSMGreek(C37,$E$18)</f>
        <v>0.33896389381536246</v>
      </c>
      <c r="G37" s="47">
        <f>_xll.cegGetOptionBSMGreek(D37,$E$18)</f>
        <v>1.1269966693137867</v>
      </c>
      <c r="H37" s="59">
        <f>_xll.cegGetOptionBSMGreek(B37,$H$18)</f>
        <v>5.3447181072747152E-3</v>
      </c>
      <c r="I37" s="60">
        <f>_xll.cegGetOptionBSMGreek(C37,$H$18)</f>
        <v>5.6715864135296883E-2</v>
      </c>
      <c r="J37" s="61">
        <f>_xll.cegGetOptionBSMGreek(D37,$H$18)</f>
        <v>0.13325018268780464</v>
      </c>
      <c r="K37" s="45">
        <f>_xll.cegGetOptionBSMGreek(B37,$K$18)</f>
        <v>1.4657001515255936E-3</v>
      </c>
      <c r="L37" s="46">
        <f>_xll.cegGetOptionBSMGreek(C37,$K$18)</f>
        <v>7.6983132573977073E-3</v>
      </c>
      <c r="M37" s="47">
        <f>_xll.cegGetOptionBSMGreek(D37,$K$18)</f>
        <v>1.1867527765623827E-2</v>
      </c>
      <c r="N37" s="59">
        <f>_xll.cegGetOptionBSMGreek(B37,$N$18)</f>
        <v>0.80312337069895257</v>
      </c>
      <c r="O37" s="60">
        <f>_xll.cegGetOptionBSMGreek(C37,$N$18)</f>
        <v>8.4365076793399307</v>
      </c>
      <c r="P37" s="61">
        <f>_xll.cegGetOptionBSMGreek(D37,$N$18)</f>
        <v>19.508264820203543</v>
      </c>
      <c r="Q37" s="45">
        <f>_xll.cegGetOptionBSMGreek(B37,$Q$18)</f>
        <v>-0.34486080793610641</v>
      </c>
      <c r="R37" s="46">
        <f>_xll.cegGetOptionBSMGreek(C37,$Q$18)</f>
        <v>-2.072924903450974</v>
      </c>
      <c r="S37" s="47">
        <f>_xll.cegGetOptionBSMGreek(D37,$Q$18)</f>
        <v>-3.5933077130714355</v>
      </c>
      <c r="T37" s="59">
        <f>_xll.cegGetOptionBSMGreek(B37,$T$18)</f>
        <v>0.14170076063284304</v>
      </c>
      <c r="U37" s="60">
        <f>_xll.cegGetOptionBSMGreek(C37,$T$18)</f>
        <v>2.921984942309229</v>
      </c>
      <c r="V37" s="61">
        <f>_xll.cegGetOptionBSMGreek(D37,$T$18)</f>
        <v>10.025771177643826</v>
      </c>
    </row>
    <row r="38" spans="1:22" x14ac:dyDescent="0.25">
      <c r="A38" s="31">
        <v>140</v>
      </c>
      <c r="B38" s="36" t="str">
        <f>_xll.cegEuropeanOptionBlackScholes(B$19&amp;"_"&amp;$A38,$B$9,$B$2,$A38,B$19,$B$4,$D$4,$D$3)</f>
        <v>OPTION@42150_140#21:05:16</v>
      </c>
      <c r="C38" s="37" t="str">
        <f>_xll.cegEuropeanOptionBlackScholes(C$19&amp;"_"&amp;$A38,$B$9,$B$2,$A38,C$19,$B$4,$D$4,$D$3)</f>
        <v>OPTION@42250_140#21:05:22</v>
      </c>
      <c r="D38" s="38" t="str">
        <f>_xll.cegEuropeanOptionBlackScholes(D$19&amp;"_"&amp;$A38,$B$9,$B$2,$A38,D$19,$B$4,$D$4,$D$3)</f>
        <v>OPTION@42350_140#21:05:22</v>
      </c>
      <c r="E38" s="45">
        <f>_xll.cegGetOptionBSMGreek(B38,$E$18)</f>
        <v>5.5113822029356175E-3</v>
      </c>
      <c r="F38" s="46">
        <f>_xll.cegGetOptionBSMGreek(C38,$E$18)</f>
        <v>0.18672749806424979</v>
      </c>
      <c r="G38" s="47">
        <f>_xll.cegGetOptionBSMGreek(D38,$E$18)</f>
        <v>0.74885680202003113</v>
      </c>
      <c r="H38" s="59">
        <f>_xll.cegGetOptionBSMGreek(B38,$H$18)</f>
        <v>1.865264706418783E-3</v>
      </c>
      <c r="I38" s="60">
        <f>_xll.cegGetOptionBSMGreek(C38,$H$18)</f>
        <v>3.3729410629354875E-2</v>
      </c>
      <c r="J38" s="61">
        <f>_xll.cegGetOptionBSMGreek(D38,$H$18)</f>
        <v>9.4805580478882032E-2</v>
      </c>
      <c r="K38" s="45">
        <f>_xll.cegGetOptionBSMGreek(B38,$K$18)</f>
        <v>5.6846288592867292E-4</v>
      </c>
      <c r="L38" s="46">
        <f>_xll.cegGetOptionBSMGreek(C38,$K$18)</f>
        <v>5.0630879494794716E-3</v>
      </c>
      <c r="M38" s="47">
        <f>_xll.cegGetOptionBSMGreek(D38,$K$18)</f>
        <v>9.3075301513786107E-3</v>
      </c>
      <c r="N38" s="59">
        <f>_xll.cegGetOptionBSMGreek(B38,$N$18)</f>
        <v>0.31148651283762852</v>
      </c>
      <c r="O38" s="60">
        <f>_xll.cegGetOptionBSMGreek(C38,$N$18)</f>
        <v>5.54858953367612</v>
      </c>
      <c r="P38" s="61">
        <f>_xll.cegGetOptionBSMGreek(D38,$N$18)</f>
        <v>15.300049563910092</v>
      </c>
      <c r="Q38" s="45">
        <f>_xll.cegGetOptionBSMGreek(B38,$Q$18)</f>
        <v>-0.13179408602962889</v>
      </c>
      <c r="R38" s="46">
        <f>_xll.cegGetOptionBSMGreek(C38,$Q$18)</f>
        <v>-1.3312389463830181</v>
      </c>
      <c r="S38" s="47">
        <f>_xll.cegGetOptionBSMGreek(D38,$Q$18)</f>
        <v>-2.7346761548625413</v>
      </c>
      <c r="T38" s="59">
        <f>_xll.cegGetOptionBSMGreek(B38,$T$18)</f>
        <v>4.9593174914778673E-2</v>
      </c>
      <c r="U38" s="60">
        <f>_xll.cegGetOptionBSMGreek(C38,$T$18)</f>
        <v>1.7458704465047845</v>
      </c>
      <c r="V38" s="61">
        <f>_xll.cegGetOptionBSMGreek(D38,$T$18)</f>
        <v>7.176740750028638</v>
      </c>
    </row>
    <row r="39" spans="1:22" x14ac:dyDescent="0.25">
      <c r="A39" s="31">
        <v>145</v>
      </c>
      <c r="B39" s="36" t="str">
        <f>_xll.cegEuropeanOptionBlackScholes(B$19&amp;"_"&amp;$A39,$B$9,$B$2,$A39,B$19,$B$4,$D$4,$D$3)</f>
        <v>OPTION@42150_145#21:05:15</v>
      </c>
      <c r="C39" s="37" t="str">
        <f>_xll.cegEuropeanOptionBlackScholes(C$19&amp;"_"&amp;$A39,$B$9,$B$2,$A39,C$19,$B$4,$D$4,$D$3)</f>
        <v>OPTION@42250_145#21:05:16</v>
      </c>
      <c r="D39" s="38" t="str">
        <f>_xll.cegEuropeanOptionBlackScholes(D$19&amp;"_"&amp;$A39,$B$9,$B$2,$A39,D$19,$B$4,$D$4,$D$3)</f>
        <v>OPTION@42350_145#21:05:22</v>
      </c>
      <c r="E39" s="45">
        <f>_xll.cegGetOptionBSMGreek(B39,$E$18)</f>
        <v>1.6564228184514861E-3</v>
      </c>
      <c r="F39" s="46">
        <f>_xll.cegGetOptionBSMGreek(C39,$E$18)</f>
        <v>0.10027044648536068</v>
      </c>
      <c r="G39" s="47">
        <f>_xll.cegGetOptionBSMGreek(D39,$E$18)</f>
        <v>0.49024139916520848</v>
      </c>
      <c r="H39" s="59">
        <f>_xll.cegGetOptionBSMGreek(B39,$H$18)</f>
        <v>6.0757164341324597E-4</v>
      </c>
      <c r="I39" s="60">
        <f>_xll.cegGetOptionBSMGreek(C39,$H$18)</f>
        <v>1.94315403131959E-2</v>
      </c>
      <c r="J39" s="61">
        <f>_xll.cegGetOptionBSMGreek(D39,$H$18)</f>
        <v>6.6128175019685362E-2</v>
      </c>
      <c r="K39" s="45">
        <f>_xll.cegGetOptionBSMGreek(B39,$K$18)</f>
        <v>2.0328629830316118E-4</v>
      </c>
      <c r="L39" s="46">
        <f>_xll.cegGetOptionBSMGreek(C39,$K$18)</f>
        <v>3.1913792531404212E-3</v>
      </c>
      <c r="M39" s="47">
        <f>_xll.cegGetOptionBSMGreek(D39,$K$18)</f>
        <v>7.0867924794787525E-3</v>
      </c>
      <c r="N39" s="59">
        <f>_xll.cegGetOptionBSMGreek(B39,$N$18)</f>
        <v>0.1113897524948828</v>
      </c>
      <c r="O39" s="60">
        <f>_xll.cegGetOptionBSMGreek(C39,$N$18)</f>
        <v>3.4974019212497756</v>
      </c>
      <c r="P39" s="61">
        <f>_xll.cegGetOptionBSMGreek(D39,$N$18)</f>
        <v>11.649521884074661</v>
      </c>
      <c r="Q39" s="45">
        <f>_xll.cegGetOptionBSMGreek(B39,$Q$18)</f>
        <v>-4.656733381291956E-2</v>
      </c>
      <c r="R39" s="46">
        <f>_xll.cegGetOptionBSMGreek(C39,$Q$18)</f>
        <v>-0.82256420911150718</v>
      </c>
      <c r="S39" s="47">
        <f>_xll.cegGetOptionBSMGreek(D39,$Q$18)</f>
        <v>-2.0296161061760842</v>
      </c>
      <c r="T39" s="59">
        <f>_xll.cegGetOptionBSMGreek(B39,$T$18)</f>
        <v>1.6191983978869319E-2</v>
      </c>
      <c r="U39" s="60">
        <f>_xll.cegGetOptionBSMGreek(C39,$T$18)</f>
        <v>1.0097992245667089</v>
      </c>
      <c r="V39" s="61">
        <f>_xll.cegGetOptionBSMGreek(D39,$T$18)</f>
        <v>5.0322543310712309</v>
      </c>
    </row>
    <row r="40" spans="1:22" ht="15.75" thickBot="1" x14ac:dyDescent="0.3">
      <c r="A40" s="32">
        <v>150</v>
      </c>
      <c r="B40" s="39" t="str">
        <f>_xll.cegEuropeanOptionBlackScholes(B$19&amp;"_"&amp;$A40,$B$9,$B$2,$A40,B$19,$B$4,$D$4,$D$3)</f>
        <v>OPTION@42150_150#21:05:22</v>
      </c>
      <c r="C40" s="40" t="str">
        <f>_xll.cegEuropeanOptionBlackScholes(C$19&amp;"_"&amp;$A40,$B$9,$B$2,$A40,C$19,$B$4,$D$4,$D$3)</f>
        <v>OPTION@42250_150#21:05:22</v>
      </c>
      <c r="D40" s="41" t="str">
        <f>_xll.cegEuropeanOptionBlackScholes(D$19&amp;"_"&amp;$A40,$B$9,$B$2,$A40,D$19,$B$4,$D$4,$D$3)</f>
        <v>OPTION@42350_150#21:05:16</v>
      </c>
      <c r="E40" s="48">
        <f>_xll.cegGetOptionBSMGreek(B40,$E$18)</f>
        <v>4.7143686600829827E-4</v>
      </c>
      <c r="F40" s="49">
        <f>_xll.cegGetOptionBSMGreek(C40,$E$18)</f>
        <v>5.26083626324493E-2</v>
      </c>
      <c r="G40" s="50">
        <f>_xll.cegGetOptionBSMGreek(D40,$E$18)</f>
        <v>0.31660925474539237</v>
      </c>
      <c r="H40" s="62">
        <f>_xll.cegGetOptionBSMGreek(B40,$H$18)</f>
        <v>1.8603157857366722E-4</v>
      </c>
      <c r="I40" s="63">
        <f>_xll.cegGetOptionBSMGreek(C40,$H$18)</f>
        <v>1.087728164097781E-2</v>
      </c>
      <c r="J40" s="64">
        <f>_xll.cegGetOptionBSMGreek(D40,$H$18)</f>
        <v>4.5300590687671477E-2</v>
      </c>
      <c r="K40" s="48">
        <f>_xll.cegGetOptionBSMGreek(B40,$K$18)</f>
        <v>6.7656568446650486E-5</v>
      </c>
      <c r="L40" s="49">
        <f>_xll.cegGetOptionBSMGreek(C40,$K$18)</f>
        <v>1.9371543762694841E-3</v>
      </c>
      <c r="M40" s="50">
        <f>_xll.cegGetOptionBSMGreek(D40,$K$18)</f>
        <v>5.2556953389601068E-3</v>
      </c>
      <c r="N40" s="62">
        <f>_xll.cegGetOptionBSMGreek(B40,$N$18)</f>
        <v>3.7072092299534426E-2</v>
      </c>
      <c r="O40" s="63">
        <f>_xll.cegGetOptionBSMGreek(C40,$N$18)</f>
        <v>2.122908905500803</v>
      </c>
      <c r="P40" s="64">
        <f>_xll.cegGetOptionBSMGreek(D40,$N$18)</f>
        <v>8.6394991873316744</v>
      </c>
      <c r="Q40" s="48">
        <f>_xll.cegGetOptionBSMGreek(B40,$Q$18)</f>
        <v>-1.5344485788465943E-2</v>
      </c>
      <c r="R40" s="49">
        <f>_xll.cegGetOptionBSMGreek(C40,$Q$18)</f>
        <v>-0.49094285540042998</v>
      </c>
      <c r="S40" s="50">
        <f>_xll.cegGetOptionBSMGreek(D40,$Q$18)</f>
        <v>-1.4724840491941977</v>
      </c>
      <c r="T40" s="62">
        <f>_xll.cegGetOptionBSMGreek(B40,$T$18)</f>
        <v>4.9675947921529575E-3</v>
      </c>
      <c r="U40" s="63">
        <f>_xll.cegGetOptionBSMGreek(C40,$T$18)</f>
        <v>0.56718893230976986</v>
      </c>
      <c r="V40" s="64">
        <f>_xll.cegGetOptionBSMGreek(D40,$T$18)</f>
        <v>3.4631094361822674</v>
      </c>
    </row>
  </sheetData>
  <mergeCells count="7">
    <mergeCell ref="T18:V18"/>
    <mergeCell ref="B18:D18"/>
    <mergeCell ref="E18:G18"/>
    <mergeCell ref="H18:J18"/>
    <mergeCell ref="K18:M18"/>
    <mergeCell ref="N18:P18"/>
    <mergeCell ref="Q18:S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AJ20" sqref="AJ20"/>
    </sheetView>
  </sheetViews>
  <sheetFormatPr defaultRowHeight="15" x14ac:dyDescent="0.25"/>
  <cols>
    <col min="1" max="1" width="12.7109375" customWidth="1"/>
    <col min="2" max="2" width="10.140625" bestFit="1" customWidth="1"/>
    <col min="3" max="3" width="10.7109375" customWidth="1"/>
    <col min="4" max="5" width="12" bestFit="1" customWidth="1"/>
    <col min="6" max="6" width="9.28515625" customWidth="1"/>
    <col min="7" max="7" width="11.7109375" customWidth="1"/>
    <col min="8" max="8" width="10.140625" customWidth="1"/>
    <col min="10" max="10" width="9.7109375" bestFit="1" customWidth="1"/>
    <col min="11" max="11" width="7.42578125" customWidth="1"/>
    <col min="13" max="13" width="10.7109375" bestFit="1" customWidth="1"/>
    <col min="14" max="14" width="12.85546875" customWidth="1"/>
    <col min="25" max="26" width="9.7109375" bestFit="1" customWidth="1"/>
    <col min="36" max="36" width="30.85546875" customWidth="1"/>
    <col min="37" max="37" width="9.5703125" bestFit="1" customWidth="1"/>
    <col min="38" max="38" width="8.42578125" customWidth="1"/>
    <col min="39" max="39" width="9.5703125" bestFit="1" customWidth="1"/>
    <col min="40" max="40" width="8.42578125" customWidth="1"/>
    <col min="41" max="41" width="9.5703125" bestFit="1" customWidth="1"/>
    <col min="42" max="42" width="8.42578125" customWidth="1"/>
    <col min="43" max="43" width="9.5703125" bestFit="1" customWidth="1"/>
    <col min="44" max="44" width="8.42578125" customWidth="1"/>
    <col min="250" max="250" width="11.28515625" customWidth="1"/>
    <col min="251" max="251" width="10.140625" bestFit="1" customWidth="1"/>
    <col min="252" max="252" width="10.7109375" customWidth="1"/>
    <col min="253" max="253" width="9.28515625" customWidth="1"/>
    <col min="255" max="255" width="9.28515625" customWidth="1"/>
    <col min="256" max="256" width="11.140625" bestFit="1" customWidth="1"/>
    <col min="258" max="258" width="9.5703125" bestFit="1" customWidth="1"/>
    <col min="261" max="261" width="11.7109375" customWidth="1"/>
    <col min="506" max="506" width="11.28515625" customWidth="1"/>
    <col min="507" max="507" width="10.140625" bestFit="1" customWidth="1"/>
    <col min="508" max="508" width="10.7109375" customWidth="1"/>
    <col min="509" max="509" width="9.28515625" customWidth="1"/>
    <col min="511" max="511" width="9.28515625" customWidth="1"/>
    <col min="512" max="512" width="11.140625" bestFit="1" customWidth="1"/>
    <col min="514" max="514" width="9.5703125" bestFit="1" customWidth="1"/>
    <col min="517" max="517" width="11.7109375" customWidth="1"/>
    <col min="762" max="762" width="11.28515625" customWidth="1"/>
    <col min="763" max="763" width="10.140625" bestFit="1" customWidth="1"/>
    <col min="764" max="764" width="10.7109375" customWidth="1"/>
    <col min="765" max="765" width="9.28515625" customWidth="1"/>
    <col min="767" max="767" width="9.28515625" customWidth="1"/>
    <col min="768" max="768" width="11.140625" bestFit="1" customWidth="1"/>
    <col min="770" max="770" width="9.5703125" bestFit="1" customWidth="1"/>
    <col min="773" max="773" width="11.7109375" customWidth="1"/>
    <col min="1018" max="1018" width="11.28515625" customWidth="1"/>
    <col min="1019" max="1019" width="10.140625" bestFit="1" customWidth="1"/>
    <col min="1020" max="1020" width="10.7109375" customWidth="1"/>
    <col min="1021" max="1021" width="9.28515625" customWidth="1"/>
    <col min="1023" max="1023" width="9.28515625" customWidth="1"/>
    <col min="1024" max="1024" width="11.140625" bestFit="1" customWidth="1"/>
    <col min="1026" max="1026" width="9.5703125" bestFit="1" customWidth="1"/>
    <col min="1029" max="1029" width="11.7109375" customWidth="1"/>
    <col min="1274" max="1274" width="11.28515625" customWidth="1"/>
    <col min="1275" max="1275" width="10.140625" bestFit="1" customWidth="1"/>
    <col min="1276" max="1276" width="10.7109375" customWidth="1"/>
    <col min="1277" max="1277" width="9.28515625" customWidth="1"/>
    <col min="1279" max="1279" width="9.28515625" customWidth="1"/>
    <col min="1280" max="1280" width="11.140625" bestFit="1" customWidth="1"/>
    <col min="1282" max="1282" width="9.5703125" bestFit="1" customWidth="1"/>
    <col min="1285" max="1285" width="11.7109375" customWidth="1"/>
    <col min="1530" max="1530" width="11.28515625" customWidth="1"/>
    <col min="1531" max="1531" width="10.140625" bestFit="1" customWidth="1"/>
    <col min="1532" max="1532" width="10.7109375" customWidth="1"/>
    <col min="1533" max="1533" width="9.28515625" customWidth="1"/>
    <col min="1535" max="1535" width="9.28515625" customWidth="1"/>
    <col min="1536" max="1536" width="11.140625" bestFit="1" customWidth="1"/>
    <col min="1538" max="1538" width="9.5703125" bestFit="1" customWidth="1"/>
    <col min="1541" max="1541" width="11.7109375" customWidth="1"/>
    <col min="1786" max="1786" width="11.28515625" customWidth="1"/>
    <col min="1787" max="1787" width="10.140625" bestFit="1" customWidth="1"/>
    <col min="1788" max="1788" width="10.7109375" customWidth="1"/>
    <col min="1789" max="1789" width="9.28515625" customWidth="1"/>
    <col min="1791" max="1791" width="9.28515625" customWidth="1"/>
    <col min="1792" max="1792" width="11.140625" bestFit="1" customWidth="1"/>
    <col min="1794" max="1794" width="9.5703125" bestFit="1" customWidth="1"/>
    <col min="1797" max="1797" width="11.7109375" customWidth="1"/>
    <col min="2042" max="2042" width="11.28515625" customWidth="1"/>
    <col min="2043" max="2043" width="10.140625" bestFit="1" customWidth="1"/>
    <col min="2044" max="2044" width="10.7109375" customWidth="1"/>
    <col min="2045" max="2045" width="9.28515625" customWidth="1"/>
    <col min="2047" max="2047" width="9.28515625" customWidth="1"/>
    <col min="2048" max="2048" width="11.140625" bestFit="1" customWidth="1"/>
    <col min="2050" max="2050" width="9.5703125" bestFit="1" customWidth="1"/>
    <col min="2053" max="2053" width="11.7109375" customWidth="1"/>
    <col min="2298" max="2298" width="11.28515625" customWidth="1"/>
    <col min="2299" max="2299" width="10.140625" bestFit="1" customWidth="1"/>
    <col min="2300" max="2300" width="10.7109375" customWidth="1"/>
    <col min="2301" max="2301" width="9.28515625" customWidth="1"/>
    <col min="2303" max="2303" width="9.28515625" customWidth="1"/>
    <col min="2304" max="2304" width="11.140625" bestFit="1" customWidth="1"/>
    <col min="2306" max="2306" width="9.5703125" bestFit="1" customWidth="1"/>
    <col min="2309" max="2309" width="11.7109375" customWidth="1"/>
    <col min="2554" max="2554" width="11.28515625" customWidth="1"/>
    <col min="2555" max="2555" width="10.140625" bestFit="1" customWidth="1"/>
    <col min="2556" max="2556" width="10.7109375" customWidth="1"/>
    <col min="2557" max="2557" width="9.28515625" customWidth="1"/>
    <col min="2559" max="2559" width="9.28515625" customWidth="1"/>
    <col min="2560" max="2560" width="11.140625" bestFit="1" customWidth="1"/>
    <col min="2562" max="2562" width="9.5703125" bestFit="1" customWidth="1"/>
    <col min="2565" max="2565" width="11.7109375" customWidth="1"/>
    <col min="2810" max="2810" width="11.28515625" customWidth="1"/>
    <col min="2811" max="2811" width="10.140625" bestFit="1" customWidth="1"/>
    <col min="2812" max="2812" width="10.7109375" customWidth="1"/>
    <col min="2813" max="2813" width="9.28515625" customWidth="1"/>
    <col min="2815" max="2815" width="9.28515625" customWidth="1"/>
    <col min="2816" max="2816" width="11.140625" bestFit="1" customWidth="1"/>
    <col min="2818" max="2818" width="9.5703125" bestFit="1" customWidth="1"/>
    <col min="2821" max="2821" width="11.7109375" customWidth="1"/>
    <col min="3066" max="3066" width="11.28515625" customWidth="1"/>
    <col min="3067" max="3067" width="10.140625" bestFit="1" customWidth="1"/>
    <col min="3068" max="3068" width="10.7109375" customWidth="1"/>
    <col min="3069" max="3069" width="9.28515625" customWidth="1"/>
    <col min="3071" max="3071" width="9.28515625" customWidth="1"/>
    <col min="3072" max="3072" width="11.140625" bestFit="1" customWidth="1"/>
    <col min="3074" max="3074" width="9.5703125" bestFit="1" customWidth="1"/>
    <col min="3077" max="3077" width="11.7109375" customWidth="1"/>
    <col min="3322" max="3322" width="11.28515625" customWidth="1"/>
    <col min="3323" max="3323" width="10.140625" bestFit="1" customWidth="1"/>
    <col min="3324" max="3324" width="10.7109375" customWidth="1"/>
    <col min="3325" max="3325" width="9.28515625" customWidth="1"/>
    <col min="3327" max="3327" width="9.28515625" customWidth="1"/>
    <col min="3328" max="3328" width="11.140625" bestFit="1" customWidth="1"/>
    <col min="3330" max="3330" width="9.5703125" bestFit="1" customWidth="1"/>
    <col min="3333" max="3333" width="11.7109375" customWidth="1"/>
    <col min="3578" max="3578" width="11.28515625" customWidth="1"/>
    <col min="3579" max="3579" width="10.140625" bestFit="1" customWidth="1"/>
    <col min="3580" max="3580" width="10.7109375" customWidth="1"/>
    <col min="3581" max="3581" width="9.28515625" customWidth="1"/>
    <col min="3583" max="3583" width="9.28515625" customWidth="1"/>
    <col min="3584" max="3584" width="11.140625" bestFit="1" customWidth="1"/>
    <col min="3586" max="3586" width="9.5703125" bestFit="1" customWidth="1"/>
    <col min="3589" max="3589" width="11.7109375" customWidth="1"/>
    <col min="3834" max="3834" width="11.28515625" customWidth="1"/>
    <col min="3835" max="3835" width="10.140625" bestFit="1" customWidth="1"/>
    <col min="3836" max="3836" width="10.7109375" customWidth="1"/>
    <col min="3837" max="3837" width="9.28515625" customWidth="1"/>
    <col min="3839" max="3839" width="9.28515625" customWidth="1"/>
    <col min="3840" max="3840" width="11.140625" bestFit="1" customWidth="1"/>
    <col min="3842" max="3842" width="9.5703125" bestFit="1" customWidth="1"/>
    <col min="3845" max="3845" width="11.7109375" customWidth="1"/>
    <col min="4090" max="4090" width="11.28515625" customWidth="1"/>
    <col min="4091" max="4091" width="10.140625" bestFit="1" customWidth="1"/>
    <col min="4092" max="4092" width="10.7109375" customWidth="1"/>
    <col min="4093" max="4093" width="9.28515625" customWidth="1"/>
    <col min="4095" max="4095" width="9.28515625" customWidth="1"/>
    <col min="4096" max="4096" width="11.140625" bestFit="1" customWidth="1"/>
    <col min="4098" max="4098" width="9.5703125" bestFit="1" customWidth="1"/>
    <col min="4101" max="4101" width="11.7109375" customWidth="1"/>
    <col min="4346" max="4346" width="11.28515625" customWidth="1"/>
    <col min="4347" max="4347" width="10.140625" bestFit="1" customWidth="1"/>
    <col min="4348" max="4348" width="10.7109375" customWidth="1"/>
    <col min="4349" max="4349" width="9.28515625" customWidth="1"/>
    <col min="4351" max="4351" width="9.28515625" customWidth="1"/>
    <col min="4352" max="4352" width="11.140625" bestFit="1" customWidth="1"/>
    <col min="4354" max="4354" width="9.5703125" bestFit="1" customWidth="1"/>
    <col min="4357" max="4357" width="11.7109375" customWidth="1"/>
    <col min="4602" max="4602" width="11.28515625" customWidth="1"/>
    <col min="4603" max="4603" width="10.140625" bestFit="1" customWidth="1"/>
    <col min="4604" max="4604" width="10.7109375" customWidth="1"/>
    <col min="4605" max="4605" width="9.28515625" customWidth="1"/>
    <col min="4607" max="4607" width="9.28515625" customWidth="1"/>
    <col min="4608" max="4608" width="11.140625" bestFit="1" customWidth="1"/>
    <col min="4610" max="4610" width="9.5703125" bestFit="1" customWidth="1"/>
    <col min="4613" max="4613" width="11.7109375" customWidth="1"/>
    <col min="4858" max="4858" width="11.28515625" customWidth="1"/>
    <col min="4859" max="4859" width="10.140625" bestFit="1" customWidth="1"/>
    <col min="4860" max="4860" width="10.7109375" customWidth="1"/>
    <col min="4861" max="4861" width="9.28515625" customWidth="1"/>
    <col min="4863" max="4863" width="9.28515625" customWidth="1"/>
    <col min="4864" max="4864" width="11.140625" bestFit="1" customWidth="1"/>
    <col min="4866" max="4866" width="9.5703125" bestFit="1" customWidth="1"/>
    <col min="4869" max="4869" width="11.7109375" customWidth="1"/>
    <col min="5114" max="5114" width="11.28515625" customWidth="1"/>
    <col min="5115" max="5115" width="10.140625" bestFit="1" customWidth="1"/>
    <col min="5116" max="5116" width="10.7109375" customWidth="1"/>
    <col min="5117" max="5117" width="9.28515625" customWidth="1"/>
    <col min="5119" max="5119" width="9.28515625" customWidth="1"/>
    <col min="5120" max="5120" width="11.140625" bestFit="1" customWidth="1"/>
    <col min="5122" max="5122" width="9.5703125" bestFit="1" customWidth="1"/>
    <col min="5125" max="5125" width="11.7109375" customWidth="1"/>
    <col min="5370" max="5370" width="11.28515625" customWidth="1"/>
    <col min="5371" max="5371" width="10.140625" bestFit="1" customWidth="1"/>
    <col min="5372" max="5372" width="10.7109375" customWidth="1"/>
    <col min="5373" max="5373" width="9.28515625" customWidth="1"/>
    <col min="5375" max="5375" width="9.28515625" customWidth="1"/>
    <col min="5376" max="5376" width="11.140625" bestFit="1" customWidth="1"/>
    <col min="5378" max="5378" width="9.5703125" bestFit="1" customWidth="1"/>
    <col min="5381" max="5381" width="11.7109375" customWidth="1"/>
    <col min="5626" max="5626" width="11.28515625" customWidth="1"/>
    <col min="5627" max="5627" width="10.140625" bestFit="1" customWidth="1"/>
    <col min="5628" max="5628" width="10.7109375" customWidth="1"/>
    <col min="5629" max="5629" width="9.28515625" customWidth="1"/>
    <col min="5631" max="5631" width="9.28515625" customWidth="1"/>
    <col min="5632" max="5632" width="11.140625" bestFit="1" customWidth="1"/>
    <col min="5634" max="5634" width="9.5703125" bestFit="1" customWidth="1"/>
    <col min="5637" max="5637" width="11.7109375" customWidth="1"/>
    <col min="5882" max="5882" width="11.28515625" customWidth="1"/>
    <col min="5883" max="5883" width="10.140625" bestFit="1" customWidth="1"/>
    <col min="5884" max="5884" width="10.7109375" customWidth="1"/>
    <col min="5885" max="5885" width="9.28515625" customWidth="1"/>
    <col min="5887" max="5887" width="9.28515625" customWidth="1"/>
    <col min="5888" max="5888" width="11.140625" bestFit="1" customWidth="1"/>
    <col min="5890" max="5890" width="9.5703125" bestFit="1" customWidth="1"/>
    <col min="5893" max="5893" width="11.7109375" customWidth="1"/>
    <col min="6138" max="6138" width="11.28515625" customWidth="1"/>
    <col min="6139" max="6139" width="10.140625" bestFit="1" customWidth="1"/>
    <col min="6140" max="6140" width="10.7109375" customWidth="1"/>
    <col min="6141" max="6141" width="9.28515625" customWidth="1"/>
    <col min="6143" max="6143" width="9.28515625" customWidth="1"/>
    <col min="6144" max="6144" width="11.140625" bestFit="1" customWidth="1"/>
    <col min="6146" max="6146" width="9.5703125" bestFit="1" customWidth="1"/>
    <col min="6149" max="6149" width="11.7109375" customWidth="1"/>
    <col min="6394" max="6394" width="11.28515625" customWidth="1"/>
    <col min="6395" max="6395" width="10.140625" bestFit="1" customWidth="1"/>
    <col min="6396" max="6396" width="10.7109375" customWidth="1"/>
    <col min="6397" max="6397" width="9.28515625" customWidth="1"/>
    <col min="6399" max="6399" width="9.28515625" customWidth="1"/>
    <col min="6400" max="6400" width="11.140625" bestFit="1" customWidth="1"/>
    <col min="6402" max="6402" width="9.5703125" bestFit="1" customWidth="1"/>
    <col min="6405" max="6405" width="11.7109375" customWidth="1"/>
    <col min="6650" max="6650" width="11.28515625" customWidth="1"/>
    <col min="6651" max="6651" width="10.140625" bestFit="1" customWidth="1"/>
    <col min="6652" max="6652" width="10.7109375" customWidth="1"/>
    <col min="6653" max="6653" width="9.28515625" customWidth="1"/>
    <col min="6655" max="6655" width="9.28515625" customWidth="1"/>
    <col min="6656" max="6656" width="11.140625" bestFit="1" customWidth="1"/>
    <col min="6658" max="6658" width="9.5703125" bestFit="1" customWidth="1"/>
    <col min="6661" max="6661" width="11.7109375" customWidth="1"/>
    <col min="6906" max="6906" width="11.28515625" customWidth="1"/>
    <col min="6907" max="6907" width="10.140625" bestFit="1" customWidth="1"/>
    <col min="6908" max="6908" width="10.7109375" customWidth="1"/>
    <col min="6909" max="6909" width="9.28515625" customWidth="1"/>
    <col min="6911" max="6911" width="9.28515625" customWidth="1"/>
    <col min="6912" max="6912" width="11.140625" bestFit="1" customWidth="1"/>
    <col min="6914" max="6914" width="9.5703125" bestFit="1" customWidth="1"/>
    <col min="6917" max="6917" width="11.7109375" customWidth="1"/>
    <col min="7162" max="7162" width="11.28515625" customWidth="1"/>
    <col min="7163" max="7163" width="10.140625" bestFit="1" customWidth="1"/>
    <col min="7164" max="7164" width="10.7109375" customWidth="1"/>
    <col min="7165" max="7165" width="9.28515625" customWidth="1"/>
    <col min="7167" max="7167" width="9.28515625" customWidth="1"/>
    <col min="7168" max="7168" width="11.140625" bestFit="1" customWidth="1"/>
    <col min="7170" max="7170" width="9.5703125" bestFit="1" customWidth="1"/>
    <col min="7173" max="7173" width="11.7109375" customWidth="1"/>
    <col min="7418" max="7418" width="11.28515625" customWidth="1"/>
    <col min="7419" max="7419" width="10.140625" bestFit="1" customWidth="1"/>
    <col min="7420" max="7420" width="10.7109375" customWidth="1"/>
    <col min="7421" max="7421" width="9.28515625" customWidth="1"/>
    <col min="7423" max="7423" width="9.28515625" customWidth="1"/>
    <col min="7424" max="7424" width="11.140625" bestFit="1" customWidth="1"/>
    <col min="7426" max="7426" width="9.5703125" bestFit="1" customWidth="1"/>
    <col min="7429" max="7429" width="11.7109375" customWidth="1"/>
    <col min="7674" max="7674" width="11.28515625" customWidth="1"/>
    <col min="7675" max="7675" width="10.140625" bestFit="1" customWidth="1"/>
    <col min="7676" max="7676" width="10.7109375" customWidth="1"/>
    <col min="7677" max="7677" width="9.28515625" customWidth="1"/>
    <col min="7679" max="7679" width="9.28515625" customWidth="1"/>
    <col min="7680" max="7680" width="11.140625" bestFit="1" customWidth="1"/>
    <col min="7682" max="7682" width="9.5703125" bestFit="1" customWidth="1"/>
    <col min="7685" max="7685" width="11.7109375" customWidth="1"/>
    <col min="7930" max="7930" width="11.28515625" customWidth="1"/>
    <col min="7931" max="7931" width="10.140625" bestFit="1" customWidth="1"/>
    <col min="7932" max="7932" width="10.7109375" customWidth="1"/>
    <col min="7933" max="7933" width="9.28515625" customWidth="1"/>
    <col min="7935" max="7935" width="9.28515625" customWidth="1"/>
    <col min="7936" max="7936" width="11.140625" bestFit="1" customWidth="1"/>
    <col min="7938" max="7938" width="9.5703125" bestFit="1" customWidth="1"/>
    <col min="7941" max="7941" width="11.7109375" customWidth="1"/>
    <col min="8186" max="8186" width="11.28515625" customWidth="1"/>
    <col min="8187" max="8187" width="10.140625" bestFit="1" customWidth="1"/>
    <col min="8188" max="8188" width="10.7109375" customWidth="1"/>
    <col min="8189" max="8189" width="9.28515625" customWidth="1"/>
    <col min="8191" max="8191" width="9.28515625" customWidth="1"/>
    <col min="8192" max="8192" width="11.140625" bestFit="1" customWidth="1"/>
    <col min="8194" max="8194" width="9.5703125" bestFit="1" customWidth="1"/>
    <col min="8197" max="8197" width="11.7109375" customWidth="1"/>
    <col min="8442" max="8442" width="11.28515625" customWidth="1"/>
    <col min="8443" max="8443" width="10.140625" bestFit="1" customWidth="1"/>
    <col min="8444" max="8444" width="10.7109375" customWidth="1"/>
    <col min="8445" max="8445" width="9.28515625" customWidth="1"/>
    <col min="8447" max="8447" width="9.28515625" customWidth="1"/>
    <col min="8448" max="8448" width="11.140625" bestFit="1" customWidth="1"/>
    <col min="8450" max="8450" width="9.5703125" bestFit="1" customWidth="1"/>
    <col min="8453" max="8453" width="11.7109375" customWidth="1"/>
    <col min="8698" max="8698" width="11.28515625" customWidth="1"/>
    <col min="8699" max="8699" width="10.140625" bestFit="1" customWidth="1"/>
    <col min="8700" max="8700" width="10.7109375" customWidth="1"/>
    <col min="8701" max="8701" width="9.28515625" customWidth="1"/>
    <col min="8703" max="8703" width="9.28515625" customWidth="1"/>
    <col min="8704" max="8704" width="11.140625" bestFit="1" customWidth="1"/>
    <col min="8706" max="8706" width="9.5703125" bestFit="1" customWidth="1"/>
    <col min="8709" max="8709" width="11.7109375" customWidth="1"/>
    <col min="8954" max="8954" width="11.28515625" customWidth="1"/>
    <col min="8955" max="8955" width="10.140625" bestFit="1" customWidth="1"/>
    <col min="8956" max="8956" width="10.7109375" customWidth="1"/>
    <col min="8957" max="8957" width="9.28515625" customWidth="1"/>
    <col min="8959" max="8959" width="9.28515625" customWidth="1"/>
    <col min="8960" max="8960" width="11.140625" bestFit="1" customWidth="1"/>
    <col min="8962" max="8962" width="9.5703125" bestFit="1" customWidth="1"/>
    <col min="8965" max="8965" width="11.7109375" customWidth="1"/>
    <col min="9210" max="9210" width="11.28515625" customWidth="1"/>
    <col min="9211" max="9211" width="10.140625" bestFit="1" customWidth="1"/>
    <col min="9212" max="9212" width="10.7109375" customWidth="1"/>
    <col min="9213" max="9213" width="9.28515625" customWidth="1"/>
    <col min="9215" max="9215" width="9.28515625" customWidth="1"/>
    <col min="9216" max="9216" width="11.140625" bestFit="1" customWidth="1"/>
    <col min="9218" max="9218" width="9.5703125" bestFit="1" customWidth="1"/>
    <col min="9221" max="9221" width="11.7109375" customWidth="1"/>
    <col min="9466" max="9466" width="11.28515625" customWidth="1"/>
    <col min="9467" max="9467" width="10.140625" bestFit="1" customWidth="1"/>
    <col min="9468" max="9468" width="10.7109375" customWidth="1"/>
    <col min="9469" max="9469" width="9.28515625" customWidth="1"/>
    <col min="9471" max="9471" width="9.28515625" customWidth="1"/>
    <col min="9472" max="9472" width="11.140625" bestFit="1" customWidth="1"/>
    <col min="9474" max="9474" width="9.5703125" bestFit="1" customWidth="1"/>
    <col min="9477" max="9477" width="11.7109375" customWidth="1"/>
    <col min="9722" max="9722" width="11.28515625" customWidth="1"/>
    <col min="9723" max="9723" width="10.140625" bestFit="1" customWidth="1"/>
    <col min="9724" max="9724" width="10.7109375" customWidth="1"/>
    <col min="9725" max="9725" width="9.28515625" customWidth="1"/>
    <col min="9727" max="9727" width="9.28515625" customWidth="1"/>
    <col min="9728" max="9728" width="11.140625" bestFit="1" customWidth="1"/>
    <col min="9730" max="9730" width="9.5703125" bestFit="1" customWidth="1"/>
    <col min="9733" max="9733" width="11.7109375" customWidth="1"/>
    <col min="9978" max="9978" width="11.28515625" customWidth="1"/>
    <col min="9979" max="9979" width="10.140625" bestFit="1" customWidth="1"/>
    <col min="9980" max="9980" width="10.7109375" customWidth="1"/>
    <col min="9981" max="9981" width="9.28515625" customWidth="1"/>
    <col min="9983" max="9983" width="9.28515625" customWidth="1"/>
    <col min="9984" max="9984" width="11.140625" bestFit="1" customWidth="1"/>
    <col min="9986" max="9986" width="9.5703125" bestFit="1" customWidth="1"/>
    <col min="9989" max="9989" width="11.7109375" customWidth="1"/>
    <col min="10234" max="10234" width="11.28515625" customWidth="1"/>
    <col min="10235" max="10235" width="10.140625" bestFit="1" customWidth="1"/>
    <col min="10236" max="10236" width="10.7109375" customWidth="1"/>
    <col min="10237" max="10237" width="9.28515625" customWidth="1"/>
    <col min="10239" max="10239" width="9.28515625" customWidth="1"/>
    <col min="10240" max="10240" width="11.140625" bestFit="1" customWidth="1"/>
    <col min="10242" max="10242" width="9.5703125" bestFit="1" customWidth="1"/>
    <col min="10245" max="10245" width="11.7109375" customWidth="1"/>
    <col min="10490" max="10490" width="11.28515625" customWidth="1"/>
    <col min="10491" max="10491" width="10.140625" bestFit="1" customWidth="1"/>
    <col min="10492" max="10492" width="10.7109375" customWidth="1"/>
    <col min="10493" max="10493" width="9.28515625" customWidth="1"/>
    <col min="10495" max="10495" width="9.28515625" customWidth="1"/>
    <col min="10496" max="10496" width="11.140625" bestFit="1" customWidth="1"/>
    <col min="10498" max="10498" width="9.5703125" bestFit="1" customWidth="1"/>
    <col min="10501" max="10501" width="11.7109375" customWidth="1"/>
    <col min="10746" max="10746" width="11.28515625" customWidth="1"/>
    <col min="10747" max="10747" width="10.140625" bestFit="1" customWidth="1"/>
    <col min="10748" max="10748" width="10.7109375" customWidth="1"/>
    <col min="10749" max="10749" width="9.28515625" customWidth="1"/>
    <col min="10751" max="10751" width="9.28515625" customWidth="1"/>
    <col min="10752" max="10752" width="11.140625" bestFit="1" customWidth="1"/>
    <col min="10754" max="10754" width="9.5703125" bestFit="1" customWidth="1"/>
    <col min="10757" max="10757" width="11.7109375" customWidth="1"/>
    <col min="11002" max="11002" width="11.28515625" customWidth="1"/>
    <col min="11003" max="11003" width="10.140625" bestFit="1" customWidth="1"/>
    <col min="11004" max="11004" width="10.7109375" customWidth="1"/>
    <col min="11005" max="11005" width="9.28515625" customWidth="1"/>
    <col min="11007" max="11007" width="9.28515625" customWidth="1"/>
    <col min="11008" max="11008" width="11.140625" bestFit="1" customWidth="1"/>
    <col min="11010" max="11010" width="9.5703125" bestFit="1" customWidth="1"/>
    <col min="11013" max="11013" width="11.7109375" customWidth="1"/>
    <col min="11258" max="11258" width="11.28515625" customWidth="1"/>
    <col min="11259" max="11259" width="10.140625" bestFit="1" customWidth="1"/>
    <col min="11260" max="11260" width="10.7109375" customWidth="1"/>
    <col min="11261" max="11261" width="9.28515625" customWidth="1"/>
    <col min="11263" max="11263" width="9.28515625" customWidth="1"/>
    <col min="11264" max="11264" width="11.140625" bestFit="1" customWidth="1"/>
    <col min="11266" max="11266" width="9.5703125" bestFit="1" customWidth="1"/>
    <col min="11269" max="11269" width="11.7109375" customWidth="1"/>
    <col min="11514" max="11514" width="11.28515625" customWidth="1"/>
    <col min="11515" max="11515" width="10.140625" bestFit="1" customWidth="1"/>
    <col min="11516" max="11516" width="10.7109375" customWidth="1"/>
    <col min="11517" max="11517" width="9.28515625" customWidth="1"/>
    <col min="11519" max="11519" width="9.28515625" customWidth="1"/>
    <col min="11520" max="11520" width="11.140625" bestFit="1" customWidth="1"/>
    <col min="11522" max="11522" width="9.5703125" bestFit="1" customWidth="1"/>
    <col min="11525" max="11525" width="11.7109375" customWidth="1"/>
    <col min="11770" max="11770" width="11.28515625" customWidth="1"/>
    <col min="11771" max="11771" width="10.140625" bestFit="1" customWidth="1"/>
    <col min="11772" max="11772" width="10.7109375" customWidth="1"/>
    <col min="11773" max="11773" width="9.28515625" customWidth="1"/>
    <col min="11775" max="11775" width="9.28515625" customWidth="1"/>
    <col min="11776" max="11776" width="11.140625" bestFit="1" customWidth="1"/>
    <col min="11778" max="11778" width="9.5703125" bestFit="1" customWidth="1"/>
    <col min="11781" max="11781" width="11.7109375" customWidth="1"/>
    <col min="12026" max="12026" width="11.28515625" customWidth="1"/>
    <col min="12027" max="12027" width="10.140625" bestFit="1" customWidth="1"/>
    <col min="12028" max="12028" width="10.7109375" customWidth="1"/>
    <col min="12029" max="12029" width="9.28515625" customWidth="1"/>
    <col min="12031" max="12031" width="9.28515625" customWidth="1"/>
    <col min="12032" max="12032" width="11.140625" bestFit="1" customWidth="1"/>
    <col min="12034" max="12034" width="9.5703125" bestFit="1" customWidth="1"/>
    <col min="12037" max="12037" width="11.7109375" customWidth="1"/>
    <col min="12282" max="12282" width="11.28515625" customWidth="1"/>
    <col min="12283" max="12283" width="10.140625" bestFit="1" customWidth="1"/>
    <col min="12284" max="12284" width="10.7109375" customWidth="1"/>
    <col min="12285" max="12285" width="9.28515625" customWidth="1"/>
    <col min="12287" max="12287" width="9.28515625" customWidth="1"/>
    <col min="12288" max="12288" width="11.140625" bestFit="1" customWidth="1"/>
    <col min="12290" max="12290" width="9.5703125" bestFit="1" customWidth="1"/>
    <col min="12293" max="12293" width="11.7109375" customWidth="1"/>
    <col min="12538" max="12538" width="11.28515625" customWidth="1"/>
    <col min="12539" max="12539" width="10.140625" bestFit="1" customWidth="1"/>
    <col min="12540" max="12540" width="10.7109375" customWidth="1"/>
    <col min="12541" max="12541" width="9.28515625" customWidth="1"/>
    <col min="12543" max="12543" width="9.28515625" customWidth="1"/>
    <col min="12544" max="12544" width="11.140625" bestFit="1" customWidth="1"/>
    <col min="12546" max="12546" width="9.5703125" bestFit="1" customWidth="1"/>
    <col min="12549" max="12549" width="11.7109375" customWidth="1"/>
    <col min="12794" max="12794" width="11.28515625" customWidth="1"/>
    <col min="12795" max="12795" width="10.140625" bestFit="1" customWidth="1"/>
    <col min="12796" max="12796" width="10.7109375" customWidth="1"/>
    <col min="12797" max="12797" width="9.28515625" customWidth="1"/>
    <col min="12799" max="12799" width="9.28515625" customWidth="1"/>
    <col min="12800" max="12800" width="11.140625" bestFit="1" customWidth="1"/>
    <col min="12802" max="12802" width="9.5703125" bestFit="1" customWidth="1"/>
    <col min="12805" max="12805" width="11.7109375" customWidth="1"/>
    <col min="13050" max="13050" width="11.28515625" customWidth="1"/>
    <col min="13051" max="13051" width="10.140625" bestFit="1" customWidth="1"/>
    <col min="13052" max="13052" width="10.7109375" customWidth="1"/>
    <col min="13053" max="13053" width="9.28515625" customWidth="1"/>
    <col min="13055" max="13055" width="9.28515625" customWidth="1"/>
    <col min="13056" max="13056" width="11.140625" bestFit="1" customWidth="1"/>
    <col min="13058" max="13058" width="9.5703125" bestFit="1" customWidth="1"/>
    <col min="13061" max="13061" width="11.7109375" customWidth="1"/>
    <col min="13306" max="13306" width="11.28515625" customWidth="1"/>
    <col min="13307" max="13307" width="10.140625" bestFit="1" customWidth="1"/>
    <col min="13308" max="13308" width="10.7109375" customWidth="1"/>
    <col min="13309" max="13309" width="9.28515625" customWidth="1"/>
    <col min="13311" max="13311" width="9.28515625" customWidth="1"/>
    <col min="13312" max="13312" width="11.140625" bestFit="1" customWidth="1"/>
    <col min="13314" max="13314" width="9.5703125" bestFit="1" customWidth="1"/>
    <col min="13317" max="13317" width="11.7109375" customWidth="1"/>
    <col min="13562" max="13562" width="11.28515625" customWidth="1"/>
    <col min="13563" max="13563" width="10.140625" bestFit="1" customWidth="1"/>
    <col min="13564" max="13564" width="10.7109375" customWidth="1"/>
    <col min="13565" max="13565" width="9.28515625" customWidth="1"/>
    <col min="13567" max="13567" width="9.28515625" customWidth="1"/>
    <col min="13568" max="13568" width="11.140625" bestFit="1" customWidth="1"/>
    <col min="13570" max="13570" width="9.5703125" bestFit="1" customWidth="1"/>
    <col min="13573" max="13573" width="11.7109375" customWidth="1"/>
    <col min="13818" max="13818" width="11.28515625" customWidth="1"/>
    <col min="13819" max="13819" width="10.140625" bestFit="1" customWidth="1"/>
    <col min="13820" max="13820" width="10.7109375" customWidth="1"/>
    <col min="13821" max="13821" width="9.28515625" customWidth="1"/>
    <col min="13823" max="13823" width="9.28515625" customWidth="1"/>
    <col min="13824" max="13824" width="11.140625" bestFit="1" customWidth="1"/>
    <col min="13826" max="13826" width="9.5703125" bestFit="1" customWidth="1"/>
    <col min="13829" max="13829" width="11.7109375" customWidth="1"/>
    <col min="14074" max="14074" width="11.28515625" customWidth="1"/>
    <col min="14075" max="14075" width="10.140625" bestFit="1" customWidth="1"/>
    <col min="14076" max="14076" width="10.7109375" customWidth="1"/>
    <col min="14077" max="14077" width="9.28515625" customWidth="1"/>
    <col min="14079" max="14079" width="9.28515625" customWidth="1"/>
    <col min="14080" max="14080" width="11.140625" bestFit="1" customWidth="1"/>
    <col min="14082" max="14082" width="9.5703125" bestFit="1" customWidth="1"/>
    <col min="14085" max="14085" width="11.7109375" customWidth="1"/>
    <col min="14330" max="14330" width="11.28515625" customWidth="1"/>
    <col min="14331" max="14331" width="10.140625" bestFit="1" customWidth="1"/>
    <col min="14332" max="14332" width="10.7109375" customWidth="1"/>
    <col min="14333" max="14333" width="9.28515625" customWidth="1"/>
    <col min="14335" max="14335" width="9.28515625" customWidth="1"/>
    <col min="14336" max="14336" width="11.140625" bestFit="1" customWidth="1"/>
    <col min="14338" max="14338" width="9.5703125" bestFit="1" customWidth="1"/>
    <col min="14341" max="14341" width="11.7109375" customWidth="1"/>
    <col min="14586" max="14586" width="11.28515625" customWidth="1"/>
    <col min="14587" max="14587" width="10.140625" bestFit="1" customWidth="1"/>
    <col min="14588" max="14588" width="10.7109375" customWidth="1"/>
    <col min="14589" max="14589" width="9.28515625" customWidth="1"/>
    <col min="14591" max="14591" width="9.28515625" customWidth="1"/>
    <col min="14592" max="14592" width="11.140625" bestFit="1" customWidth="1"/>
    <col min="14594" max="14594" width="9.5703125" bestFit="1" customWidth="1"/>
    <col min="14597" max="14597" width="11.7109375" customWidth="1"/>
    <col min="14842" max="14842" width="11.28515625" customWidth="1"/>
    <col min="14843" max="14843" width="10.140625" bestFit="1" customWidth="1"/>
    <col min="14844" max="14844" width="10.7109375" customWidth="1"/>
    <col min="14845" max="14845" width="9.28515625" customWidth="1"/>
    <col min="14847" max="14847" width="9.28515625" customWidth="1"/>
    <col min="14848" max="14848" width="11.140625" bestFit="1" customWidth="1"/>
    <col min="14850" max="14850" width="9.5703125" bestFit="1" customWidth="1"/>
    <col min="14853" max="14853" width="11.7109375" customWidth="1"/>
    <col min="15098" max="15098" width="11.28515625" customWidth="1"/>
    <col min="15099" max="15099" width="10.140625" bestFit="1" customWidth="1"/>
    <col min="15100" max="15100" width="10.7109375" customWidth="1"/>
    <col min="15101" max="15101" width="9.28515625" customWidth="1"/>
    <col min="15103" max="15103" width="9.28515625" customWidth="1"/>
    <col min="15104" max="15104" width="11.140625" bestFit="1" customWidth="1"/>
    <col min="15106" max="15106" width="9.5703125" bestFit="1" customWidth="1"/>
    <col min="15109" max="15109" width="11.7109375" customWidth="1"/>
    <col min="15354" max="15354" width="11.28515625" customWidth="1"/>
    <col min="15355" max="15355" width="10.140625" bestFit="1" customWidth="1"/>
    <col min="15356" max="15356" width="10.7109375" customWidth="1"/>
    <col min="15357" max="15357" width="9.28515625" customWidth="1"/>
    <col min="15359" max="15359" width="9.28515625" customWidth="1"/>
    <col min="15360" max="15360" width="11.140625" bestFit="1" customWidth="1"/>
    <col min="15362" max="15362" width="9.5703125" bestFit="1" customWidth="1"/>
    <col min="15365" max="15365" width="11.7109375" customWidth="1"/>
    <col min="15610" max="15610" width="11.28515625" customWidth="1"/>
    <col min="15611" max="15611" width="10.140625" bestFit="1" customWidth="1"/>
    <col min="15612" max="15612" width="10.7109375" customWidth="1"/>
    <col min="15613" max="15613" width="9.28515625" customWidth="1"/>
    <col min="15615" max="15615" width="9.28515625" customWidth="1"/>
    <col min="15616" max="15616" width="11.140625" bestFit="1" customWidth="1"/>
    <col min="15618" max="15618" width="9.5703125" bestFit="1" customWidth="1"/>
    <col min="15621" max="15621" width="11.7109375" customWidth="1"/>
    <col min="15866" max="15866" width="11.28515625" customWidth="1"/>
    <col min="15867" max="15867" width="10.140625" bestFit="1" customWidth="1"/>
    <col min="15868" max="15868" width="10.7109375" customWidth="1"/>
    <col min="15869" max="15869" width="9.28515625" customWidth="1"/>
    <col min="15871" max="15871" width="9.28515625" customWidth="1"/>
    <col min="15872" max="15872" width="11.140625" bestFit="1" customWidth="1"/>
    <col min="15874" max="15874" width="9.5703125" bestFit="1" customWidth="1"/>
    <col min="15877" max="15877" width="11.7109375" customWidth="1"/>
    <col min="16122" max="16122" width="11.28515625" customWidth="1"/>
    <col min="16123" max="16123" width="10.140625" bestFit="1" customWidth="1"/>
    <col min="16124" max="16124" width="10.7109375" customWidth="1"/>
    <col min="16125" max="16125" width="9.28515625" customWidth="1"/>
    <col min="16127" max="16127" width="9.28515625" customWidth="1"/>
    <col min="16128" max="16128" width="11.140625" bestFit="1" customWidth="1"/>
    <col min="16130" max="16130" width="9.5703125" bestFit="1" customWidth="1"/>
    <col min="16133" max="16133" width="11.7109375" customWidth="1"/>
  </cols>
  <sheetData>
    <row r="1" spans="1:44" ht="15.75" thickBot="1" x14ac:dyDescent="0.3">
      <c r="A1" s="90" t="s">
        <v>41</v>
      </c>
      <c r="B1" s="90" t="s">
        <v>42</v>
      </c>
      <c r="C1" s="91"/>
      <c r="D1" s="91"/>
      <c r="E1" s="91"/>
      <c r="F1" s="91"/>
      <c r="G1" s="91"/>
      <c r="H1" s="91"/>
      <c r="M1" s="90" t="s">
        <v>41</v>
      </c>
      <c r="N1" s="90" t="s">
        <v>47</v>
      </c>
      <c r="O1" s="90"/>
      <c r="P1" s="90"/>
      <c r="Q1" s="90"/>
      <c r="R1" s="90"/>
      <c r="S1" s="90"/>
      <c r="T1" s="90"/>
      <c r="U1" s="90"/>
      <c r="V1" s="90"/>
      <c r="X1" t="s">
        <v>40</v>
      </c>
      <c r="Y1" s="65">
        <v>41437</v>
      </c>
    </row>
    <row r="2" spans="1:44" ht="15.75" thickBot="1" x14ac:dyDescent="0.3">
      <c r="G2" s="66" t="str">
        <f>_xll.cegSABRModel("First",J4,K3,B3:H3,B4:H4,B8:B11,C8:C11)</f>
        <v>MODEL@First#21:05:19</v>
      </c>
      <c r="H2" s="66"/>
      <c r="I2" s="73" t="s">
        <v>40</v>
      </c>
      <c r="J2" s="84">
        <v>41437</v>
      </c>
      <c r="K2" s="85"/>
      <c r="Y2" s="65"/>
      <c r="AF2" s="138" t="s">
        <v>63</v>
      </c>
      <c r="AG2" s="138"/>
      <c r="AH2" s="138"/>
      <c r="AI2" s="138"/>
    </row>
    <row r="3" spans="1:44" ht="15.75" thickBot="1" x14ac:dyDescent="0.3">
      <c r="A3" s="73" t="s">
        <v>14</v>
      </c>
      <c r="B3" s="74">
        <v>0.02</v>
      </c>
      <c r="C3" s="74">
        <v>2.5000000000000001E-2</v>
      </c>
      <c r="D3" s="74">
        <v>0.03</v>
      </c>
      <c r="E3" s="74">
        <v>3.5000000000000003E-2</v>
      </c>
      <c r="F3" s="74">
        <v>0.04</v>
      </c>
      <c r="G3" s="74">
        <v>4.4999999999999998E-2</v>
      </c>
      <c r="H3" s="74">
        <v>0.05</v>
      </c>
      <c r="I3" s="71" t="s">
        <v>29</v>
      </c>
      <c r="J3" s="86">
        <v>42533</v>
      </c>
      <c r="K3" s="87">
        <f>_xll.cegYearFraction(J2,J3,"ACTUAL365")</f>
        <v>3.0027397260273974</v>
      </c>
      <c r="M3" s="95" t="s">
        <v>51</v>
      </c>
      <c r="N3" s="96" t="s">
        <v>48</v>
      </c>
      <c r="O3" s="97" t="s">
        <v>49</v>
      </c>
      <c r="P3" s="97" t="s">
        <v>35</v>
      </c>
      <c r="Q3" s="98" t="s">
        <v>50</v>
      </c>
      <c r="R3" s="139" t="s">
        <v>60</v>
      </c>
      <c r="S3" s="140"/>
      <c r="T3" s="140"/>
      <c r="U3" s="140"/>
      <c r="V3" s="140"/>
      <c r="W3" s="140"/>
      <c r="X3" s="141"/>
      <c r="Y3" s="139" t="s">
        <v>61</v>
      </c>
      <c r="Z3" s="140"/>
      <c r="AA3" s="140"/>
      <c r="AB3" s="140"/>
      <c r="AC3" s="140"/>
      <c r="AD3" s="140"/>
      <c r="AE3" s="141"/>
      <c r="AF3" s="114" t="s">
        <v>30</v>
      </c>
      <c r="AG3" s="115" t="s">
        <v>31</v>
      </c>
      <c r="AH3" s="115" t="s">
        <v>62</v>
      </c>
      <c r="AI3" s="116" t="s">
        <v>20</v>
      </c>
      <c r="AJ3" s="142" t="s">
        <v>41</v>
      </c>
      <c r="AK3" s="143"/>
      <c r="AL3" s="143"/>
      <c r="AM3" s="143"/>
      <c r="AN3" s="143"/>
      <c r="AO3" s="143"/>
      <c r="AP3" s="143"/>
      <c r="AQ3" s="143"/>
      <c r="AR3" s="144"/>
    </row>
    <row r="4" spans="1:44" x14ac:dyDescent="0.25">
      <c r="A4" s="79" t="s">
        <v>43</v>
      </c>
      <c r="B4" s="80">
        <v>0.45600000000000002</v>
      </c>
      <c r="C4" s="80">
        <v>0.41600000000000004</v>
      </c>
      <c r="D4" s="80">
        <v>0.379</v>
      </c>
      <c r="E4" s="80">
        <v>0.36599999999999999</v>
      </c>
      <c r="F4" s="80">
        <v>0.37799999999999995</v>
      </c>
      <c r="G4" s="80">
        <v>0.39200000000000002</v>
      </c>
      <c r="H4" s="80">
        <v>0.4</v>
      </c>
      <c r="I4" s="71" t="s">
        <v>35</v>
      </c>
      <c r="J4" s="72">
        <v>3.5000000000000003E-2</v>
      </c>
      <c r="K4" s="88"/>
      <c r="L4" s="117"/>
      <c r="M4" s="1" t="s">
        <v>52</v>
      </c>
      <c r="N4" s="99">
        <v>41529</v>
      </c>
      <c r="O4" s="100">
        <f>_xll.cegYearFraction($Y$1,N4,"ACTUAL365")</f>
        <v>0.25205479452054796</v>
      </c>
      <c r="P4" s="101">
        <v>2.5000000000000001E-2</v>
      </c>
      <c r="Q4" s="17">
        <v>0.34100000000000003</v>
      </c>
      <c r="R4" s="16">
        <v>0.01</v>
      </c>
      <c r="S4" s="101">
        <v>1.4999999999999999E-2</v>
      </c>
      <c r="T4" s="101">
        <v>0.02</v>
      </c>
      <c r="U4" s="101">
        <v>2.5000000000000001E-2</v>
      </c>
      <c r="V4" s="101">
        <v>0.03</v>
      </c>
      <c r="W4" s="101">
        <v>3.5000000000000003E-2</v>
      </c>
      <c r="X4" s="17">
        <v>0.04</v>
      </c>
      <c r="Y4" s="16">
        <v>0.57600000000000007</v>
      </c>
      <c r="Z4" s="101">
        <v>0.46600000000000003</v>
      </c>
      <c r="AA4" s="101">
        <v>0.35899999999999999</v>
      </c>
      <c r="AB4" s="101">
        <v>0.34100000000000003</v>
      </c>
      <c r="AC4" s="101">
        <v>0.41</v>
      </c>
      <c r="AD4" s="101">
        <v>0.45799999999999996</v>
      </c>
      <c r="AE4" s="17">
        <v>0.503</v>
      </c>
      <c r="AF4" s="109">
        <v>1</v>
      </c>
      <c r="AG4" s="108">
        <v>0.5</v>
      </c>
      <c r="AH4" s="108">
        <v>0.2</v>
      </c>
      <c r="AI4" s="110">
        <v>0</v>
      </c>
      <c r="AJ4" s="132" t="str">
        <f>_xll.cegSABRModel("SWPT"&amp;M4,P4,O4,R4:X4,Y4:AE4,AF4:AI4,$AF$12:$AI$12)</f>
        <v>MODEL@SWPT3Mx10Y#21:05:18</v>
      </c>
      <c r="AK4" s="14" t="str">
        <f t="array" ref="AK4:AL9">_xll.cegGetSABRCalibratedParameters(AJ4)</f>
        <v>alpha:</v>
      </c>
      <c r="AL4" s="119">
        <v>5.2377567362807728E-2</v>
      </c>
      <c r="AM4" s="14" t="str">
        <f t="array" ref="AM4:AN9">_xll.cegGetSABRCalibratedParameters(AJ5)</f>
        <v>alpha:</v>
      </c>
      <c r="AN4" s="119">
        <v>5.7193070300741319E-2</v>
      </c>
      <c r="AO4" s="14" t="str">
        <f t="array" ref="AO4:AP9">_xll.cegGetSABRCalibratedParameters(AJ6)</f>
        <v>alpha:</v>
      </c>
      <c r="AP4" s="119">
        <v>6.0065636722622981E-2</v>
      </c>
      <c r="AQ4" s="14" t="str">
        <f t="array" ref="AQ4:AR9">_xll.cegGetSABRCalibratedParameters(AJ7)</f>
        <v>alpha:</v>
      </c>
      <c r="AR4" s="119">
        <v>6.0050488724988818E-2</v>
      </c>
    </row>
    <row r="5" spans="1:44" ht="15.75" thickBot="1" x14ac:dyDescent="0.3">
      <c r="A5" s="67" t="s">
        <v>44</v>
      </c>
      <c r="B5" s="68">
        <f>_xll.cegGetSABRInterpolatedValue($G$2,B3)</f>
        <v>0.46067172934403411</v>
      </c>
      <c r="C5" s="68">
        <f>_xll.cegGetSABRInterpolatedValue($G$2,C3)</f>
        <v>0.40859674328283779</v>
      </c>
      <c r="D5" s="68">
        <f>_xll.cegGetSABRInterpolatedValue($G$2,D3)</f>
        <v>0.37990144380903468</v>
      </c>
      <c r="E5" s="68">
        <f>_xll.cegGetSABRInterpolatedValue($G$2,E3)</f>
        <v>0.37133820546658619</v>
      </c>
      <c r="F5" s="68">
        <f>_xll.cegGetSABRInterpolatedValue($G$2,F3)</f>
        <v>0.37636137253848395</v>
      </c>
      <c r="G5" s="68">
        <f>_xll.cegGetSABRInterpolatedValue($G$2,G3)</f>
        <v>0.38811436571231578</v>
      </c>
      <c r="H5" s="68">
        <f>_xll.cegGetSABRInterpolatedValue($G$2,H3)</f>
        <v>0.40231575985477047</v>
      </c>
      <c r="I5" s="69" t="s">
        <v>36</v>
      </c>
      <c r="J5" s="70">
        <v>0.36599999999999999</v>
      </c>
      <c r="K5" s="89"/>
      <c r="L5" s="118"/>
      <c r="M5" s="1" t="s">
        <v>53</v>
      </c>
      <c r="N5" s="99">
        <v>41802</v>
      </c>
      <c r="O5" s="100">
        <f>_xll.cegYearFraction($Y$1,N5,"ACTUAL365")</f>
        <v>1</v>
      </c>
      <c r="P5" s="101">
        <v>2.75E-2</v>
      </c>
      <c r="Q5" s="17">
        <v>0.36499999999999999</v>
      </c>
      <c r="R5" s="16">
        <v>1.2500000000000001E-2</v>
      </c>
      <c r="S5" s="101">
        <v>1.7500000000000002E-2</v>
      </c>
      <c r="T5" s="101">
        <v>2.2499999999999999E-2</v>
      </c>
      <c r="U5" s="101">
        <v>2.75E-2</v>
      </c>
      <c r="V5" s="101">
        <v>3.2500000000000001E-2</v>
      </c>
      <c r="W5" s="101">
        <v>3.7499999999999999E-2</v>
      </c>
      <c r="X5" s="17">
        <v>4.2500000000000003E-2</v>
      </c>
      <c r="Y5" s="16">
        <v>0.53700000000000003</v>
      </c>
      <c r="Z5" s="101">
        <v>0.46899999999999997</v>
      </c>
      <c r="AA5" s="101">
        <v>0.39299999999999996</v>
      </c>
      <c r="AB5" s="101">
        <v>0.36499999999999999</v>
      </c>
      <c r="AC5" s="101">
        <v>0.41299999999999998</v>
      </c>
      <c r="AD5" s="101">
        <v>0.434</v>
      </c>
      <c r="AE5" s="17">
        <v>0.46899999999999997</v>
      </c>
      <c r="AF5" s="109">
        <v>1</v>
      </c>
      <c r="AG5" s="108">
        <v>0.5</v>
      </c>
      <c r="AH5" s="108">
        <v>0.2</v>
      </c>
      <c r="AI5" s="110">
        <v>0</v>
      </c>
      <c r="AJ5" s="133" t="str">
        <f>_xll.cegSABRModel("SWPT"&amp;M5,P5,O5,R5:X5,Y5:AE5,AF5:AI5,$AF$12:$AI$12)</f>
        <v>MODEL@SWPT1Yx10Y#21:05:14</v>
      </c>
      <c r="AK5" s="16" t="str">
        <v>beta:</v>
      </c>
      <c r="AL5" s="120">
        <v>0.50000000000000011</v>
      </c>
      <c r="AM5" s="16" t="str">
        <v>beta:</v>
      </c>
      <c r="AN5" s="120">
        <v>0.50000000000000011</v>
      </c>
      <c r="AO5" s="16" t="str">
        <v>beta:</v>
      </c>
      <c r="AP5" s="120">
        <v>0.50000000000000011</v>
      </c>
      <c r="AQ5" s="16" t="str">
        <v>beta:</v>
      </c>
      <c r="AR5" s="120">
        <v>0.50000000000000011</v>
      </c>
    </row>
    <row r="6" spans="1:44" ht="15.75" thickBot="1" x14ac:dyDescent="0.3">
      <c r="L6" s="118"/>
      <c r="M6" s="1" t="s">
        <v>54</v>
      </c>
      <c r="N6" s="99">
        <v>42167</v>
      </c>
      <c r="O6" s="100">
        <f>_xll.cegYearFraction($Y$1,N6,"ACTUAL365")</f>
        <v>2</v>
      </c>
      <c r="P6" s="101">
        <v>3.1800000000000002E-2</v>
      </c>
      <c r="Q6" s="17">
        <v>0.378</v>
      </c>
      <c r="R6" s="16">
        <v>1.6799999999999999E-2</v>
      </c>
      <c r="S6" s="101">
        <v>2.18E-2</v>
      </c>
      <c r="T6" s="101">
        <v>2.6800000000000001E-2</v>
      </c>
      <c r="U6" s="101">
        <v>3.1800000000000002E-2</v>
      </c>
      <c r="V6" s="101">
        <v>3.6799999999999999E-2</v>
      </c>
      <c r="W6" s="101">
        <v>4.1799999999999997E-2</v>
      </c>
      <c r="X6" s="17">
        <v>4.6799999999999994E-2</v>
      </c>
      <c r="Y6" s="16">
        <v>0.49399999999999999</v>
      </c>
      <c r="Z6" s="101">
        <v>0.44799999999999995</v>
      </c>
      <c r="AA6" s="101">
        <v>0.39600000000000002</v>
      </c>
      <c r="AB6" s="101">
        <v>0.37799999999999995</v>
      </c>
      <c r="AC6" s="101">
        <v>0.39500000000000002</v>
      </c>
      <c r="AD6" s="101">
        <v>0.41899999999999998</v>
      </c>
      <c r="AE6" s="17">
        <v>0.44</v>
      </c>
      <c r="AF6" s="109">
        <v>1</v>
      </c>
      <c r="AG6" s="108">
        <v>0.5</v>
      </c>
      <c r="AH6" s="108">
        <v>0.2</v>
      </c>
      <c r="AI6" s="110">
        <v>0</v>
      </c>
      <c r="AJ6" s="133" t="str">
        <f>_xll.cegSABRModel("SWPT"&amp;M6,P6,O6,R6:X6,Y6:AE6,AF6:AI6,$AF$12:$AI$12)</f>
        <v>MODEL@SWPT2Yx10Y#21:05:20</v>
      </c>
      <c r="AK6" s="16" t="str">
        <v>nu:</v>
      </c>
      <c r="AL6" s="120">
        <v>1.4835101569805691</v>
      </c>
      <c r="AM6" s="16" t="str">
        <v>nu:</v>
      </c>
      <c r="AN6" s="120">
        <v>1.074097419985844</v>
      </c>
      <c r="AO6" s="16" t="str">
        <v>nu:</v>
      </c>
      <c r="AP6" s="120">
        <v>0.89846027737587764</v>
      </c>
      <c r="AQ6" s="16" t="str">
        <v>nu:</v>
      </c>
      <c r="AR6" s="120">
        <v>0.75856980659593132</v>
      </c>
    </row>
    <row r="7" spans="1:44" ht="15.75" thickBot="1" x14ac:dyDescent="0.3">
      <c r="A7" s="75" t="s">
        <v>45</v>
      </c>
      <c r="B7" s="82" t="s">
        <v>38</v>
      </c>
      <c r="C7" s="83" t="s">
        <v>39</v>
      </c>
      <c r="D7" s="145" t="s">
        <v>46</v>
      </c>
      <c r="E7" s="146"/>
      <c r="L7" s="118"/>
      <c r="M7" s="1" t="s">
        <v>55</v>
      </c>
      <c r="N7" s="99">
        <v>42533</v>
      </c>
      <c r="O7" s="100">
        <f>_xll.cegYearFraction($Y$1,N7,"ACTUAL365")</f>
        <v>3.0027397260273974</v>
      </c>
      <c r="P7" s="101">
        <v>3.5000000000000003E-2</v>
      </c>
      <c r="Q7" s="17">
        <v>0.36599999999999999</v>
      </c>
      <c r="R7" s="16">
        <v>0.02</v>
      </c>
      <c r="S7" s="101">
        <v>2.5000000000000001E-2</v>
      </c>
      <c r="T7" s="101">
        <v>0.03</v>
      </c>
      <c r="U7" s="101">
        <v>3.5000000000000003E-2</v>
      </c>
      <c r="V7" s="101">
        <v>0.04</v>
      </c>
      <c r="W7" s="101">
        <v>4.4999999999999998E-2</v>
      </c>
      <c r="X7" s="17">
        <v>0.05</v>
      </c>
      <c r="Y7" s="16">
        <v>0.45600000000000002</v>
      </c>
      <c r="Z7" s="101">
        <v>0.41600000000000004</v>
      </c>
      <c r="AA7" s="101">
        <v>0.379</v>
      </c>
      <c r="AB7" s="101">
        <v>0.36599999999999999</v>
      </c>
      <c r="AC7" s="101">
        <v>0.37799999999999995</v>
      </c>
      <c r="AD7" s="101">
        <v>0.39200000000000002</v>
      </c>
      <c r="AE7" s="17">
        <v>0.4</v>
      </c>
      <c r="AF7" s="109">
        <v>1</v>
      </c>
      <c r="AG7" s="108">
        <v>0.5</v>
      </c>
      <c r="AH7" s="108">
        <v>0.2</v>
      </c>
      <c r="AI7" s="110">
        <v>0</v>
      </c>
      <c r="AJ7" s="133" t="str">
        <f>_xll.cegSABRModel("SWPT"&amp;M7,P7,O7,R7:X7,Y7:AE7,AF7:AI7,$AF$12:$AI$12)</f>
        <v>MODEL@SWPT3Yx10Y#21:05:16</v>
      </c>
      <c r="AK7" s="16" t="str">
        <v>rho:</v>
      </c>
      <c r="AL7" s="120">
        <v>0.35957009153392611</v>
      </c>
      <c r="AM7" s="16" t="str">
        <v>rho:</v>
      </c>
      <c r="AN7" s="120">
        <v>0.28193432179517253</v>
      </c>
      <c r="AO7" s="16" t="str">
        <v>rho:</v>
      </c>
      <c r="AP7" s="120">
        <v>0.23953024598966088</v>
      </c>
      <c r="AQ7" s="16" t="str">
        <v>rho:</v>
      </c>
      <c r="AR7" s="120">
        <v>0.20840173363401907</v>
      </c>
    </row>
    <row r="8" spans="1:44" x14ac:dyDescent="0.25">
      <c r="A8" s="71" t="s">
        <v>32</v>
      </c>
      <c r="B8" s="80">
        <v>1</v>
      </c>
      <c r="C8" s="80" t="b">
        <v>0</v>
      </c>
      <c r="D8" s="76" t="str">
        <f t="array" ref="D8:E13">_xll.cegGetSABRCalibratedParameters(G2)</f>
        <v>alpha:</v>
      </c>
      <c r="E8" s="92">
        <v>6.0050488724988818E-2</v>
      </c>
      <c r="L8" s="118"/>
      <c r="M8" s="1" t="s">
        <v>56</v>
      </c>
      <c r="N8" s="99">
        <v>42898</v>
      </c>
      <c r="O8" s="100">
        <f>_xll.cegYearFraction($Y$1,N8,"ACTUAL365")</f>
        <v>4.0027397260273974</v>
      </c>
      <c r="P8" s="101">
        <v>3.7600000000000001E-2</v>
      </c>
      <c r="Q8" s="17">
        <v>0.35</v>
      </c>
      <c r="R8" s="16">
        <v>2.2599999999999999E-2</v>
      </c>
      <c r="S8" s="101">
        <v>2.76E-2</v>
      </c>
      <c r="T8" s="101">
        <v>3.2599999999999997E-2</v>
      </c>
      <c r="U8" s="101">
        <v>3.7599999999999995E-2</v>
      </c>
      <c r="V8" s="101">
        <v>4.2599999999999999E-2</v>
      </c>
      <c r="W8" s="101">
        <v>4.7599999999999996E-2</v>
      </c>
      <c r="X8" s="17">
        <v>5.2600000000000001E-2</v>
      </c>
      <c r="Y8" s="16">
        <v>0.441</v>
      </c>
      <c r="Z8" s="101">
        <v>0.39799999999999996</v>
      </c>
      <c r="AA8" s="101">
        <v>0.37200000000000005</v>
      </c>
      <c r="AB8" s="101">
        <v>0.35</v>
      </c>
      <c r="AC8" s="101">
        <v>0.36</v>
      </c>
      <c r="AD8" s="101">
        <v>0.36899999999999999</v>
      </c>
      <c r="AE8" s="17">
        <v>0.375</v>
      </c>
      <c r="AF8" s="109">
        <v>1</v>
      </c>
      <c r="AG8" s="108">
        <v>0.5</v>
      </c>
      <c r="AH8" s="108">
        <v>0.2</v>
      </c>
      <c r="AI8" s="110">
        <v>0</v>
      </c>
      <c r="AJ8" s="133" t="str">
        <f>_xll.cegSABRModel("SWPT"&amp;M8,P8,O8,R8:X8,Y8:AE8,AF8:AI8,$AF$12:$AI$12)</f>
        <v>MODEL@SWPT4Yx10Y#21:05:19</v>
      </c>
      <c r="AK8" s="16" t="str">
        <v>rmsError:</v>
      </c>
      <c r="AL8" s="120">
        <v>6.8395107045510859E-3</v>
      </c>
      <c r="AM8" s="16" t="str">
        <v>rmsError:</v>
      </c>
      <c r="AN8" s="120">
        <v>1.1984015607775751E-2</v>
      </c>
      <c r="AO8" s="16" t="str">
        <v>rmsError:</v>
      </c>
      <c r="AP8" s="120">
        <v>7.4874356405665076E-3</v>
      </c>
      <c r="AQ8" s="16" t="str">
        <v>rmsError:</v>
      </c>
      <c r="AR8" s="120">
        <v>4.4320684409756674E-3</v>
      </c>
    </row>
    <row r="9" spans="1:44" ht="15.75" thickBot="1" x14ac:dyDescent="0.3">
      <c r="A9" s="71" t="s">
        <v>33</v>
      </c>
      <c r="B9" s="80">
        <v>0.5</v>
      </c>
      <c r="C9" s="80" t="b">
        <v>1</v>
      </c>
      <c r="D9" s="77" t="str">
        <v>beta:</v>
      </c>
      <c r="E9" s="93">
        <v>0.50000000000000011</v>
      </c>
      <c r="L9" s="118"/>
      <c r="M9" s="1" t="s">
        <v>57</v>
      </c>
      <c r="N9" s="99">
        <v>43263</v>
      </c>
      <c r="O9" s="100">
        <f>_xll.cegYearFraction($Y$1,N9,"ACTUAL365")</f>
        <v>5.0027397260273974</v>
      </c>
      <c r="P9" s="101">
        <v>3.9100000000000003E-2</v>
      </c>
      <c r="Q9" s="17">
        <v>0.31900000000000001</v>
      </c>
      <c r="R9" s="16">
        <v>2.41E-2</v>
      </c>
      <c r="S9" s="101">
        <v>2.9100000000000001E-2</v>
      </c>
      <c r="T9" s="101">
        <v>3.4099999999999998E-2</v>
      </c>
      <c r="U9" s="101">
        <v>3.9100000000000003E-2</v>
      </c>
      <c r="V9" s="101">
        <v>4.41E-2</v>
      </c>
      <c r="W9" s="101">
        <v>4.9100000000000005E-2</v>
      </c>
      <c r="X9" s="17">
        <v>5.4100000000000002E-2</v>
      </c>
      <c r="Y9" s="16">
        <v>0.41100000000000003</v>
      </c>
      <c r="Z9" s="101">
        <v>0.374</v>
      </c>
      <c r="AA9" s="101">
        <v>0.34700000000000003</v>
      </c>
      <c r="AB9" s="101">
        <v>0.31900000000000001</v>
      </c>
      <c r="AC9" s="101">
        <v>0.32600000000000001</v>
      </c>
      <c r="AD9" s="101">
        <v>0.33200000000000002</v>
      </c>
      <c r="AE9" s="17">
        <v>0.33799999999999997</v>
      </c>
      <c r="AF9" s="109">
        <v>1</v>
      </c>
      <c r="AG9" s="108">
        <v>0.5</v>
      </c>
      <c r="AH9" s="108">
        <v>0.2</v>
      </c>
      <c r="AI9" s="110">
        <v>0</v>
      </c>
      <c r="AJ9" s="133" t="str">
        <f>_xll.cegSABRModel("SWPT"&amp;M9,P9,O9,R9:X9,Y9:AE9,AF9:AI9,$AF$12:$AI$12)</f>
        <v>MODEL@SWPT5Yx10Y#21:05:15</v>
      </c>
      <c r="AK9" s="107" t="str">
        <v>maxError:</v>
      </c>
      <c r="AL9" s="121">
        <v>5.5386820423579342E-2</v>
      </c>
      <c r="AM9" s="107" t="str">
        <v>maxError:</v>
      </c>
      <c r="AN9" s="121">
        <v>2.7258658930000013E-2</v>
      </c>
      <c r="AO9" s="107" t="str">
        <v>maxError:</v>
      </c>
      <c r="AP9" s="121">
        <v>1.4200452647236461E-2</v>
      </c>
      <c r="AQ9" s="107" t="str">
        <v>maxError:</v>
      </c>
      <c r="AR9" s="121">
        <v>7.4032567171622432E-3</v>
      </c>
    </row>
    <row r="10" spans="1:44" x14ac:dyDescent="0.25">
      <c r="A10" s="71" t="s">
        <v>37</v>
      </c>
      <c r="B10" s="80">
        <v>0.2</v>
      </c>
      <c r="C10" s="80" t="b">
        <v>0</v>
      </c>
      <c r="D10" s="77" t="str">
        <v>nu:</v>
      </c>
      <c r="E10" s="93">
        <v>0.75856980659593132</v>
      </c>
      <c r="L10" s="118"/>
      <c r="M10" s="1" t="s">
        <v>58</v>
      </c>
      <c r="N10" s="99">
        <v>43994</v>
      </c>
      <c r="O10" s="100">
        <f>_xll.cegYearFraction($Y$1,N10,"ACTUAL365")</f>
        <v>7.0054794520547947</v>
      </c>
      <c r="P10" s="101">
        <v>4.0800000000000003E-2</v>
      </c>
      <c r="Q10" s="17">
        <v>0.28100000000000003</v>
      </c>
      <c r="R10" s="16">
        <v>2.58E-2</v>
      </c>
      <c r="S10" s="101">
        <v>3.0800000000000001E-2</v>
      </c>
      <c r="T10" s="101">
        <v>3.5799999999999998E-2</v>
      </c>
      <c r="U10" s="101">
        <v>4.0800000000000003E-2</v>
      </c>
      <c r="V10" s="101">
        <v>4.58E-2</v>
      </c>
      <c r="W10" s="101">
        <v>5.0799999999999998E-2</v>
      </c>
      <c r="X10" s="17">
        <v>5.5800000000000002E-2</v>
      </c>
      <c r="Y10" s="16">
        <v>0.35200000000000004</v>
      </c>
      <c r="Z10" s="101">
        <v>0.33399999999999996</v>
      </c>
      <c r="AA10" s="101">
        <v>0.30499999999999999</v>
      </c>
      <c r="AB10" s="101">
        <v>0.28100000000000003</v>
      </c>
      <c r="AC10" s="101">
        <v>0.28999999999999998</v>
      </c>
      <c r="AD10" s="101">
        <v>0.29600000000000004</v>
      </c>
      <c r="AE10" s="17">
        <v>0.30199999999999999</v>
      </c>
      <c r="AF10" s="109">
        <v>1</v>
      </c>
      <c r="AG10" s="108">
        <v>0.5</v>
      </c>
      <c r="AH10" s="108">
        <v>0.2</v>
      </c>
      <c r="AI10" s="110">
        <v>0</v>
      </c>
      <c r="AJ10" s="133" t="str">
        <f>_xll.cegSABRModel("SWPT"&amp;M10,P10,O10,R10:X10,Y10:AE10,AF10:AI10,$AF$12:$AI$12)</f>
        <v>MODEL@SWPT7Yx10Y#21:05:16</v>
      </c>
      <c r="AK10" s="14" t="str">
        <f t="array" ref="AK10:AL15">_xll.cegGetSABRCalibratedParameters(AJ8)</f>
        <v>alpha:</v>
      </c>
      <c r="AL10" s="119">
        <v>5.8457578726126433E-2</v>
      </c>
      <c r="AM10" s="14" t="str">
        <f t="array" ref="AM10:AN15">_xll.cegGetSABRCalibratedParameters(AJ9)</f>
        <v>alpha:</v>
      </c>
      <c r="AN10" s="119">
        <v>5.4056346152366028E-2</v>
      </c>
      <c r="AO10" s="14" t="str">
        <f t="array" ref="AO10:AP15">_xll.cegGetSABRCalibratedParameters(AJ10)</f>
        <v>alpha:</v>
      </c>
      <c r="AP10" s="119">
        <v>4.8301275126720236E-2</v>
      </c>
      <c r="AQ10" s="14" t="str">
        <f t="array" ref="AQ10:AR15">_xll.cegGetSABRCalibratedParameters(AJ11)</f>
        <v>alpha:</v>
      </c>
      <c r="AR10" s="119">
        <v>4.6607123974568697E-2</v>
      </c>
    </row>
    <row r="11" spans="1:44" ht="15.75" thickBot="1" x14ac:dyDescent="0.3">
      <c r="A11" s="69" t="s">
        <v>34</v>
      </c>
      <c r="B11" s="81">
        <v>0</v>
      </c>
      <c r="C11" s="81" t="b">
        <v>0</v>
      </c>
      <c r="D11" s="77" t="str">
        <v>rho:</v>
      </c>
      <c r="E11" s="93">
        <v>0.20840173363401907</v>
      </c>
      <c r="L11" s="118"/>
      <c r="M11" s="102" t="s">
        <v>59</v>
      </c>
      <c r="N11" s="103">
        <v>45089</v>
      </c>
      <c r="O11" s="104">
        <f>_xll.cegYearFraction($Y$1,N11,"ACTUAL365")</f>
        <v>10.005479452054795</v>
      </c>
      <c r="P11" s="105">
        <v>4.1200000000000001E-2</v>
      </c>
      <c r="Q11" s="106">
        <v>0.26600000000000001</v>
      </c>
      <c r="R11" s="107">
        <v>2.6200000000000001E-2</v>
      </c>
      <c r="S11" s="105">
        <v>3.1200000000000002E-2</v>
      </c>
      <c r="T11" s="105">
        <v>3.6200000000000003E-2</v>
      </c>
      <c r="U11" s="105">
        <v>4.1200000000000001E-2</v>
      </c>
      <c r="V11" s="105">
        <v>4.6199999999999998E-2</v>
      </c>
      <c r="W11" s="105">
        <v>5.1200000000000002E-2</v>
      </c>
      <c r="X11" s="106">
        <v>5.62E-2</v>
      </c>
      <c r="Y11" s="107">
        <v>0.32</v>
      </c>
      <c r="Z11" s="105">
        <v>0.31</v>
      </c>
      <c r="AA11" s="105">
        <v>0.28899999999999998</v>
      </c>
      <c r="AB11" s="105">
        <v>0.26600000000000001</v>
      </c>
      <c r="AC11" s="105">
        <v>0.26</v>
      </c>
      <c r="AD11" s="105">
        <v>0.26300000000000001</v>
      </c>
      <c r="AE11" s="106">
        <v>0.27300000000000002</v>
      </c>
      <c r="AF11" s="111">
        <v>1</v>
      </c>
      <c r="AG11" s="112">
        <v>0.5</v>
      </c>
      <c r="AH11" s="112">
        <v>0.2</v>
      </c>
      <c r="AI11" s="113">
        <v>0</v>
      </c>
      <c r="AJ11" s="134" t="str">
        <f>_xll.cegSABRModel("SWPT"&amp;M11,P11,O11,R11:X11,Y11:AE11,AF11:AI11,$AF$12:$AI$12)</f>
        <v>MODEL@SWPT10Yx10Y#21:05:17</v>
      </c>
      <c r="AK11" s="16" t="str">
        <v>beta:</v>
      </c>
      <c r="AL11" s="120">
        <v>0.50000000000000011</v>
      </c>
      <c r="AM11" s="16" t="str">
        <v>beta:</v>
      </c>
      <c r="AN11" s="120">
        <v>0.50000000000000011</v>
      </c>
      <c r="AO11" s="16" t="str">
        <v>beta:</v>
      </c>
      <c r="AP11" s="120">
        <v>0.50000000000000011</v>
      </c>
      <c r="AQ11" s="16" t="str">
        <v>beta:</v>
      </c>
      <c r="AR11" s="120">
        <v>0.50000000000000011</v>
      </c>
    </row>
    <row r="12" spans="1:44" ht="15.75" thickBot="1" x14ac:dyDescent="0.3">
      <c r="D12" s="77" t="str">
        <v>rmsError:</v>
      </c>
      <c r="E12" s="93">
        <v>4.4320684409756674E-3</v>
      </c>
      <c r="AF12" t="b">
        <v>0</v>
      </c>
      <c r="AG12" t="b">
        <v>1</v>
      </c>
      <c r="AH12" t="b">
        <v>0</v>
      </c>
      <c r="AI12" t="b">
        <v>0</v>
      </c>
      <c r="AK12" s="16" t="str">
        <v>nu:</v>
      </c>
      <c r="AL12" s="120">
        <v>0.71454716771070492</v>
      </c>
      <c r="AM12" s="16" t="str">
        <v>nu:</v>
      </c>
      <c r="AN12" s="120">
        <v>0.67096298290035938</v>
      </c>
      <c r="AO12" s="16" t="str">
        <v>nu:</v>
      </c>
      <c r="AP12" s="120">
        <v>0.58900944218324502</v>
      </c>
      <c r="AQ12" s="16" t="str">
        <v>nu:</v>
      </c>
      <c r="AR12" s="120">
        <v>0.4533730059536098</v>
      </c>
    </row>
    <row r="13" spans="1:44" ht="15.75" thickBot="1" x14ac:dyDescent="0.3">
      <c r="D13" s="78" t="str">
        <v>maxError:</v>
      </c>
      <c r="E13" s="94">
        <v>7.4032567171622432E-3</v>
      </c>
      <c r="M13" s="95" t="s">
        <v>46</v>
      </c>
      <c r="N13" s="96" t="s">
        <v>48</v>
      </c>
      <c r="O13" s="97" t="s">
        <v>49</v>
      </c>
      <c r="P13" s="97" t="s">
        <v>35</v>
      </c>
      <c r="Q13" s="98" t="s">
        <v>50</v>
      </c>
      <c r="R13" s="139" t="s">
        <v>60</v>
      </c>
      <c r="S13" s="140"/>
      <c r="T13" s="140"/>
      <c r="U13" s="140"/>
      <c r="V13" s="140"/>
      <c r="W13" s="140"/>
      <c r="X13" s="141"/>
      <c r="Y13" s="139" t="s">
        <v>61</v>
      </c>
      <c r="Z13" s="140"/>
      <c r="AA13" s="140"/>
      <c r="AB13" s="140"/>
      <c r="AC13" s="140"/>
      <c r="AD13" s="140"/>
      <c r="AE13" s="141"/>
      <c r="AF13" s="114" t="s">
        <v>30</v>
      </c>
      <c r="AG13" s="115" t="s">
        <v>31</v>
      </c>
      <c r="AH13" s="115" t="s">
        <v>62</v>
      </c>
      <c r="AI13" s="116" t="s">
        <v>20</v>
      </c>
      <c r="AK13" s="16" t="str">
        <v>rho:</v>
      </c>
      <c r="AL13" s="120">
        <v>0.13868274334396327</v>
      </c>
      <c r="AM13" s="16" t="str">
        <v>rho:</v>
      </c>
      <c r="AN13" s="120">
        <v>5.6130829806780566E-2</v>
      </c>
      <c r="AO13" s="16" t="str">
        <v>rho:</v>
      </c>
      <c r="AP13" s="120">
        <v>8.1169889255870348E-2</v>
      </c>
      <c r="AQ13" s="16" t="str">
        <v>rho:</v>
      </c>
      <c r="AR13" s="120">
        <v>1.6364426396549923E-2</v>
      </c>
    </row>
    <row r="14" spans="1:44" x14ac:dyDescent="0.25">
      <c r="M14" s="1" t="s">
        <v>52</v>
      </c>
      <c r="N14" s="99">
        <v>41529</v>
      </c>
      <c r="O14" s="100">
        <f>_xll.cegYearFraction($Y$1,N14,"ACTUAL365")</f>
        <v>0.25205479452054796</v>
      </c>
      <c r="P14" s="101">
        <v>2.5000000000000001E-2</v>
      </c>
      <c r="Q14" s="17">
        <v>0.34100000000000003</v>
      </c>
      <c r="R14" s="16">
        <v>0.01</v>
      </c>
      <c r="S14" s="101">
        <v>1.4999999999999999E-2</v>
      </c>
      <c r="T14" s="101">
        <v>0.02</v>
      </c>
      <c r="U14" s="101">
        <v>2.5000000000000001E-2</v>
      </c>
      <c r="V14" s="101">
        <v>0.03</v>
      </c>
      <c r="W14" s="101">
        <v>3.5000000000000003E-2</v>
      </c>
      <c r="X14" s="17">
        <v>0.04</v>
      </c>
      <c r="Y14" s="128">
        <f>_xll.cegGetSABRInterpolatedValue($AJ4,R14)</f>
        <v>0.63138682042357941</v>
      </c>
      <c r="Z14" s="129">
        <f>_xll.cegGetSABRInterpolatedValue($AJ4,S14)</f>
        <v>0.46049772386968679</v>
      </c>
      <c r="AA14" s="129">
        <f>_xll.cegGetSABRInterpolatedValue($AJ4,T14)</f>
        <v>0.35642385127827692</v>
      </c>
      <c r="AB14" s="129">
        <f>_xll.cegGetSABRInterpolatedValue($AJ4,U14)</f>
        <v>0.34554809563325062</v>
      </c>
      <c r="AC14" s="129">
        <f>_xll.cegGetSABRInterpolatedValue($AJ4,V14)</f>
        <v>0.40122172480906093</v>
      </c>
      <c r="AD14" s="129">
        <f>_xll.cegGetSABRInterpolatedValue($AJ4,W14)</f>
        <v>0.46044569006281555</v>
      </c>
      <c r="AE14" s="120">
        <f>_xll.cegGetSABRInterpolatedValue($AJ4,X14)</f>
        <v>0.51170169438391067</v>
      </c>
      <c r="AF14" s="122">
        <f>AL4</f>
        <v>5.2377567362807728E-2</v>
      </c>
      <c r="AG14" s="123">
        <f>AL5</f>
        <v>0.50000000000000011</v>
      </c>
      <c r="AH14" s="123">
        <f>AL6</f>
        <v>1.4835101569805691</v>
      </c>
      <c r="AI14" s="124">
        <f>AL7</f>
        <v>0.35957009153392611</v>
      </c>
      <c r="AK14" s="16" t="str">
        <v>rmsError:</v>
      </c>
      <c r="AL14" s="120">
        <v>3.9066954511094171E-3</v>
      </c>
      <c r="AM14" s="16" t="str">
        <v>rmsError:</v>
      </c>
      <c r="AN14" s="120">
        <v>4.6902770366104643E-3</v>
      </c>
      <c r="AO14" s="16" t="str">
        <v>rmsError:</v>
      </c>
      <c r="AP14" s="120">
        <v>6.3638792919510079E-3</v>
      </c>
      <c r="AQ14" s="16" t="str">
        <v>rmsError:</v>
      </c>
      <c r="AR14" s="120">
        <v>6.8030373733753554E-3</v>
      </c>
    </row>
    <row r="15" spans="1:44" ht="15.75" thickBot="1" x14ac:dyDescent="0.3">
      <c r="M15" s="1" t="s">
        <v>53</v>
      </c>
      <c r="N15" s="99">
        <v>41802</v>
      </c>
      <c r="O15" s="100">
        <f>_xll.cegYearFraction($Y$1,N15,"ACTUAL365")</f>
        <v>1</v>
      </c>
      <c r="P15" s="101">
        <v>2.75E-2</v>
      </c>
      <c r="Q15" s="17">
        <v>0.36499999999999999</v>
      </c>
      <c r="R15" s="16">
        <v>1.2500000000000001E-2</v>
      </c>
      <c r="S15" s="101">
        <v>1.7500000000000002E-2</v>
      </c>
      <c r="T15" s="101">
        <v>2.2499999999999999E-2</v>
      </c>
      <c r="U15" s="101">
        <v>2.75E-2</v>
      </c>
      <c r="V15" s="101">
        <v>3.2500000000000001E-2</v>
      </c>
      <c r="W15" s="101">
        <v>3.7499999999999999E-2</v>
      </c>
      <c r="X15" s="17">
        <v>4.2500000000000003E-2</v>
      </c>
      <c r="Y15" s="128">
        <f>_xll.cegGetSABRInterpolatedValue($AJ5,R15)</f>
        <v>0.56425865893000005</v>
      </c>
      <c r="Z15" s="129">
        <f>_xll.cegGetSABRInterpolatedValue($AJ5,S15)</f>
        <v>0.45087777478253427</v>
      </c>
      <c r="AA15" s="129">
        <f>_xll.cegGetSABRInterpolatedValue($AJ5,T15)</f>
        <v>0.3884742848404325</v>
      </c>
      <c r="AB15" s="129">
        <f>_xll.cegGetSABRInterpolatedValue($AJ5,U15)</f>
        <v>0.37902124821136651</v>
      </c>
      <c r="AC15" s="129">
        <f>_xll.cegGetSABRInterpolatedValue($AJ5,V15)</f>
        <v>0.40333183654574534</v>
      </c>
      <c r="AD15" s="129">
        <f>_xll.cegGetSABRInterpolatedValue($AJ5,W15)</f>
        <v>0.43621015544180691</v>
      </c>
      <c r="AE15" s="120">
        <f>_xll.cegGetSABRInterpolatedValue($AJ5,X15)</f>
        <v>0.46815557505970012</v>
      </c>
      <c r="AF15" s="122">
        <f>AN4</f>
        <v>5.7193070300741319E-2</v>
      </c>
      <c r="AG15" s="123">
        <f>AN5</f>
        <v>0.50000000000000011</v>
      </c>
      <c r="AH15" s="123">
        <f>AN6</f>
        <v>1.074097419985844</v>
      </c>
      <c r="AI15" s="124">
        <f>AN7</f>
        <v>0.28193432179517253</v>
      </c>
      <c r="AK15" s="107" t="str">
        <v>maxError:</v>
      </c>
      <c r="AL15" s="121">
        <v>6.9828053731075812E-3</v>
      </c>
      <c r="AM15" s="107" t="str">
        <v>maxError:</v>
      </c>
      <c r="AN15" s="121">
        <v>8.2646094389757785E-3</v>
      </c>
      <c r="AO15" s="107" t="str">
        <v>maxError:</v>
      </c>
      <c r="AP15" s="121">
        <v>9.9698223582193601E-3</v>
      </c>
      <c r="AQ15" s="107" t="str">
        <v>maxError:</v>
      </c>
      <c r="AR15" s="121">
        <v>9.0633132189429921E-3</v>
      </c>
    </row>
    <row r="16" spans="1:44" x14ac:dyDescent="0.25">
      <c r="M16" s="1" t="s">
        <v>54</v>
      </c>
      <c r="N16" s="99">
        <v>42167</v>
      </c>
      <c r="O16" s="100">
        <f>_xll.cegYearFraction($Y$1,N16,"ACTUAL365")</f>
        <v>2</v>
      </c>
      <c r="P16" s="101">
        <v>3.1800000000000002E-2</v>
      </c>
      <c r="Q16" s="17">
        <v>0.378</v>
      </c>
      <c r="R16" s="16">
        <v>1.6799999999999999E-2</v>
      </c>
      <c r="S16" s="101">
        <v>2.18E-2</v>
      </c>
      <c r="T16" s="101">
        <v>2.6800000000000001E-2</v>
      </c>
      <c r="U16" s="101">
        <v>3.1800000000000002E-2</v>
      </c>
      <c r="V16" s="101">
        <v>3.6799999999999999E-2</v>
      </c>
      <c r="W16" s="101">
        <v>4.1799999999999997E-2</v>
      </c>
      <c r="X16" s="17">
        <v>4.6799999999999994E-2</v>
      </c>
      <c r="Y16" s="128">
        <f>_xll.cegGetSABRInterpolatedValue($AJ6,R16)</f>
        <v>0.50758691642804565</v>
      </c>
      <c r="Z16" s="129">
        <f>_xll.cegGetSABRInterpolatedValue($AJ6,S16)</f>
        <v>0.43379954735276349</v>
      </c>
      <c r="AA16" s="129">
        <f>_xll.cegGetSABRInterpolatedValue($AJ6,T16)</f>
        <v>0.39383696064146545</v>
      </c>
      <c r="AB16" s="129">
        <f>_xll.cegGetSABRInterpolatedValue($AJ6,U16)</f>
        <v>0.38514837668428586</v>
      </c>
      <c r="AC16" s="129">
        <f>_xll.cegGetSABRInterpolatedValue($AJ6,V16)</f>
        <v>0.39685773971223609</v>
      </c>
      <c r="AD16" s="129">
        <f>_xll.cegGetSABRInterpolatedValue($AJ6,W16)</f>
        <v>0.41667380612507421</v>
      </c>
      <c r="AE16" s="120">
        <f>_xll.cegGetSABRInterpolatedValue($AJ6,X16)</f>
        <v>0.43815167482992146</v>
      </c>
      <c r="AF16" s="122">
        <f>AP4</f>
        <v>6.0065636722622981E-2</v>
      </c>
      <c r="AG16" s="123">
        <f>AP5</f>
        <v>0.50000000000000011</v>
      </c>
      <c r="AH16" s="123">
        <f>AP6</f>
        <v>0.89846027737587764</v>
      </c>
      <c r="AI16" s="124">
        <f>AP7</f>
        <v>0.23953024598966088</v>
      </c>
    </row>
    <row r="17" spans="13:35" x14ac:dyDescent="0.25">
      <c r="M17" s="1" t="s">
        <v>55</v>
      </c>
      <c r="N17" s="99">
        <v>42533</v>
      </c>
      <c r="O17" s="100">
        <f>_xll.cegYearFraction($Y$1,N17,"ACTUAL365")</f>
        <v>3.0027397260273974</v>
      </c>
      <c r="P17" s="101">
        <v>3.5000000000000003E-2</v>
      </c>
      <c r="Q17" s="17">
        <v>0.36599999999999999</v>
      </c>
      <c r="R17" s="16">
        <v>0.02</v>
      </c>
      <c r="S17" s="101">
        <v>2.5000000000000001E-2</v>
      </c>
      <c r="T17" s="101">
        <v>0.03</v>
      </c>
      <c r="U17" s="101">
        <v>3.5000000000000003E-2</v>
      </c>
      <c r="V17" s="101">
        <v>0.04</v>
      </c>
      <c r="W17" s="101">
        <v>4.4999999999999998E-2</v>
      </c>
      <c r="X17" s="17">
        <v>0.05</v>
      </c>
      <c r="Y17" s="128">
        <f>_xll.cegGetSABRInterpolatedValue($AJ7,R17)</f>
        <v>0.46067172934403411</v>
      </c>
      <c r="Z17" s="129">
        <f>_xll.cegGetSABRInterpolatedValue($AJ7,S17)</f>
        <v>0.40859674328283779</v>
      </c>
      <c r="AA17" s="129">
        <f>_xll.cegGetSABRInterpolatedValue($AJ7,T17)</f>
        <v>0.37990144380903468</v>
      </c>
      <c r="AB17" s="129">
        <f>_xll.cegGetSABRInterpolatedValue($AJ7,U17)</f>
        <v>0.37133820546658619</v>
      </c>
      <c r="AC17" s="129">
        <f>_xll.cegGetSABRInterpolatedValue($AJ7,V17)</f>
        <v>0.37636137253848395</v>
      </c>
      <c r="AD17" s="129">
        <f>_xll.cegGetSABRInterpolatedValue($AJ7,W17)</f>
        <v>0.38811436571231578</v>
      </c>
      <c r="AE17" s="120">
        <f>_xll.cegGetSABRInterpolatedValue($AJ7,X17)</f>
        <v>0.40231575985477047</v>
      </c>
      <c r="AF17" s="122">
        <f>AR4</f>
        <v>6.0050488724988818E-2</v>
      </c>
      <c r="AG17" s="123">
        <f>AR5</f>
        <v>0.50000000000000011</v>
      </c>
      <c r="AH17" s="123">
        <f>AR6</f>
        <v>0.75856980659593132</v>
      </c>
      <c r="AI17" s="124">
        <f>AR7</f>
        <v>0.20840173363401907</v>
      </c>
    </row>
    <row r="18" spans="13:35" x14ac:dyDescent="0.25">
      <c r="M18" s="1" t="s">
        <v>56</v>
      </c>
      <c r="N18" s="99">
        <v>42898</v>
      </c>
      <c r="O18" s="100">
        <f>_xll.cegYearFraction($Y$1,N18,"ACTUAL365")</f>
        <v>4.0027397260273974</v>
      </c>
      <c r="P18" s="101">
        <v>3.7600000000000001E-2</v>
      </c>
      <c r="Q18" s="17">
        <v>0.35</v>
      </c>
      <c r="R18" s="16">
        <v>2.2599999999999999E-2</v>
      </c>
      <c r="S18" s="101">
        <v>2.76E-2</v>
      </c>
      <c r="T18" s="101">
        <v>3.2599999999999997E-2</v>
      </c>
      <c r="U18" s="101">
        <v>3.7599999999999995E-2</v>
      </c>
      <c r="V18" s="101">
        <v>4.2599999999999999E-2</v>
      </c>
      <c r="W18" s="101">
        <v>4.7599999999999996E-2</v>
      </c>
      <c r="X18" s="17">
        <v>5.2600000000000001E-2</v>
      </c>
      <c r="Y18" s="128">
        <f>_xll.cegGetSABRInterpolatedValue($AJ8,R18)</f>
        <v>0.4428447354894367</v>
      </c>
      <c r="Z18" s="129">
        <f>_xll.cegGetSABRInterpolatedValue($AJ8,S18)</f>
        <v>0.39624047768651571</v>
      </c>
      <c r="AA18" s="129">
        <f>_xll.cegGetSABRInterpolatedValue($AJ8,T18)</f>
        <v>0.36830401701326676</v>
      </c>
      <c r="AB18" s="129">
        <f>_xll.cegGetSABRInterpolatedValue($AJ8,U18)</f>
        <v>0.35698280537310756</v>
      </c>
      <c r="AC18" s="129">
        <f>_xll.cegGetSABRInterpolatedValue($AJ8,V18)</f>
        <v>0.35791201356686297</v>
      </c>
      <c r="AD18" s="129">
        <f>_xll.cegGetSABRInterpolatedValue($AJ8,W18)</f>
        <v>0.36584101764312149</v>
      </c>
      <c r="AE18" s="120">
        <f>_xll.cegGetSABRInterpolatedValue($AJ8,X18)</f>
        <v>0.37694220482485086</v>
      </c>
      <c r="AF18" s="122">
        <f>AL10</f>
        <v>5.8457578726126433E-2</v>
      </c>
      <c r="AG18" s="123">
        <f>AL11</f>
        <v>0.50000000000000011</v>
      </c>
      <c r="AH18" s="123">
        <f>AL12</f>
        <v>0.71454716771070492</v>
      </c>
      <c r="AI18" s="124">
        <f>AL13</f>
        <v>0.13868274334396327</v>
      </c>
    </row>
    <row r="19" spans="13:35" x14ac:dyDescent="0.25">
      <c r="M19" s="1" t="s">
        <v>57</v>
      </c>
      <c r="N19" s="99">
        <v>43263</v>
      </c>
      <c r="O19" s="100">
        <f>_xll.cegYearFraction($Y$1,N19,"ACTUAL365")</f>
        <v>5.0027397260273974</v>
      </c>
      <c r="P19" s="101">
        <v>3.9100000000000003E-2</v>
      </c>
      <c r="Q19" s="17">
        <v>0.31900000000000001</v>
      </c>
      <c r="R19" s="16">
        <v>2.41E-2</v>
      </c>
      <c r="S19" s="101">
        <v>2.9100000000000001E-2</v>
      </c>
      <c r="T19" s="101">
        <v>3.4099999999999998E-2</v>
      </c>
      <c r="U19" s="101">
        <v>3.9100000000000003E-2</v>
      </c>
      <c r="V19" s="101">
        <v>4.41E-2</v>
      </c>
      <c r="W19" s="101">
        <v>4.9100000000000005E-2</v>
      </c>
      <c r="X19" s="17">
        <v>5.4100000000000002E-2</v>
      </c>
      <c r="Y19" s="128">
        <f>_xll.cegGetSABRInterpolatedValue($AJ9,R19)</f>
        <v>0.41490764137412295</v>
      </c>
      <c r="Z19" s="129">
        <f>_xll.cegGetSABRInterpolatedValue($AJ9,S19)</f>
        <v>0.37039609693954034</v>
      </c>
      <c r="AA19" s="129">
        <f>_xll.cegGetSABRInterpolatedValue($AJ9,T19)</f>
        <v>0.34152089202476937</v>
      </c>
      <c r="AB19" s="129">
        <f>_xll.cegGetSABRInterpolatedValue($AJ9,U19)</f>
        <v>0.32726460943897578</v>
      </c>
      <c r="AC19" s="129">
        <f>_xll.cegGetSABRInterpolatedValue($AJ9,V19)</f>
        <v>0.32477806193013609</v>
      </c>
      <c r="AD19" s="129">
        <f>_xll.cegGetSABRInterpolatedValue($AJ9,W19)</f>
        <v>0.32975475505182028</v>
      </c>
      <c r="AE19" s="120">
        <f>_xll.cegGetSABRInterpolatedValue($AJ9,X19)</f>
        <v>0.33853058306795969</v>
      </c>
      <c r="AF19" s="122">
        <f>AN10</f>
        <v>5.4056346152366028E-2</v>
      </c>
      <c r="AG19" s="123">
        <f>AN11</f>
        <v>0.50000000000000011</v>
      </c>
      <c r="AH19" s="123">
        <f>AN12</f>
        <v>0.67096298290035938</v>
      </c>
      <c r="AI19" s="124">
        <f>AN13</f>
        <v>5.6130829806780566E-2</v>
      </c>
    </row>
    <row r="20" spans="13:35" x14ac:dyDescent="0.25">
      <c r="M20" s="1" t="s">
        <v>58</v>
      </c>
      <c r="N20" s="99">
        <v>43994</v>
      </c>
      <c r="O20" s="100">
        <f>_xll.cegYearFraction($Y$1,N20,"ACTUAL365")</f>
        <v>7.0054794520547947</v>
      </c>
      <c r="P20" s="101">
        <v>4.0800000000000003E-2</v>
      </c>
      <c r="Q20" s="17">
        <v>0.28100000000000003</v>
      </c>
      <c r="R20" s="16">
        <v>2.58E-2</v>
      </c>
      <c r="S20" s="101">
        <v>3.0800000000000001E-2</v>
      </c>
      <c r="T20" s="101">
        <v>3.5799999999999998E-2</v>
      </c>
      <c r="U20" s="101">
        <v>4.0800000000000003E-2</v>
      </c>
      <c r="V20" s="101">
        <v>4.58E-2</v>
      </c>
      <c r="W20" s="101">
        <v>5.0799999999999998E-2</v>
      </c>
      <c r="X20" s="17">
        <v>5.5800000000000002E-2</v>
      </c>
      <c r="Y20" s="128">
        <f>_xll.cegGetSABRInterpolatedValue($AJ10,R20)</f>
        <v>0.35971624360184862</v>
      </c>
      <c r="Z20" s="129">
        <f>_xll.cegGetSABRInterpolatedValue($AJ10,S20)</f>
        <v>0.3240301776417806</v>
      </c>
      <c r="AA20" s="129">
        <f>_xll.cegGetSABRInterpolatedValue($AJ10,T20)</f>
        <v>0.30125605494708207</v>
      </c>
      <c r="AB20" s="129">
        <f>_xll.cegGetSABRInterpolatedValue($AJ10,U20)</f>
        <v>0.29047180362071395</v>
      </c>
      <c r="AC20" s="129">
        <f>_xll.cegGetSABRInterpolatedValue($AJ10,V20)</f>
        <v>0.28918808567986465</v>
      </c>
      <c r="AD20" s="129">
        <f>_xll.cegGetSABRInterpolatedValue($AJ10,W20)</f>
        <v>0.29389513647158388</v>
      </c>
      <c r="AE20" s="120">
        <f>_xll.cegGetSABRInterpolatedValue($AJ10,X20)</f>
        <v>0.3016732190232343</v>
      </c>
      <c r="AF20" s="122">
        <f>AP10</f>
        <v>4.8301275126720236E-2</v>
      </c>
      <c r="AG20" s="123">
        <f>AP11</f>
        <v>0.50000000000000011</v>
      </c>
      <c r="AH20" s="123">
        <f>AP12</f>
        <v>0.58900944218324502</v>
      </c>
      <c r="AI20" s="124">
        <f>AP13</f>
        <v>8.1169889255870348E-2</v>
      </c>
    </row>
    <row r="21" spans="13:35" ht="15.75" thickBot="1" x14ac:dyDescent="0.3">
      <c r="M21" s="102" t="s">
        <v>59</v>
      </c>
      <c r="N21" s="103">
        <v>45089</v>
      </c>
      <c r="O21" s="104">
        <f>_xll.cegYearFraction($Y$1,N21,"ACTUAL365")</f>
        <v>10.005479452054795</v>
      </c>
      <c r="P21" s="105">
        <v>4.1200000000000001E-2</v>
      </c>
      <c r="Q21" s="106">
        <v>0.26600000000000001</v>
      </c>
      <c r="R21" s="107">
        <v>2.6200000000000001E-2</v>
      </c>
      <c r="S21" s="105">
        <v>3.1200000000000002E-2</v>
      </c>
      <c r="T21" s="105">
        <v>3.6200000000000003E-2</v>
      </c>
      <c r="U21" s="105">
        <v>4.1200000000000001E-2</v>
      </c>
      <c r="V21" s="105">
        <v>4.6199999999999998E-2</v>
      </c>
      <c r="W21" s="105">
        <v>5.1200000000000002E-2</v>
      </c>
      <c r="X21" s="106">
        <v>5.62E-2</v>
      </c>
      <c r="Y21" s="130">
        <f>_xll.cegGetSABRInterpolatedValue($AJ11,R21)</f>
        <v>0.32902147000523951</v>
      </c>
      <c r="Z21" s="131">
        <f>_xll.cegGetSABRInterpolatedValue($AJ11,S21)</f>
        <v>0.30093668678105701</v>
      </c>
      <c r="AA21" s="131">
        <f>_xll.cegGetSABRInterpolatedValue($AJ11,T21)</f>
        <v>0.28190840303813702</v>
      </c>
      <c r="AB21" s="131">
        <f>_xll.cegGetSABRInterpolatedValue($AJ11,U21)</f>
        <v>0.27070444355836443</v>
      </c>
      <c r="AC21" s="131">
        <f>_xll.cegGetSABRInterpolatedValue($AJ11,V21)</f>
        <v>0.2657722055609853</v>
      </c>
      <c r="AD21" s="131">
        <f>_xll.cegGetSABRInterpolatedValue($AJ11,W21)</f>
        <v>0.26529133486369588</v>
      </c>
      <c r="AE21" s="121">
        <f>_xll.cegGetSABRInterpolatedValue($AJ11,X21)</f>
        <v>0.26761680878740057</v>
      </c>
      <c r="AF21" s="125">
        <f>AR10</f>
        <v>4.6607123974568697E-2</v>
      </c>
      <c r="AG21" s="126">
        <f>AR11</f>
        <v>0.50000000000000011</v>
      </c>
      <c r="AH21" s="126">
        <f>AR12</f>
        <v>0.4533730059536098</v>
      </c>
      <c r="AI21" s="127">
        <f>AR13</f>
        <v>1.6364426396549923E-2</v>
      </c>
    </row>
  </sheetData>
  <mergeCells count="7">
    <mergeCell ref="AF2:AI2"/>
    <mergeCell ref="R13:X13"/>
    <mergeCell ref="Y13:AE13"/>
    <mergeCell ref="AJ3:AR3"/>
    <mergeCell ref="D7:E7"/>
    <mergeCell ref="R3:X3"/>
    <mergeCell ref="Y3:AE3"/>
  </mergeCells>
  <hyperlinks>
    <hyperlink ref="N1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E17" sqref="E17"/>
    </sheetView>
  </sheetViews>
  <sheetFormatPr defaultRowHeight="15" x14ac:dyDescent="0.25"/>
  <sheetData>
    <row r="1" spans="1:23" x14ac:dyDescent="0.25">
      <c r="B1" t="s">
        <v>64</v>
      </c>
      <c r="C1">
        <v>80</v>
      </c>
      <c r="D1">
        <v>82</v>
      </c>
      <c r="E1">
        <v>84</v>
      </c>
      <c r="F1">
        <v>86</v>
      </c>
      <c r="G1">
        <v>88</v>
      </c>
      <c r="H1">
        <v>90</v>
      </c>
      <c r="I1">
        <v>92</v>
      </c>
      <c r="J1">
        <v>94</v>
      </c>
      <c r="K1">
        <v>96</v>
      </c>
      <c r="L1">
        <v>98</v>
      </c>
      <c r="M1">
        <v>100</v>
      </c>
      <c r="N1">
        <v>102</v>
      </c>
      <c r="O1">
        <v>104</v>
      </c>
      <c r="P1">
        <v>106</v>
      </c>
      <c r="Q1">
        <v>108</v>
      </c>
      <c r="R1">
        <v>110</v>
      </c>
      <c r="S1">
        <v>112</v>
      </c>
      <c r="T1">
        <v>114</v>
      </c>
      <c r="U1">
        <v>116</v>
      </c>
      <c r="V1">
        <v>118</v>
      </c>
      <c r="W1">
        <v>120</v>
      </c>
    </row>
    <row r="2" spans="1:23" x14ac:dyDescent="0.25">
      <c r="A2">
        <v>40</v>
      </c>
      <c r="B2">
        <f>A2/365</f>
        <v>0.1095890410958904</v>
      </c>
      <c r="C2">
        <v>20.372</v>
      </c>
      <c r="D2">
        <v>18.382999999999999</v>
      </c>
      <c r="E2">
        <v>16.396000000000001</v>
      </c>
      <c r="F2">
        <v>14.414</v>
      </c>
      <c r="G2">
        <v>12.445</v>
      </c>
      <c r="H2">
        <v>10.500999999999999</v>
      </c>
      <c r="I2">
        <v>8.6050000000000004</v>
      </c>
      <c r="J2">
        <v>6.7939999999999996</v>
      </c>
      <c r="K2">
        <v>5.1280000000000001</v>
      </c>
      <c r="L2">
        <v>3.6659999999999999</v>
      </c>
      <c r="M2">
        <v>2.4729999999999999</v>
      </c>
      <c r="N2">
        <v>1.577</v>
      </c>
      <c r="O2">
        <v>0.96</v>
      </c>
      <c r="P2">
        <v>0.56000000000000005</v>
      </c>
      <c r="Q2">
        <v>0.32400000000000001</v>
      </c>
      <c r="R2">
        <v>0.185</v>
      </c>
      <c r="S2">
        <v>0.10299999999999999</v>
      </c>
      <c r="T2">
        <v>5.7000000000000002E-2</v>
      </c>
      <c r="U2">
        <v>3.2000000000000001E-2</v>
      </c>
      <c r="V2">
        <v>1.7999999999999999E-2</v>
      </c>
      <c r="W2">
        <v>0.01</v>
      </c>
    </row>
    <row r="3" spans="1:23" x14ac:dyDescent="0.25">
      <c r="A3">
        <v>50</v>
      </c>
      <c r="B3">
        <f t="shared" ref="B3:B13" si="0">A3/365</f>
        <v>0.13698630136986301</v>
      </c>
      <c r="C3">
        <v>20.495000000000001</v>
      </c>
      <c r="D3">
        <v>18.510000000000002</v>
      </c>
      <c r="E3">
        <v>16.527999999999999</v>
      </c>
      <c r="F3">
        <v>14.557</v>
      </c>
      <c r="G3">
        <v>12.602</v>
      </c>
      <c r="H3">
        <v>10.680999999999999</v>
      </c>
      <c r="I3">
        <v>8.8179999999999996</v>
      </c>
      <c r="J3">
        <v>7.0510000000000002</v>
      </c>
      <c r="K3">
        <v>5.4260000000000002</v>
      </c>
      <c r="L3">
        <v>4.0010000000000003</v>
      </c>
      <c r="M3">
        <v>2.82</v>
      </c>
      <c r="N3">
        <v>1.8979999999999999</v>
      </c>
      <c r="O3">
        <v>1.228</v>
      </c>
      <c r="P3">
        <v>0.76800000000000002</v>
      </c>
      <c r="Q3">
        <v>0.46899999999999997</v>
      </c>
      <c r="R3">
        <v>0.28499999999999998</v>
      </c>
      <c r="S3">
        <v>0.17100000000000001</v>
      </c>
      <c r="T3">
        <v>0.10199999999999999</v>
      </c>
      <c r="U3">
        <v>6.0999999999999999E-2</v>
      </c>
      <c r="V3">
        <v>3.9E-2</v>
      </c>
      <c r="W3">
        <v>2.4E-2</v>
      </c>
    </row>
    <row r="4" spans="1:23" x14ac:dyDescent="0.25">
      <c r="A4">
        <v>60</v>
      </c>
      <c r="B4">
        <f t="shared" si="0"/>
        <v>0.16438356164383561</v>
      </c>
      <c r="C4">
        <v>20.611000000000001</v>
      </c>
      <c r="D4">
        <v>18.632000000000001</v>
      </c>
      <c r="E4">
        <v>16.66</v>
      </c>
      <c r="F4">
        <v>14.7</v>
      </c>
      <c r="G4">
        <v>12.76</v>
      </c>
      <c r="H4">
        <v>10.86</v>
      </c>
      <c r="I4">
        <v>9.0299999999999994</v>
      </c>
      <c r="J4">
        <v>7.3029999999999999</v>
      </c>
      <c r="K4">
        <v>5.72</v>
      </c>
      <c r="L4">
        <v>4.3280000000000003</v>
      </c>
      <c r="M4">
        <v>3.1509999999999998</v>
      </c>
      <c r="N4">
        <v>2.2149999999999999</v>
      </c>
      <c r="O4">
        <v>1.502</v>
      </c>
      <c r="P4">
        <v>0.99299999999999999</v>
      </c>
      <c r="Q4">
        <v>0.64500000000000002</v>
      </c>
      <c r="R4">
        <v>0.41</v>
      </c>
      <c r="S4">
        <v>0.26</v>
      </c>
      <c r="T4">
        <v>0.16600000000000001</v>
      </c>
      <c r="U4">
        <v>0.108</v>
      </c>
      <c r="V4">
        <v>7.0999999999999994E-2</v>
      </c>
      <c r="W4">
        <v>4.7E-2</v>
      </c>
    </row>
    <row r="5" spans="1:23" x14ac:dyDescent="0.25">
      <c r="A5">
        <v>70</v>
      </c>
      <c r="B5">
        <f t="shared" si="0"/>
        <v>0.19178082191780821</v>
      </c>
      <c r="C5">
        <v>20.69</v>
      </c>
      <c r="D5">
        <v>18.716000000000001</v>
      </c>
      <c r="E5">
        <v>16.751000000000001</v>
      </c>
      <c r="F5">
        <v>14.803000000000001</v>
      </c>
      <c r="G5">
        <v>12.882</v>
      </c>
      <c r="H5">
        <v>11.01</v>
      </c>
      <c r="I5">
        <v>9.2059999999999995</v>
      </c>
      <c r="J5">
        <v>7.508</v>
      </c>
      <c r="K5">
        <v>5.95</v>
      </c>
      <c r="L5">
        <v>4.5759999999999996</v>
      </c>
      <c r="M5">
        <v>3.415</v>
      </c>
      <c r="N5">
        <v>2.4790000000000001</v>
      </c>
      <c r="O5">
        <v>1.7430000000000001</v>
      </c>
      <c r="P5">
        <v>1.194</v>
      </c>
      <c r="Q5">
        <v>0.80600000000000005</v>
      </c>
      <c r="R5">
        <v>0.53500000000000003</v>
      </c>
      <c r="S5">
        <v>0.35099999999999998</v>
      </c>
      <c r="T5">
        <v>0.23200000000000001</v>
      </c>
      <c r="U5">
        <v>0.153</v>
      </c>
      <c r="V5">
        <v>0.1</v>
      </c>
      <c r="W5">
        <v>6.4000000000000001E-2</v>
      </c>
    </row>
    <row r="6" spans="1:23" x14ac:dyDescent="0.25">
      <c r="A6">
        <v>80</v>
      </c>
      <c r="B6">
        <f t="shared" si="0"/>
        <v>0.21917808219178081</v>
      </c>
      <c r="C6">
        <v>20.8</v>
      </c>
      <c r="D6">
        <v>18.832000000000001</v>
      </c>
      <c r="E6">
        <v>16.876000000000001</v>
      </c>
      <c r="F6">
        <v>14.936999999999999</v>
      </c>
      <c r="G6">
        <v>13.029</v>
      </c>
      <c r="H6">
        <v>11.178000000000001</v>
      </c>
      <c r="I6">
        <v>9.4039999999999999</v>
      </c>
      <c r="J6">
        <v>7.7290000000000001</v>
      </c>
      <c r="K6">
        <v>6.194</v>
      </c>
      <c r="L6">
        <v>4.8360000000000003</v>
      </c>
      <c r="M6">
        <v>3.6760000000000002</v>
      </c>
      <c r="N6">
        <v>2.7210000000000001</v>
      </c>
      <c r="O6">
        <v>1.9690000000000001</v>
      </c>
      <c r="P6">
        <v>1.3959999999999999</v>
      </c>
      <c r="Q6">
        <v>0.96899999999999997</v>
      </c>
      <c r="R6">
        <v>0.66200000000000003</v>
      </c>
      <c r="S6">
        <v>0.44900000000000001</v>
      </c>
      <c r="T6">
        <v>0.30599999999999999</v>
      </c>
      <c r="U6">
        <v>0.20799999999999999</v>
      </c>
      <c r="V6">
        <v>0.14199999999999999</v>
      </c>
      <c r="W6">
        <v>9.7000000000000003E-2</v>
      </c>
    </row>
    <row r="7" spans="1:23" x14ac:dyDescent="0.25">
      <c r="A7">
        <v>90</v>
      </c>
      <c r="B7">
        <f t="shared" si="0"/>
        <v>0.24657534246575341</v>
      </c>
      <c r="C7">
        <v>20.916</v>
      </c>
      <c r="D7">
        <v>18.956</v>
      </c>
      <c r="E7">
        <v>17.010000000000002</v>
      </c>
      <c r="F7">
        <v>15.085000000000001</v>
      </c>
      <c r="G7">
        <v>13.195</v>
      </c>
      <c r="H7">
        <v>11.362</v>
      </c>
      <c r="I7">
        <v>9.6050000000000004</v>
      </c>
      <c r="J7">
        <v>7.9530000000000003</v>
      </c>
      <c r="K7">
        <v>6.4409999999999998</v>
      </c>
      <c r="L7">
        <v>5.0999999999999996</v>
      </c>
      <c r="M7">
        <v>3.9449999999999998</v>
      </c>
      <c r="N7">
        <v>2.9809999999999999</v>
      </c>
      <c r="O7">
        <v>2.2080000000000002</v>
      </c>
      <c r="P7">
        <v>1.6120000000000001</v>
      </c>
      <c r="Q7">
        <v>1.157</v>
      </c>
      <c r="R7">
        <v>0.82299999999999995</v>
      </c>
      <c r="S7">
        <v>0.57999999999999996</v>
      </c>
      <c r="T7">
        <v>0.40799999999999997</v>
      </c>
      <c r="U7">
        <v>0.28899999999999998</v>
      </c>
      <c r="V7">
        <v>0.20399999999999999</v>
      </c>
      <c r="W7">
        <v>0.14499999999999999</v>
      </c>
    </row>
    <row r="8" spans="1:23" x14ac:dyDescent="0.25">
      <c r="A8">
        <v>100</v>
      </c>
      <c r="B8">
        <f t="shared" si="0"/>
        <v>0.27397260273972601</v>
      </c>
      <c r="C8">
        <v>20.972000000000001</v>
      </c>
      <c r="D8">
        <v>19.018999999999998</v>
      </c>
      <c r="E8">
        <v>17.081</v>
      </c>
      <c r="F8">
        <v>15.17</v>
      </c>
      <c r="G8">
        <v>13.298999999999999</v>
      </c>
      <c r="H8">
        <v>11.49</v>
      </c>
      <c r="I8">
        <v>9.76</v>
      </c>
      <c r="J8">
        <v>8.14</v>
      </c>
      <c r="K8">
        <v>6.6559999999999997</v>
      </c>
      <c r="L8">
        <v>5.3250000000000002</v>
      </c>
      <c r="M8">
        <v>4.1710000000000003</v>
      </c>
      <c r="N8">
        <v>3.202</v>
      </c>
      <c r="O8">
        <v>2.4140000000000001</v>
      </c>
      <c r="P8">
        <v>1.7929999999999999</v>
      </c>
      <c r="Q8">
        <v>1.3169999999999999</v>
      </c>
      <c r="R8">
        <v>0.95799999999999996</v>
      </c>
      <c r="S8">
        <v>0.69699999999999995</v>
      </c>
      <c r="T8">
        <v>0.50600000000000001</v>
      </c>
      <c r="U8">
        <v>0.37</v>
      </c>
      <c r="V8">
        <v>0.27100000000000002</v>
      </c>
      <c r="W8">
        <v>0.20100000000000001</v>
      </c>
    </row>
    <row r="9" spans="1:23" x14ac:dyDescent="0.25">
      <c r="A9">
        <v>110</v>
      </c>
      <c r="B9">
        <f t="shared" si="0"/>
        <v>0.30136986301369861</v>
      </c>
      <c r="C9">
        <v>21.062999999999999</v>
      </c>
      <c r="D9">
        <v>19.117999999999999</v>
      </c>
      <c r="E9">
        <v>17.190999999999999</v>
      </c>
      <c r="F9">
        <v>15.29</v>
      </c>
      <c r="G9">
        <v>13.430999999999999</v>
      </c>
      <c r="H9">
        <v>11.634</v>
      </c>
      <c r="I9">
        <v>9.9239999999999995</v>
      </c>
      <c r="J9">
        <v>8.3190000000000008</v>
      </c>
      <c r="K9">
        <v>6.8470000000000004</v>
      </c>
      <c r="L9">
        <v>5.5289999999999999</v>
      </c>
      <c r="M9">
        <v>4.3840000000000003</v>
      </c>
      <c r="N9">
        <v>3.4129999999999998</v>
      </c>
      <c r="O9">
        <v>2.6150000000000002</v>
      </c>
      <c r="P9">
        <v>1.974</v>
      </c>
      <c r="Q9">
        <v>1.4750000000000001</v>
      </c>
      <c r="R9">
        <v>1.0960000000000001</v>
      </c>
      <c r="S9">
        <v>0.81</v>
      </c>
      <c r="T9">
        <v>0.59799999999999998</v>
      </c>
      <c r="U9">
        <v>0.443</v>
      </c>
      <c r="V9">
        <v>0.33</v>
      </c>
      <c r="W9">
        <v>0.246</v>
      </c>
    </row>
    <row r="10" spans="1:23" x14ac:dyDescent="0.25">
      <c r="A10">
        <v>120</v>
      </c>
      <c r="B10">
        <f t="shared" si="0"/>
        <v>0.32876712328767121</v>
      </c>
      <c r="C10">
        <v>21.166</v>
      </c>
      <c r="D10">
        <v>19.228000000000002</v>
      </c>
      <c r="E10">
        <v>17.311</v>
      </c>
      <c r="F10">
        <v>15.425000000000001</v>
      </c>
      <c r="G10">
        <v>13.58</v>
      </c>
      <c r="H10">
        <v>11.801</v>
      </c>
      <c r="I10">
        <v>10.106999999999999</v>
      </c>
      <c r="J10">
        <v>8.52</v>
      </c>
      <c r="K10">
        <v>7.0590000000000002</v>
      </c>
      <c r="L10">
        <v>5.7389999999999999</v>
      </c>
      <c r="M10">
        <v>4.585</v>
      </c>
      <c r="N10">
        <v>3.609</v>
      </c>
      <c r="O10">
        <v>2.7970000000000002</v>
      </c>
      <c r="P10">
        <v>2.137</v>
      </c>
      <c r="Q10">
        <v>1.62</v>
      </c>
      <c r="R10">
        <v>1.222</v>
      </c>
      <c r="S10">
        <v>0.91900000000000004</v>
      </c>
      <c r="T10">
        <v>0.68799999999999994</v>
      </c>
      <c r="U10">
        <v>0.51100000000000001</v>
      </c>
      <c r="V10">
        <v>0.38100000000000001</v>
      </c>
      <c r="W10">
        <v>0.28699999999999998</v>
      </c>
    </row>
    <row r="11" spans="1:23" x14ac:dyDescent="0.25">
      <c r="A11">
        <v>130</v>
      </c>
      <c r="B11">
        <f t="shared" si="0"/>
        <v>0.35616438356164382</v>
      </c>
      <c r="C11">
        <v>21.22</v>
      </c>
      <c r="D11">
        <v>19.291</v>
      </c>
      <c r="E11">
        <v>17.382999999999999</v>
      </c>
      <c r="F11">
        <v>15.506</v>
      </c>
      <c r="G11">
        <v>13.675000000000001</v>
      </c>
      <c r="H11">
        <v>11.911</v>
      </c>
      <c r="I11">
        <v>10.23</v>
      </c>
      <c r="J11">
        <v>8.6590000000000007</v>
      </c>
      <c r="K11">
        <v>7.2089999999999996</v>
      </c>
      <c r="L11">
        <v>5.9039999999999999</v>
      </c>
      <c r="M11">
        <v>4.758</v>
      </c>
      <c r="N11">
        <v>3.78</v>
      </c>
      <c r="O11">
        <v>2.9630000000000001</v>
      </c>
      <c r="P11">
        <v>2.2919999999999998</v>
      </c>
      <c r="Q11">
        <v>1.7529999999999999</v>
      </c>
      <c r="R11">
        <v>1.337</v>
      </c>
      <c r="S11">
        <v>1.0189999999999999</v>
      </c>
      <c r="T11">
        <v>0.77100000000000002</v>
      </c>
      <c r="U11">
        <v>0.58099999999999996</v>
      </c>
      <c r="V11">
        <v>0.439</v>
      </c>
      <c r="W11">
        <v>0.33400000000000002</v>
      </c>
    </row>
    <row r="12" spans="1:23" x14ac:dyDescent="0.25">
      <c r="A12">
        <v>140</v>
      </c>
      <c r="B12">
        <f t="shared" si="0"/>
        <v>0.38356164383561642</v>
      </c>
      <c r="C12">
        <v>21.329000000000001</v>
      </c>
      <c r="D12">
        <v>19.408999999999999</v>
      </c>
      <c r="E12">
        <v>17.510999999999999</v>
      </c>
      <c r="F12">
        <v>15.645</v>
      </c>
      <c r="G12">
        <v>13.827</v>
      </c>
      <c r="H12">
        <v>12.077</v>
      </c>
      <c r="I12">
        <v>10.413</v>
      </c>
      <c r="J12">
        <v>8.8520000000000003</v>
      </c>
      <c r="K12">
        <v>7.4109999999999996</v>
      </c>
      <c r="L12">
        <v>6.1139999999999999</v>
      </c>
      <c r="M12">
        <v>4.97</v>
      </c>
      <c r="N12">
        <v>3.9849999999999999</v>
      </c>
      <c r="O12">
        <v>3.145</v>
      </c>
      <c r="P12">
        <v>2.456</v>
      </c>
      <c r="Q12">
        <v>1.899</v>
      </c>
      <c r="R12">
        <v>1.4610000000000001</v>
      </c>
      <c r="S12">
        <v>1.119</v>
      </c>
      <c r="T12">
        <v>0.85599999999999998</v>
      </c>
      <c r="U12">
        <v>0.65400000000000003</v>
      </c>
      <c r="V12">
        <v>0.501</v>
      </c>
      <c r="W12">
        <v>0.38300000000000001</v>
      </c>
    </row>
    <row r="13" spans="1:23" x14ac:dyDescent="0.25">
      <c r="A13">
        <v>150</v>
      </c>
      <c r="B13">
        <f t="shared" si="0"/>
        <v>0.41095890410958902</v>
      </c>
      <c r="C13">
        <v>21.408000000000001</v>
      </c>
      <c r="D13">
        <v>19.498000000000001</v>
      </c>
      <c r="E13">
        <v>17.611000000000001</v>
      </c>
      <c r="F13">
        <v>15.757999999999999</v>
      </c>
      <c r="G13">
        <v>13.957000000000001</v>
      </c>
      <c r="H13">
        <v>12.226000000000001</v>
      </c>
      <c r="I13">
        <v>10.58</v>
      </c>
      <c r="J13">
        <v>9.032</v>
      </c>
      <c r="K13">
        <v>7.6040000000000001</v>
      </c>
      <c r="L13">
        <v>6.3090000000000002</v>
      </c>
      <c r="M13">
        <v>5.1710000000000003</v>
      </c>
      <c r="N13">
        <v>4.1859999999999999</v>
      </c>
      <c r="O13">
        <v>3.3450000000000002</v>
      </c>
      <c r="P13">
        <v>2.645</v>
      </c>
      <c r="Q13">
        <v>2.0790000000000002</v>
      </c>
      <c r="R13">
        <v>1.6240000000000001</v>
      </c>
      <c r="S13">
        <v>1.26</v>
      </c>
      <c r="T13">
        <v>0.97599999999999998</v>
      </c>
      <c r="U13">
        <v>0.75600000000000001</v>
      </c>
      <c r="V13">
        <v>0.58399999999999996</v>
      </c>
      <c r="W13">
        <v>0.45100000000000001</v>
      </c>
    </row>
    <row r="16" spans="1:23" x14ac:dyDescent="0.25">
      <c r="B16" t="s">
        <v>65</v>
      </c>
      <c r="C16">
        <f>SQRT(0.2)</f>
        <v>0.44721359549995793</v>
      </c>
      <c r="E16" t="e">
        <f>_xll.cegSVIModel(111,100,B4,C1:W1,C4:W4,C16:C20)</f>
        <v>#VALUE!</v>
      </c>
      <c r="H16" t="e">
        <f t="array" ref="H16:I23">_xll.cegGetSVICalibratedParameters(E16)</f>
        <v>#VALUE!</v>
      </c>
      <c r="I16" t="e">
        <v>#VALUE!</v>
      </c>
      <c r="K16" t="e">
        <f>_xll.cegGetSVIInterpolatedValue(E16,100)</f>
        <v>#VALUE!</v>
      </c>
    </row>
    <row r="17" spans="2:9" x14ac:dyDescent="0.25">
      <c r="B17" t="s">
        <v>66</v>
      </c>
      <c r="C17">
        <v>0.5</v>
      </c>
      <c r="H17" t="e">
        <v>#VALUE!</v>
      </c>
      <c r="I17" t="e">
        <v>#VALUE!</v>
      </c>
    </row>
    <row r="18" spans="2:9" x14ac:dyDescent="0.25">
      <c r="B18" t="s">
        <v>34</v>
      </c>
      <c r="C18">
        <f>SQRT(0.4)</f>
        <v>0.63245553203367588</v>
      </c>
      <c r="H18" t="e">
        <v>#VALUE!</v>
      </c>
      <c r="I18" t="e">
        <v>#VALUE!</v>
      </c>
    </row>
    <row r="19" spans="2:9" x14ac:dyDescent="0.25">
      <c r="B19" t="s">
        <v>67</v>
      </c>
      <c r="C19">
        <v>0.1</v>
      </c>
      <c r="H19" t="e">
        <v>#VALUE!</v>
      </c>
      <c r="I19" t="e">
        <v>#VALUE!</v>
      </c>
    </row>
    <row r="20" spans="2:9" x14ac:dyDescent="0.25">
      <c r="B20" t="s">
        <v>68</v>
      </c>
      <c r="C20">
        <v>0.5</v>
      </c>
      <c r="H20" t="e">
        <v>#VALUE!</v>
      </c>
      <c r="I20" t="e">
        <v>#VALUE!</v>
      </c>
    </row>
    <row r="21" spans="2:9" x14ac:dyDescent="0.25">
      <c r="H21" t="e">
        <v>#VALUE!</v>
      </c>
      <c r="I21" t="e">
        <v>#VALUE!</v>
      </c>
    </row>
    <row r="22" spans="2:9" x14ac:dyDescent="0.25">
      <c r="H22" t="e">
        <v>#VALUE!</v>
      </c>
      <c r="I22" t="e">
        <v>#VALUE!</v>
      </c>
    </row>
    <row r="23" spans="2:9" x14ac:dyDescent="0.25">
      <c r="H23" t="e">
        <v>#VALUE!</v>
      </c>
      <c r="I23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Black-Scholes</vt:lpstr>
      <vt:lpstr>SABR</vt:lpstr>
      <vt:lpstr>SVI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</dc:creator>
  <cp:lastModifiedBy>Yixin</cp:lastModifiedBy>
  <dcterms:created xsi:type="dcterms:W3CDTF">2015-02-13T00:26:01Z</dcterms:created>
  <dcterms:modified xsi:type="dcterms:W3CDTF">2015-02-16T02:33:32Z</dcterms:modified>
</cp:coreProperties>
</file>