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filterPrivacy="1" defaultThemeVersion="124226"/>
  <xr:revisionPtr revIDLastSave="0" documentId="13_ncr:1_{18AA7888-09B7-4049-998B-645B5860B024}" xr6:coauthVersionLast="36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bined" sheetId="1" r:id="rId1"/>
    <sheet name="New rate" sheetId="6" state="hidden" r:id="rId2"/>
  </sheets>
  <definedNames>
    <definedName name="_xlnm._FilterDatabase" localSheetId="0" hidden="1">combined!$T$1:$T$310</definedName>
    <definedName name="_xlnm.Print_Area" localSheetId="0">combined!$A$1:$V$301</definedName>
    <definedName name="_xlnm.Print_Titles" localSheetId="0">combined!$5:$5</definedName>
  </definedNames>
  <calcPr calcId="191029"/>
</workbook>
</file>

<file path=xl/calcChain.xml><?xml version="1.0" encoding="utf-8"?>
<calcChain xmlns="http://schemas.openxmlformats.org/spreadsheetml/2006/main">
  <c r="R129" i="1" l="1"/>
  <c r="R118" i="1"/>
  <c r="R40" i="1" l="1"/>
  <c r="R200" i="1"/>
  <c r="R20" i="1" l="1"/>
  <c r="R73" i="1"/>
  <c r="R50" i="1"/>
  <c r="R89" i="1"/>
  <c r="R100" i="1" l="1"/>
  <c r="R62" i="1" l="1"/>
  <c r="R29" i="1" l="1"/>
  <c r="R233" i="1"/>
  <c r="R241" i="1" l="1"/>
  <c r="R212" i="1"/>
  <c r="R170" i="1" l="1"/>
  <c r="R261" i="1" l="1"/>
  <c r="R8" i="1" l="1"/>
  <c r="R289" i="1"/>
  <c r="R278" i="1"/>
  <c r="R270" i="1"/>
  <c r="R255" i="1"/>
  <c r="R224" i="1"/>
  <c r="R181" i="1"/>
  <c r="R158" i="1"/>
  <c r="R143" i="1"/>
  <c r="R114" i="1"/>
  <c r="Q192" i="1"/>
  <c r="R191" i="1" s="1"/>
  <c r="Q300" i="1" l="1"/>
  <c r="R300" i="1"/>
  <c r="V289" i="1"/>
  <c r="G257" i="1" l="1"/>
  <c r="M257" i="1" s="1"/>
  <c r="G235" i="1"/>
  <c r="N235" i="1" s="1"/>
  <c r="E236" i="1" s="1"/>
  <c r="O236" i="1" s="1"/>
  <c r="G227" i="1"/>
  <c r="G214" i="1"/>
  <c r="J214" i="1" s="1"/>
  <c r="G187" i="1"/>
  <c r="L187" i="1" s="1"/>
  <c r="E175" i="1"/>
  <c r="O175" i="1" s="1"/>
  <c r="L174" i="1"/>
  <c r="O174" i="1" s="1"/>
  <c r="G164" i="1"/>
  <c r="L164" i="1" s="1"/>
  <c r="G151" i="1"/>
  <c r="M151" i="1" s="1"/>
  <c r="G122" i="1"/>
  <c r="N122" i="1" s="1"/>
  <c r="E123" i="1" s="1"/>
  <c r="O123" i="1" s="1"/>
  <c r="G56" i="1"/>
  <c r="K56" i="1" s="1"/>
  <c r="M214" i="1" l="1"/>
  <c r="H151" i="1"/>
  <c r="N151" i="1" s="1"/>
  <c r="E152" i="1" s="1"/>
  <c r="O152" i="1" s="1"/>
  <c r="K214" i="1"/>
  <c r="J151" i="1"/>
  <c r="K151" i="1"/>
  <c r="N214" i="1"/>
  <c r="E215" i="1" s="1"/>
  <c r="O215" i="1" s="1"/>
  <c r="H257" i="1"/>
  <c r="N257" i="1" s="1"/>
  <c r="J257" i="1"/>
  <c r="K257" i="1"/>
  <c r="M235" i="1"/>
  <c r="H235" i="1"/>
  <c r="I235" i="1" s="1"/>
  <c r="J235" i="1"/>
  <c r="K235" i="1"/>
  <c r="H227" i="1"/>
  <c r="I227" i="1" s="1"/>
  <c r="J227" i="1"/>
  <c r="K227" i="1"/>
  <c r="M227" i="1"/>
  <c r="N227" i="1"/>
  <c r="E228" i="1" s="1"/>
  <c r="O228" i="1" s="1"/>
  <c r="H214" i="1"/>
  <c r="I214" i="1" s="1"/>
  <c r="H187" i="1"/>
  <c r="N187" i="1" s="1"/>
  <c r="E188" i="1" s="1"/>
  <c r="O188" i="1" s="1"/>
  <c r="J187" i="1"/>
  <c r="K187" i="1"/>
  <c r="H164" i="1"/>
  <c r="N164" i="1" s="1"/>
  <c r="E165" i="1" s="1"/>
  <c r="O165" i="1" s="1"/>
  <c r="J164" i="1"/>
  <c r="K164" i="1"/>
  <c r="H122" i="1"/>
  <c r="I122" i="1" s="1"/>
  <c r="J122" i="1"/>
  <c r="K122" i="1"/>
  <c r="M122" i="1"/>
  <c r="H56" i="1"/>
  <c r="N56" i="1" s="1"/>
  <c r="E57" i="1" s="1"/>
  <c r="O57" i="1" s="1"/>
  <c r="J56" i="1"/>
  <c r="L56" i="1"/>
  <c r="V270" i="1"/>
  <c r="V278" i="1"/>
  <c r="E173" i="1"/>
  <c r="O173" i="1" s="1"/>
  <c r="O105" i="1"/>
  <c r="O15" i="1"/>
  <c r="I151" i="1" l="1"/>
  <c r="O151" i="1" s="1"/>
  <c r="O214" i="1"/>
  <c r="E258" i="1"/>
  <c r="O258" i="1" s="1"/>
  <c r="O227" i="1"/>
  <c r="I56" i="1"/>
  <c r="O56" i="1" s="1"/>
  <c r="I164" i="1"/>
  <c r="O164" i="1" s="1"/>
  <c r="I257" i="1"/>
  <c r="O257" i="1" s="1"/>
  <c r="O235" i="1"/>
  <c r="I187" i="1"/>
  <c r="O187" i="1" s="1"/>
  <c r="O122" i="1"/>
  <c r="T227" i="1"/>
  <c r="T244" i="1"/>
  <c r="F160" i="1"/>
  <c r="E160" i="1"/>
  <c r="O134" i="1"/>
  <c r="O132" i="1"/>
  <c r="O131" i="1"/>
  <c r="O76" i="1"/>
  <c r="F119" i="1"/>
  <c r="E119" i="1"/>
  <c r="S300" i="1" l="1"/>
  <c r="Q303" i="1" s="1"/>
  <c r="V114" i="1"/>
  <c r="O104" i="1"/>
  <c r="J118" i="1"/>
  <c r="M118" i="1"/>
  <c r="K118" i="1"/>
  <c r="G120" i="1"/>
  <c r="N120" i="1" s="1"/>
  <c r="P142" i="1"/>
  <c r="P117" i="1"/>
  <c r="P128" i="1"/>
  <c r="P180" i="1"/>
  <c r="P169" i="1"/>
  <c r="P157" i="1"/>
  <c r="P190" i="1"/>
  <c r="P199" i="1"/>
  <c r="P211" i="1"/>
  <c r="P240" i="1"/>
  <c r="P223" i="1"/>
  <c r="P232" i="1"/>
  <c r="P288" i="1"/>
  <c r="P277" i="1"/>
  <c r="P269" i="1"/>
  <c r="P260" i="1"/>
  <c r="P254" i="1"/>
  <c r="E103" i="1"/>
  <c r="P113" i="1"/>
  <c r="P99" i="1"/>
  <c r="J120" i="1" l="1"/>
  <c r="K120" i="1"/>
  <c r="M120" i="1"/>
  <c r="H120" i="1"/>
  <c r="I120" i="1" s="1"/>
  <c r="E261" i="1"/>
  <c r="G261" i="1" s="1"/>
  <c r="E93" i="1"/>
  <c r="P88" i="1"/>
  <c r="P72" i="1"/>
  <c r="O64" i="1"/>
  <c r="E65" i="1"/>
  <c r="O66" i="1"/>
  <c r="O67" i="1"/>
  <c r="P61" i="1"/>
  <c r="O41" i="1"/>
  <c r="E43" i="1"/>
  <c r="E53" i="1"/>
  <c r="P49" i="1"/>
  <c r="P39" i="1"/>
  <c r="P28" i="1"/>
  <c r="P19" i="1"/>
  <c r="P7" i="1"/>
  <c r="O10" i="1"/>
  <c r="O120" i="1" l="1"/>
  <c r="K261" i="1"/>
  <c r="H261" i="1"/>
  <c r="N261" i="1" s="1"/>
  <c r="E262" i="1" s="1"/>
  <c r="J261" i="1"/>
  <c r="T243" i="1"/>
  <c r="T236" i="1"/>
  <c r="O262" i="1" l="1"/>
  <c r="I261" i="1"/>
  <c r="O261" i="1" s="1"/>
  <c r="G160" i="1"/>
  <c r="V261" i="1" l="1"/>
  <c r="L160" i="1"/>
  <c r="H160" i="1"/>
  <c r="N160" i="1" s="1"/>
  <c r="E161" i="1" s="1"/>
  <c r="O161" i="1" s="1"/>
  <c r="K160" i="1"/>
  <c r="J160" i="1"/>
  <c r="G150" i="1"/>
  <c r="K150" i="1" s="1"/>
  <c r="G225" i="1"/>
  <c r="G135" i="1"/>
  <c r="I160" i="1" l="1"/>
  <c r="O160" i="1" s="1"/>
  <c r="M150" i="1"/>
  <c r="H150" i="1"/>
  <c r="N150" i="1" s="1"/>
  <c r="E154" i="1" s="1"/>
  <c r="O154" i="1" s="1"/>
  <c r="J150" i="1"/>
  <c r="M225" i="1"/>
  <c r="N225" i="1"/>
  <c r="E229" i="1" s="1"/>
  <c r="O229" i="1" s="1"/>
  <c r="K225" i="1"/>
  <c r="H225" i="1"/>
  <c r="I225" i="1" s="1"/>
  <c r="J225" i="1"/>
  <c r="K135" i="1"/>
  <c r="J135" i="1"/>
  <c r="M135" i="1"/>
  <c r="L135" i="1"/>
  <c r="H135" i="1"/>
  <c r="N135" i="1" s="1"/>
  <c r="E136" i="1" s="1"/>
  <c r="O136" i="1" s="1"/>
  <c r="E33" i="1"/>
  <c r="G33" i="1" s="1"/>
  <c r="I150" i="1" l="1"/>
  <c r="O150" i="1" s="1"/>
  <c r="O225" i="1"/>
  <c r="I135" i="1"/>
  <c r="O135" i="1" s="1"/>
  <c r="K33" i="1"/>
  <c r="M33" i="1"/>
  <c r="L33" i="1"/>
  <c r="H33" i="1"/>
  <c r="N33" i="1" s="1"/>
  <c r="E34" i="1" s="1"/>
  <c r="O34" i="1" s="1"/>
  <c r="J33" i="1"/>
  <c r="I33" i="1" l="1"/>
  <c r="O33" i="1" s="1"/>
  <c r="T214" i="1" l="1"/>
  <c r="T242" i="1"/>
  <c r="T201" i="1" l="1"/>
  <c r="T200" i="1"/>
  <c r="T226" i="1"/>
  <c r="T235" i="1"/>
  <c r="T225" i="1" l="1"/>
  <c r="T234" i="1"/>
  <c r="T185" i="1"/>
  <c r="T192" i="1"/>
  <c r="T191" i="1"/>
  <c r="G184" i="1"/>
  <c r="K184" i="1" s="1"/>
  <c r="T182" i="1"/>
  <c r="T183" i="1"/>
  <c r="T184" i="1"/>
  <c r="T212" i="1"/>
  <c r="T213" i="1"/>
  <c r="T241" i="1"/>
  <c r="T224" i="1"/>
  <c r="T233" i="1"/>
  <c r="T255" i="1"/>
  <c r="J184" i="1" l="1"/>
  <c r="H184" i="1"/>
  <c r="N184" i="1" s="1"/>
  <c r="E186" i="1" s="1"/>
  <c r="O186" i="1" s="1"/>
  <c r="L184" i="1"/>
  <c r="G255" i="1"/>
  <c r="G233" i="1"/>
  <c r="G224" i="1"/>
  <c r="G241" i="1"/>
  <c r="T144" i="1"/>
  <c r="T145" i="1"/>
  <c r="T146" i="1"/>
  <c r="T143" i="1"/>
  <c r="T103" i="1"/>
  <c r="T100" i="1"/>
  <c r="T119" i="1"/>
  <c r="T120" i="1"/>
  <c r="T121" i="1"/>
  <c r="T118" i="1"/>
  <c r="T159" i="1"/>
  <c r="G212" i="1"/>
  <c r="N212" i="1" s="1"/>
  <c r="E213" i="1" s="1"/>
  <c r="O213" i="1" s="1"/>
  <c r="G149" i="1"/>
  <c r="G93" i="1"/>
  <c r="T171" i="1"/>
  <c r="I184" i="1" l="1"/>
  <c r="O184" i="1" s="1"/>
  <c r="H255" i="1"/>
  <c r="M255" i="1"/>
  <c r="K255" i="1"/>
  <c r="J255" i="1"/>
  <c r="K233" i="1"/>
  <c r="M233" i="1"/>
  <c r="N233" i="1"/>
  <c r="E234" i="1" s="1"/>
  <c r="O234" i="1" s="1"/>
  <c r="H233" i="1"/>
  <c r="I233" i="1" s="1"/>
  <c r="J233" i="1"/>
  <c r="K224" i="1"/>
  <c r="M224" i="1"/>
  <c r="N224" i="1"/>
  <c r="E226" i="1" s="1"/>
  <c r="O226" i="1" s="1"/>
  <c r="H224" i="1"/>
  <c r="I224" i="1" s="1"/>
  <c r="J224" i="1"/>
  <c r="K241" i="1"/>
  <c r="H241" i="1"/>
  <c r="I241" i="1" s="1"/>
  <c r="M241" i="1"/>
  <c r="N241" i="1"/>
  <c r="E242" i="1" s="1"/>
  <c r="O242" i="1" s="1"/>
  <c r="J241" i="1"/>
  <c r="J212" i="1"/>
  <c r="M212" i="1"/>
  <c r="K212" i="1"/>
  <c r="H212" i="1"/>
  <c r="I212" i="1" s="1"/>
  <c r="L172" i="1"/>
  <c r="K149" i="1"/>
  <c r="J149" i="1"/>
  <c r="M149" i="1"/>
  <c r="H149" i="1"/>
  <c r="N149" i="1" s="1"/>
  <c r="E153" i="1" s="1"/>
  <c r="O153" i="1" s="1"/>
  <c r="K93" i="1"/>
  <c r="J93" i="1"/>
  <c r="M93" i="1"/>
  <c r="L93" i="1"/>
  <c r="H93" i="1"/>
  <c r="N93" i="1" s="1"/>
  <c r="L67" i="1"/>
  <c r="O148" i="1"/>
  <c r="L203" i="1"/>
  <c r="I255" i="1" l="1"/>
  <c r="N255" i="1"/>
  <c r="E256" i="1" s="1"/>
  <c r="O241" i="1"/>
  <c r="V241" i="1" s="1"/>
  <c r="O233" i="1"/>
  <c r="V233" i="1" s="1"/>
  <c r="E94" i="1"/>
  <c r="O94" i="1" s="1"/>
  <c r="O224" i="1"/>
  <c r="V224" i="1" s="1"/>
  <c r="O212" i="1"/>
  <c r="V212" i="1" s="1"/>
  <c r="I93" i="1"/>
  <c r="O93" i="1" s="1"/>
  <c r="I149" i="1"/>
  <c r="O149" i="1" s="1"/>
  <c r="G119" i="1"/>
  <c r="N118" i="1"/>
  <c r="H118" i="1"/>
  <c r="I118" i="1" s="1"/>
  <c r="O256" i="1" l="1"/>
  <c r="O255" i="1"/>
  <c r="O118" i="1"/>
  <c r="N119" i="1"/>
  <c r="E121" i="1" s="1"/>
  <c r="O121" i="1" s="1"/>
  <c r="J119" i="1"/>
  <c r="M119" i="1"/>
  <c r="K119" i="1"/>
  <c r="H119" i="1"/>
  <c r="I119" i="1" s="1"/>
  <c r="G200" i="1"/>
  <c r="V255" i="1" l="1"/>
  <c r="O119" i="1"/>
  <c r="V118" i="1" s="1"/>
  <c r="H200" i="1"/>
  <c r="N200" i="1" s="1"/>
  <c r="E201" i="1" s="1"/>
  <c r="J200" i="1"/>
  <c r="K200" i="1"/>
  <c r="L200" i="1"/>
  <c r="G159" i="1"/>
  <c r="O201" i="1" l="1"/>
  <c r="O200" i="1"/>
  <c r="I200" i="1"/>
  <c r="L171" i="1"/>
  <c r="O171" i="1" s="1"/>
  <c r="H159" i="1"/>
  <c r="N159" i="1" s="1"/>
  <c r="E162" i="1" s="1"/>
  <c r="O162" i="1" s="1"/>
  <c r="J159" i="1"/>
  <c r="K159" i="1"/>
  <c r="L159" i="1"/>
  <c r="G191" i="1"/>
  <c r="M191" i="1" s="1"/>
  <c r="V200" i="1" l="1"/>
  <c r="I159" i="1"/>
  <c r="O159" i="1" s="1"/>
  <c r="H191" i="1"/>
  <c r="N191" i="1" s="1"/>
  <c r="E192" i="1" s="1"/>
  <c r="J191" i="1"/>
  <c r="K191" i="1"/>
  <c r="L191" i="1"/>
  <c r="O192" i="1" l="1"/>
  <c r="I191" i="1"/>
  <c r="O191" i="1" s="1"/>
  <c r="V191" i="1" l="1"/>
  <c r="G182" i="1"/>
  <c r="T181" i="1"/>
  <c r="H182" i="1" l="1"/>
  <c r="N182" i="1" s="1"/>
  <c r="E185" i="1" s="1"/>
  <c r="J182" i="1"/>
  <c r="K182" i="1"/>
  <c r="L182" i="1"/>
  <c r="T170" i="1"/>
  <c r="O185" i="1" l="1"/>
  <c r="I182" i="1"/>
  <c r="O182" i="1" s="1"/>
  <c r="T51" i="1"/>
  <c r="T52" i="1"/>
  <c r="T53" i="1"/>
  <c r="T54" i="1"/>
  <c r="T55" i="1"/>
  <c r="T50" i="1"/>
  <c r="T158" i="1"/>
  <c r="G13" i="1"/>
  <c r="G14" i="1"/>
  <c r="M14" i="1" s="1"/>
  <c r="T300" i="1" l="1"/>
  <c r="K13" i="1"/>
  <c r="H13" i="1"/>
  <c r="N13" i="1" s="1"/>
  <c r="J13" i="1"/>
  <c r="H14" i="1"/>
  <c r="J14" i="1"/>
  <c r="K14" i="1"/>
  <c r="G158" i="1"/>
  <c r="G170" i="1"/>
  <c r="J170" i="1" s="1"/>
  <c r="G181" i="1"/>
  <c r="I13" i="1" l="1"/>
  <c r="O13" i="1" s="1"/>
  <c r="I14" i="1"/>
  <c r="N14" i="1"/>
  <c r="I310" i="1" s="1"/>
  <c r="H170" i="1"/>
  <c r="N170" i="1" s="1"/>
  <c r="E172" i="1" s="1"/>
  <c r="O172" i="1" s="1"/>
  <c r="M170" i="1"/>
  <c r="L170" i="1"/>
  <c r="K170" i="1"/>
  <c r="H158" i="1"/>
  <c r="N158" i="1" s="1"/>
  <c r="E163" i="1" s="1"/>
  <c r="O163" i="1" s="1"/>
  <c r="J158" i="1"/>
  <c r="K158" i="1"/>
  <c r="L158" i="1"/>
  <c r="H181" i="1"/>
  <c r="N181" i="1" s="1"/>
  <c r="E183" i="1" s="1"/>
  <c r="J181" i="1"/>
  <c r="K181" i="1"/>
  <c r="L181" i="1"/>
  <c r="O183" i="1" l="1"/>
  <c r="I170" i="1"/>
  <c r="O170" i="1" s="1"/>
  <c r="V170" i="1" s="1"/>
  <c r="O14" i="1"/>
  <c r="I181" i="1"/>
  <c r="O181" i="1" s="1"/>
  <c r="I158" i="1"/>
  <c r="O158" i="1" s="1"/>
  <c r="V158" i="1" s="1"/>
  <c r="V181" i="1" l="1"/>
  <c r="F133" i="1"/>
  <c r="G133" i="1" s="1"/>
  <c r="M133" i="1" l="1"/>
  <c r="L133" i="1"/>
  <c r="K133" i="1"/>
  <c r="J133" i="1"/>
  <c r="H133" i="1"/>
  <c r="N133" i="1" s="1"/>
  <c r="G12" i="1"/>
  <c r="J12" i="1" l="1"/>
  <c r="I133" i="1"/>
  <c r="O133" i="1" s="1"/>
  <c r="H12" i="1"/>
  <c r="K12" i="1"/>
  <c r="G43" i="1"/>
  <c r="K43" i="1" s="1"/>
  <c r="I12" i="1" l="1"/>
  <c r="N12" i="1"/>
  <c r="H43" i="1"/>
  <c r="N43" i="1" s="1"/>
  <c r="E45" i="1" s="1"/>
  <c r="J43" i="1"/>
  <c r="O12" i="1" l="1"/>
  <c r="I43" i="1"/>
  <c r="O43" i="1" s="1"/>
  <c r="G103" i="1"/>
  <c r="K103" i="1" l="1"/>
  <c r="M103" i="1"/>
  <c r="H103" i="1"/>
  <c r="N103" i="1" s="1"/>
  <c r="J103" i="1"/>
  <c r="L103" i="1"/>
  <c r="I103" i="1" l="1"/>
  <c r="O103" i="1" s="1"/>
  <c r="G23" i="1"/>
  <c r="J23" i="1" l="1"/>
  <c r="K23" i="1"/>
  <c r="H23" i="1"/>
  <c r="N23" i="1" s="1"/>
  <c r="E25" i="1" s="1"/>
  <c r="O25" i="1" s="1"/>
  <c r="L23" i="1"/>
  <c r="I23" i="1" l="1"/>
  <c r="O23" i="1" s="1"/>
  <c r="G65" i="1" l="1"/>
  <c r="E63" i="1"/>
  <c r="G63" i="1" s="1"/>
  <c r="G62" i="1"/>
  <c r="M62" i="1" s="1"/>
  <c r="J65" i="1" l="1"/>
  <c r="J62" i="1"/>
  <c r="K63" i="1"/>
  <c r="J63" i="1"/>
  <c r="L63" i="1"/>
  <c r="M63" i="1"/>
  <c r="H63" i="1"/>
  <c r="N63" i="1" s="1"/>
  <c r="K62" i="1"/>
  <c r="H65" i="1"/>
  <c r="N65" i="1" s="1"/>
  <c r="L65" i="1"/>
  <c r="K65" i="1"/>
  <c r="H62" i="1"/>
  <c r="N62" i="1" s="1"/>
  <c r="L62" i="1"/>
  <c r="I65" i="1" l="1"/>
  <c r="O65" i="1" s="1"/>
  <c r="I62" i="1"/>
  <c r="O62" i="1" s="1"/>
  <c r="I63" i="1"/>
  <c r="O63" i="1" s="1"/>
  <c r="V62" i="1" l="1"/>
  <c r="G53" i="1"/>
  <c r="K53" i="1" l="1"/>
  <c r="J53" i="1"/>
  <c r="L53" i="1"/>
  <c r="H53" i="1"/>
  <c r="N53" i="1" s="1"/>
  <c r="I53" i="1" l="1"/>
  <c r="O53" i="1" s="1"/>
  <c r="H48" i="6" l="1"/>
  <c r="Q92" i="6" l="1"/>
  <c r="Q69" i="6"/>
  <c r="Q24" i="6"/>
  <c r="Q23" i="6"/>
  <c r="I14" i="6"/>
  <c r="J14" i="6" s="1"/>
  <c r="K14" i="6" s="1"/>
  <c r="Q9" i="6"/>
  <c r="I8" i="6"/>
  <c r="J8" i="6" s="1"/>
  <c r="K8" i="6" s="1"/>
  <c r="G95" i="6"/>
  <c r="G88" i="6"/>
  <c r="G81" i="6"/>
  <c r="H95" i="6"/>
  <c r="H81" i="6"/>
  <c r="I81" i="6" s="1"/>
  <c r="H74" i="6"/>
  <c r="G74" i="6"/>
  <c r="H65" i="6"/>
  <c r="G65" i="6"/>
  <c r="G56" i="6"/>
  <c r="G48" i="6"/>
  <c r="G37" i="6"/>
  <c r="H37" i="6"/>
  <c r="H12" i="6"/>
  <c r="H19" i="6"/>
  <c r="H30" i="6"/>
  <c r="G30" i="6"/>
  <c r="G19" i="6"/>
  <c r="G12" i="6"/>
  <c r="G91" i="6"/>
  <c r="I91" i="6" s="1"/>
  <c r="I90" i="6"/>
  <c r="J90" i="6" s="1"/>
  <c r="K90" i="6" s="1"/>
  <c r="H83" i="6"/>
  <c r="H88" i="6" s="1"/>
  <c r="G83" i="6"/>
  <c r="G85" i="6" s="1"/>
  <c r="I85" i="6" s="1"/>
  <c r="G76" i="6"/>
  <c r="G78" i="6" s="1"/>
  <c r="I78" i="6" s="1"/>
  <c r="G67" i="6"/>
  <c r="G68" i="6" s="1"/>
  <c r="I68" i="6" s="1"/>
  <c r="I61" i="6"/>
  <c r="G60" i="6"/>
  <c r="I60" i="6" s="1"/>
  <c r="Q51" i="6"/>
  <c r="H50" i="6"/>
  <c r="H56" i="6" s="1"/>
  <c r="I56" i="6" s="1"/>
  <c r="P56" i="6" s="1"/>
  <c r="G50" i="6"/>
  <c r="H45" i="6"/>
  <c r="I45" i="6" s="1"/>
  <c r="G43" i="6"/>
  <c r="G44" i="6" s="1"/>
  <c r="I44" i="6" s="1"/>
  <c r="G32" i="6"/>
  <c r="I32" i="6" s="1"/>
  <c r="G22" i="6"/>
  <c r="I22" i="6" s="1"/>
  <c r="G21" i="6"/>
  <c r="G25" i="6" s="1"/>
  <c r="I25" i="6" s="1"/>
  <c r="G16" i="6"/>
  <c r="I16" i="6" s="1"/>
  <c r="J16" i="6" s="1"/>
  <c r="K16" i="6" s="1"/>
  <c r="G10" i="6"/>
  <c r="I10" i="6" s="1"/>
  <c r="I37" i="6" l="1"/>
  <c r="O37" i="6" s="1"/>
  <c r="I50" i="6"/>
  <c r="J50" i="6" s="1"/>
  <c r="I95" i="6"/>
  <c r="P95" i="6" s="1"/>
  <c r="I12" i="6"/>
  <c r="O12" i="6" s="1"/>
  <c r="I19" i="6"/>
  <c r="M19" i="6" s="1"/>
  <c r="J10" i="6"/>
  <c r="K10" i="6" s="1"/>
  <c r="J25" i="6"/>
  <c r="K25" i="6" s="1"/>
  <c r="J22" i="6"/>
  <c r="K22" i="6" s="1"/>
  <c r="L45" i="6"/>
  <c r="M45" i="6"/>
  <c r="N45" i="6"/>
  <c r="O45" i="6"/>
  <c r="J32" i="6"/>
  <c r="K32" i="6" s="1"/>
  <c r="I21" i="6"/>
  <c r="N37" i="6"/>
  <c r="M37" i="6"/>
  <c r="I83" i="6"/>
  <c r="J83" i="6" s="1"/>
  <c r="G84" i="6" s="1"/>
  <c r="I84" i="6" s="1"/>
  <c r="K84" i="6" s="1"/>
  <c r="Q84" i="6" s="1"/>
  <c r="L37" i="6"/>
  <c r="G34" i="6"/>
  <c r="I34" i="6" s="1"/>
  <c r="J37" i="6"/>
  <c r="K37" i="6" s="1"/>
  <c r="I88" i="6"/>
  <c r="M88" i="6" s="1"/>
  <c r="M81" i="6"/>
  <c r="L81" i="6"/>
  <c r="J81" i="6"/>
  <c r="K81" i="6" s="1"/>
  <c r="P81" i="6"/>
  <c r="O81" i="6"/>
  <c r="N81" i="6"/>
  <c r="I74" i="6"/>
  <c r="L74" i="6" s="1"/>
  <c r="I65" i="6"/>
  <c r="N65" i="6" s="1"/>
  <c r="J56" i="6"/>
  <c r="K56" i="6" s="1"/>
  <c r="O56" i="6"/>
  <c r="L56" i="6"/>
  <c r="M56" i="6"/>
  <c r="N56" i="6"/>
  <c r="I48" i="6"/>
  <c r="J48" i="6" s="1"/>
  <c r="K48" i="6" s="1"/>
  <c r="P37" i="6"/>
  <c r="L19" i="6"/>
  <c r="I30" i="6"/>
  <c r="O30" i="6" s="1"/>
  <c r="J85" i="6"/>
  <c r="J44" i="6"/>
  <c r="J68" i="6"/>
  <c r="J91" i="6"/>
  <c r="J78" i="6"/>
  <c r="J60" i="6"/>
  <c r="I67" i="6"/>
  <c r="I43" i="6"/>
  <c r="G52" i="6"/>
  <c r="I52" i="6" s="1"/>
  <c r="J61" i="6"/>
  <c r="K61" i="6" s="1"/>
  <c r="J45" i="6"/>
  <c r="P45" i="6" s="1"/>
  <c r="I76" i="6"/>
  <c r="O95" i="6" l="1"/>
  <c r="M12" i="6"/>
  <c r="M95" i="6"/>
  <c r="J12" i="6"/>
  <c r="K12" i="6" s="1"/>
  <c r="N12" i="6"/>
  <c r="L95" i="6"/>
  <c r="P12" i="6"/>
  <c r="J95" i="6"/>
  <c r="K95" i="6" s="1"/>
  <c r="N95" i="6"/>
  <c r="O19" i="6"/>
  <c r="P19" i="6"/>
  <c r="J19" i="6"/>
  <c r="K19" i="6" s="1"/>
  <c r="P30" i="6"/>
  <c r="N19" i="6"/>
  <c r="J65" i="6"/>
  <c r="K65" i="6" s="1"/>
  <c r="N74" i="6"/>
  <c r="K83" i="6"/>
  <c r="M74" i="6"/>
  <c r="L12" i="6"/>
  <c r="O74" i="6"/>
  <c r="N88" i="6"/>
  <c r="J88" i="6"/>
  <c r="K88" i="6" s="1"/>
  <c r="M48" i="6"/>
  <c r="P65" i="6"/>
  <c r="J21" i="6"/>
  <c r="K21" i="6" s="1"/>
  <c r="L48" i="6"/>
  <c r="O65" i="6"/>
  <c r="O88" i="6"/>
  <c r="L30" i="6"/>
  <c r="N48" i="6"/>
  <c r="Q37" i="6"/>
  <c r="J30" i="6"/>
  <c r="K30" i="6" s="1"/>
  <c r="M30" i="6"/>
  <c r="P48" i="6"/>
  <c r="L65" i="6"/>
  <c r="J34" i="6"/>
  <c r="K34" i="6" s="1"/>
  <c r="M65" i="6"/>
  <c r="L88" i="6"/>
  <c r="P88" i="6"/>
  <c r="N30" i="6"/>
  <c r="O48" i="6"/>
  <c r="J74" i="6"/>
  <c r="K74" i="6" s="1"/>
  <c r="P74" i="6"/>
  <c r="Q81" i="6"/>
  <c r="Q56" i="6"/>
  <c r="J76" i="6"/>
  <c r="K50" i="6"/>
  <c r="K68" i="6"/>
  <c r="K45" i="6"/>
  <c r="Q45" i="6" s="1"/>
  <c r="J52" i="6"/>
  <c r="K52" i="6" s="1"/>
  <c r="J67" i="6"/>
  <c r="K67" i="6" s="1"/>
  <c r="K78" i="6"/>
  <c r="J43" i="6"/>
  <c r="K60" i="6"/>
  <c r="K91" i="6"/>
  <c r="K85" i="6"/>
  <c r="G33" i="6"/>
  <c r="I33" i="6" s="1"/>
  <c r="K44" i="6"/>
  <c r="Q12" i="6" l="1"/>
  <c r="Q95" i="6"/>
  <c r="Q19" i="6"/>
  <c r="O98" i="6"/>
  <c r="Q65" i="6"/>
  <c r="M98" i="6"/>
  <c r="N98" i="6"/>
  <c r="Q88" i="6"/>
  <c r="Q48" i="6"/>
  <c r="Q30" i="6"/>
  <c r="Q74" i="6"/>
  <c r="K33" i="6"/>
  <c r="Q33" i="6" s="1"/>
  <c r="K76" i="6"/>
  <c r="K43" i="6"/>
  <c r="Q96" i="6" l="1"/>
  <c r="T97" i="6" s="1"/>
  <c r="F145" i="1"/>
  <c r="G145" i="1" l="1"/>
  <c r="K145" i="1" s="1"/>
  <c r="M145" i="1" l="1"/>
  <c r="J145" i="1"/>
  <c r="H145" i="1"/>
  <c r="N145" i="1" s="1"/>
  <c r="I145" i="1" l="1"/>
  <c r="O145" i="1" s="1"/>
  <c r="E9" i="1" l="1"/>
  <c r="G8" i="1"/>
  <c r="G9" i="1" l="1"/>
  <c r="L9" i="1" s="1"/>
  <c r="L8" i="1"/>
  <c r="K8" i="1"/>
  <c r="M8" i="1"/>
  <c r="H8" i="1"/>
  <c r="J8" i="1"/>
  <c r="M9" i="1" l="1"/>
  <c r="J9" i="1"/>
  <c r="K9" i="1"/>
  <c r="H9" i="1"/>
  <c r="N9" i="1" s="1"/>
  <c r="E11" i="1" s="1"/>
  <c r="N8" i="1"/>
  <c r="I8" i="1"/>
  <c r="I9" i="1" l="1"/>
  <c r="O9" i="1" s="1"/>
  <c r="O11" i="1"/>
  <c r="O8" i="1"/>
  <c r="F20" i="1"/>
  <c r="E20" i="1"/>
  <c r="E22" i="1" s="1"/>
  <c r="G22" i="1" s="1"/>
  <c r="V8" i="1" l="1"/>
  <c r="L22" i="1"/>
  <c r="J22" i="1"/>
  <c r="H22" i="1"/>
  <c r="N22" i="1" s="1"/>
  <c r="M22" i="1"/>
  <c r="K22" i="1"/>
  <c r="G20" i="1"/>
  <c r="I22" i="1" l="1"/>
  <c r="O22" i="1" s="1"/>
  <c r="M20" i="1"/>
  <c r="K20" i="1"/>
  <c r="L20" i="1"/>
  <c r="J20" i="1"/>
  <c r="H20" i="1"/>
  <c r="I20" i="1" l="1"/>
  <c r="E21" i="1"/>
  <c r="N20" i="1"/>
  <c r="O21" i="1" l="1"/>
  <c r="O20" i="1"/>
  <c r="E29" i="1"/>
  <c r="G29" i="1" s="1"/>
  <c r="V20" i="1" l="1"/>
  <c r="M29" i="1"/>
  <c r="K29" i="1"/>
  <c r="L29" i="1"/>
  <c r="J29" i="1"/>
  <c r="H29" i="1"/>
  <c r="E31" i="1"/>
  <c r="G31" i="1" l="1"/>
  <c r="M31" i="1" s="1"/>
  <c r="N29" i="1"/>
  <c r="I29" i="1"/>
  <c r="H31" i="1" l="1"/>
  <c r="N31" i="1" s="1"/>
  <c r="E32" i="1" s="1"/>
  <c r="O32" i="1" s="1"/>
  <c r="J31" i="1"/>
  <c r="L31" i="1"/>
  <c r="K31" i="1"/>
  <c r="O29" i="1"/>
  <c r="I31" i="1" l="1"/>
  <c r="O31" i="1" s="1"/>
  <c r="V29" i="1" s="1"/>
  <c r="N52" i="1"/>
  <c r="L52" i="1"/>
  <c r="E50" i="1"/>
  <c r="E51" i="1" s="1"/>
  <c r="G51" i="1" s="1"/>
  <c r="G50" i="1" l="1"/>
  <c r="L50" i="1" s="1"/>
  <c r="O52" i="1"/>
  <c r="L51" i="1"/>
  <c r="J51" i="1"/>
  <c r="H51" i="1"/>
  <c r="N51" i="1" s="1"/>
  <c r="M51" i="1"/>
  <c r="K51" i="1"/>
  <c r="I51" i="1" l="1"/>
  <c r="O51" i="1" s="1"/>
  <c r="K50" i="1"/>
  <c r="J50" i="1"/>
  <c r="M50" i="1"/>
  <c r="H50" i="1"/>
  <c r="N50" i="1" s="1"/>
  <c r="I50" i="1" l="1"/>
  <c r="O50" i="1" s="1"/>
  <c r="V50" i="1" s="1"/>
  <c r="G130" i="1"/>
  <c r="M130" i="1" s="1"/>
  <c r="E129" i="1"/>
  <c r="G129" i="1" s="1"/>
  <c r="L129" i="1" s="1"/>
  <c r="H130" i="1" l="1"/>
  <c r="N130" i="1" s="1"/>
  <c r="L130" i="1"/>
  <c r="J130" i="1"/>
  <c r="K129" i="1"/>
  <c r="M129" i="1"/>
  <c r="H129" i="1"/>
  <c r="N129" i="1" s="1"/>
  <c r="J129" i="1"/>
  <c r="K130" i="1"/>
  <c r="I130" i="1" l="1"/>
  <c r="O130" i="1" s="1"/>
  <c r="I129" i="1"/>
  <c r="O129" i="1" s="1"/>
  <c r="V129" i="1" s="1"/>
  <c r="O101" i="1" l="1"/>
  <c r="F100" i="1"/>
  <c r="F300" i="1" s="1"/>
  <c r="E100" i="1"/>
  <c r="E102" i="1" s="1"/>
  <c r="G102" i="1" s="1"/>
  <c r="L102" i="1" l="1"/>
  <c r="J102" i="1"/>
  <c r="H102" i="1"/>
  <c r="N102" i="1" s="1"/>
  <c r="M102" i="1"/>
  <c r="K102" i="1"/>
  <c r="G100" i="1"/>
  <c r="I102" i="1" l="1"/>
  <c r="O102" i="1" s="1"/>
  <c r="M100" i="1"/>
  <c r="K100" i="1"/>
  <c r="L100" i="1"/>
  <c r="J100" i="1"/>
  <c r="H100" i="1"/>
  <c r="N100" i="1" s="1"/>
  <c r="I100" i="1" l="1"/>
  <c r="O100" i="1" s="1"/>
  <c r="V100" i="1" s="1"/>
  <c r="E143" i="1" l="1"/>
  <c r="G143" i="1" s="1"/>
  <c r="L143" i="1" l="1"/>
  <c r="M143" i="1"/>
  <c r="K143" i="1"/>
  <c r="J143" i="1"/>
  <c r="H143" i="1"/>
  <c r="N143" i="1" s="1"/>
  <c r="E144" i="1"/>
  <c r="G144" i="1" s="1"/>
  <c r="M144" i="1" l="1"/>
  <c r="K144" i="1"/>
  <c r="L144" i="1"/>
  <c r="J144" i="1"/>
  <c r="H144" i="1"/>
  <c r="N144" i="1" s="1"/>
  <c r="I143" i="1"/>
  <c r="O143" i="1" s="1"/>
  <c r="I144" i="1" l="1"/>
  <c r="O144" i="1" l="1"/>
  <c r="V143" i="1" s="1"/>
  <c r="E89" i="1"/>
  <c r="E91" i="1" s="1"/>
  <c r="G91" i="1" s="1"/>
  <c r="L91" i="1" l="1"/>
  <c r="J91" i="1"/>
  <c r="H91" i="1"/>
  <c r="N91" i="1" s="1"/>
  <c r="M91" i="1"/>
  <c r="K91" i="1"/>
  <c r="G89" i="1"/>
  <c r="I91" i="1" l="1"/>
  <c r="O91" i="1" s="1"/>
  <c r="M89" i="1"/>
  <c r="K89" i="1"/>
  <c r="L89" i="1"/>
  <c r="J89" i="1"/>
  <c r="H89" i="1"/>
  <c r="E90" i="1" l="1"/>
  <c r="N89" i="1"/>
  <c r="I89" i="1"/>
  <c r="O90" i="1" l="1"/>
  <c r="O89" i="1"/>
  <c r="V89" i="1" s="1"/>
  <c r="E74" i="1" l="1"/>
  <c r="G74" i="1" s="1"/>
  <c r="E73" i="1"/>
  <c r="E77" i="1" l="1"/>
  <c r="G77" i="1" s="1"/>
  <c r="H77" i="1" s="1"/>
  <c r="N77" i="1" s="1"/>
  <c r="M74" i="1"/>
  <c r="K74" i="1"/>
  <c r="L74" i="1"/>
  <c r="J74" i="1"/>
  <c r="H74" i="1"/>
  <c r="N74" i="1" s="1"/>
  <c r="G73" i="1"/>
  <c r="J77" i="1" l="1"/>
  <c r="L77" i="1"/>
  <c r="I77" i="1"/>
  <c r="K77" i="1"/>
  <c r="M77" i="1"/>
  <c r="M73" i="1"/>
  <c r="K73" i="1"/>
  <c r="L73" i="1"/>
  <c r="J73" i="1"/>
  <c r="H73" i="1"/>
  <c r="I74" i="1"/>
  <c r="O74" i="1" s="1"/>
  <c r="I73" i="1" l="1"/>
  <c r="N73" i="1"/>
  <c r="O77" i="1"/>
  <c r="E75" i="1"/>
  <c r="O75" i="1" l="1"/>
  <c r="N305" i="1" s="1"/>
  <c r="E301" i="1"/>
  <c r="O73" i="1"/>
  <c r="V73" i="1" s="1"/>
  <c r="E42" i="1" l="1"/>
  <c r="E300" i="1" s="1"/>
  <c r="E302" i="1" s="1"/>
  <c r="G40" i="1"/>
  <c r="M40" i="1" l="1"/>
  <c r="G42" i="1"/>
  <c r="L42" i="1" s="1"/>
  <c r="H40" i="1"/>
  <c r="L40" i="1"/>
  <c r="J40" i="1"/>
  <c r="K40" i="1"/>
  <c r="L300" i="1" l="1"/>
  <c r="G300" i="1"/>
  <c r="M42" i="1"/>
  <c r="M300" i="1" s="1"/>
  <c r="K42" i="1"/>
  <c r="K300" i="1" s="1"/>
  <c r="J42" i="1"/>
  <c r="J300" i="1" s="1"/>
  <c r="H42" i="1"/>
  <c r="N42" i="1" s="1"/>
  <c r="N40" i="1"/>
  <c r="I40" i="1"/>
  <c r="N300" i="1" l="1"/>
  <c r="H300" i="1"/>
  <c r="I307" i="1"/>
  <c r="K302" i="1"/>
  <c r="I42" i="1"/>
  <c r="O42" i="1" s="1"/>
  <c r="O40" i="1"/>
  <c r="V40" i="1" l="1"/>
  <c r="V300" i="1" s="1"/>
  <c r="O300" i="1"/>
  <c r="I300" i="1"/>
  <c r="T301" i="1" l="1"/>
  <c r="I308" i="1" s="1"/>
</calcChain>
</file>

<file path=xl/sharedStrings.xml><?xml version="1.0" encoding="utf-8"?>
<sst xmlns="http://schemas.openxmlformats.org/spreadsheetml/2006/main" count="659" uniqueCount="419">
  <si>
    <t>Invoice Reconcilation</t>
  </si>
  <si>
    <t>Janardhan Organic Food Mill</t>
  </si>
  <si>
    <t>OHT Construction work</t>
  </si>
  <si>
    <t>Invoice Details</t>
  </si>
  <si>
    <t>Invoice Date</t>
  </si>
  <si>
    <t>Invoice No</t>
  </si>
  <si>
    <t>Basic Amt</t>
  </si>
  <si>
    <t xml:space="preserve">Debit </t>
  </si>
  <si>
    <t>After Debit Amt</t>
  </si>
  <si>
    <t>18% GST</t>
  </si>
  <si>
    <t>Amount</t>
  </si>
  <si>
    <t>TDS (1%)</t>
  </si>
  <si>
    <t>SD (5%)</t>
  </si>
  <si>
    <t>On Commissioning</t>
  </si>
  <si>
    <t>Testing Deposit</t>
  </si>
  <si>
    <t>GST SD (18%)</t>
  </si>
  <si>
    <t>Final Amount</t>
  </si>
  <si>
    <t>PAYMENT NOTE No.</t>
  </si>
  <si>
    <t>Total Amount Paid</t>
  </si>
  <si>
    <t>UTR</t>
  </si>
  <si>
    <t>Kajipur Thirwa Village OHT Construction work 250kl 12 m</t>
  </si>
  <si>
    <t>RIUP22/2401</t>
  </si>
  <si>
    <t>01/03/2023 NEFT/AXISP00367587604/RIUP22/2401/JANARD 495000.00</t>
  </si>
  <si>
    <t>RIUP23/579</t>
  </si>
  <si>
    <t>12-06-2023 NEFT/AXISP00397581454/RIUP23/579/JANARDAN ORGANIC 99000.00</t>
  </si>
  <si>
    <t>RIUP23/651</t>
  </si>
  <si>
    <t>13-06-2023 NEFT/AXISP00398124635/RIUP23/651/JANARDAN ORGANIC 99000.00</t>
  </si>
  <si>
    <t>Total Payable Amount Rs. -</t>
  </si>
  <si>
    <t>Makheri kadargarh  Village OHT Construction work</t>
  </si>
  <si>
    <t>GST release note</t>
  </si>
  <si>
    <t>RIUP22/1124</t>
  </si>
  <si>
    <t>28-10-2022 NEFT/AXISP00332142998/RIUP22/1124/JANARDAN ORGANI 594000.00</t>
  </si>
  <si>
    <t>RIUP22/1996</t>
  </si>
  <si>
    <t>24-01-2023 NEFT/AXISP00330179787/RIUP22/1996/JANARDAN ORGANI 495000.00</t>
  </si>
  <si>
    <t>Mantmanti  Village OHT Construction work )375 KL 12 M staging Ht)</t>
  </si>
  <si>
    <t>RIUP22/1050</t>
  </si>
  <si>
    <t>20-10-2022 NEFT/AXISP00330179783/RIUP22/1050/JANARDAN ORGANI 594000.00</t>
  </si>
  <si>
    <t>RIUP22/1995</t>
  </si>
  <si>
    <t>24-01-2023 NEFT/AXISP00330179786/RIUP22/1995/JANARDAN ORGANI 495000.00</t>
  </si>
  <si>
    <t>2023 April 07 ----------- Janardan Organic Food Mill --------- Rs. 50,000 ------------ /AXISP00379707431</t>
  </si>
  <si>
    <t>Badhev Kannukheda Village OHT Construction work</t>
  </si>
  <si>
    <t>RIUP22/1250</t>
  </si>
  <si>
    <t>14-11-2022 NEFT/AXISP00337247390/RIUP22/1250/JANARDAN ORGANI 297000.00</t>
  </si>
  <si>
    <t>RIUP22/1344</t>
  </si>
  <si>
    <t>24-11-2022 NEFT/AXISP00340040190/RIUP22/1344/JANARDAN ORGANI 297000.00</t>
  </si>
  <si>
    <t>RIUP22/1616</t>
  </si>
  <si>
    <t>23-12-2022 NEFT/AXISP00348462541/RIUP22/1616/JANARDAN ORGANI 198000.00</t>
  </si>
  <si>
    <t>RIUP22/2142</t>
  </si>
  <si>
    <t>13-02-2023 NEFT/AXISP00362757393/RIUP22/2142/JANARDAN ORGANI ₹ 30,106.00</t>
  </si>
  <si>
    <t>RIUP22/2183</t>
  </si>
  <si>
    <t>16-02-2023 NEFT/AXISP00363866679/RIUP22/2183/JANARDAN ORGANI ₹ 85,079.00</t>
  </si>
  <si>
    <t>2023 April 07 ------------ Janardan Organic Food Mills ------------ Rs. 2,00,000 -------------- AXISP00379707434</t>
  </si>
  <si>
    <t>SPUP23/0191</t>
  </si>
  <si>
    <t>21-04-2023 NEFT/AXISP00383377297/SPUP23/0191/JANARDAN ORGANI 7573.00</t>
  </si>
  <si>
    <t>RIUP23/331</t>
  </si>
  <si>
    <t>19-05-2023 NEFT/AXISP00391394987/RIUP23/331/JANARDAN ORGANIC ₹ 1,48,500.00</t>
  </si>
  <si>
    <t>Datera  Village OHT Construction work</t>
  </si>
  <si>
    <t>GST reklease note</t>
  </si>
  <si>
    <t>RIUP22/1390</t>
  </si>
  <si>
    <t>30-11-2022 NEFT/AXISP00341651972/RIUP22/1390/JANARDAN ORGANI 495000.00</t>
  </si>
  <si>
    <t>RIUP22/1578</t>
  </si>
  <si>
    <t>20-12-2022 NEFT/AXISP00347623939/RIUP22/1578/JANARDAN ORGANI 148500.00</t>
  </si>
  <si>
    <t>Grahi Hasanpur Village OHT Construction work</t>
  </si>
  <si>
    <t>GST release</t>
  </si>
  <si>
    <t>RIUP22/1512</t>
  </si>
  <si>
    <t>14-12-2022 NEFT/AXISP00346247015/RIUP22/1512/JANARDAN ORGANI 495000.00</t>
  </si>
  <si>
    <t>RIUP22/2178</t>
  </si>
  <si>
    <t>15-02-2023 NEFT/AXISP00363307377/RIUP22/2178/JANARDAN ORGANI ₹ 29,556.00 - GST adj</t>
  </si>
  <si>
    <t>2023 April 07 ---------- Janardan Organic Food Mill ----------- Rs. 1,00,000 ---------- AXISP00379707433</t>
  </si>
  <si>
    <t>RIUP22/2495</t>
  </si>
  <si>
    <t>08-03-2023 NEFT/AXISP00369766184/RIUP22/2495/JANARDAN ORGANI 495000.00</t>
  </si>
  <si>
    <t>Rajhar Village OHT Construction work 350kl 14 m</t>
  </si>
  <si>
    <t>SPUP23/0186</t>
  </si>
  <si>
    <t>19-04-2023 19-04-2023 NEFT/AXISP00382928308/SPUP23/0186/JANARDAN ORGANI 215436.00</t>
  </si>
  <si>
    <t>SPUP23/0187</t>
  </si>
  <si>
    <t>19-04-2023 19-04-2023 NEFT/AXISP00382928309/SPUP23/0187/JANARDAN ORGANI 357153.00</t>
  </si>
  <si>
    <t>Titayli Village OHT Construction work</t>
  </si>
  <si>
    <t>GST Release Note</t>
  </si>
  <si>
    <t>RIUP22/786</t>
  </si>
  <si>
    <t>20-09-2022 NEFT/AXISP00321260566/RIUP22/786/JANARDAN ORGANIC ₹ 2,97,000.00</t>
  </si>
  <si>
    <t>RIUP22/1251</t>
  </si>
  <si>
    <t>14-11-2022 NEFT/AXISP00337247391/RIUP22/1251/JANARDAN ORGANI 198000.00</t>
  </si>
  <si>
    <t>Gangarampur Village OHT Construction work 250 kl 12m</t>
  </si>
  <si>
    <t>RIUP22/698</t>
  </si>
  <si>
    <t>07-09-2022 NEFT/AXISP00318202763/RIUP22/698/JANARDAN ORGANIC 297000.00</t>
  </si>
  <si>
    <t>RIUP22/785</t>
  </si>
  <si>
    <t>20-09-2022 NEFT/AXISP00321260568/RIUP22/785/JANARDAN ORGANIC ₹ 2,97,000.00</t>
  </si>
  <si>
    <t>RIUP22/1579</t>
  </si>
  <si>
    <t>20-12-2022 NEFT/AXISP00347623938/RIUP22/1579/JANARDAN ORGANI 148500.00</t>
  </si>
  <si>
    <t>2023 April 07 ---------- Janardam Organic Food Mill ----------- Rs. 50,000 ------------ /AXISP00379707430</t>
  </si>
  <si>
    <t>Kheri Khushnam Village OHT Construction work</t>
  </si>
  <si>
    <t>RIUP22/697</t>
  </si>
  <si>
    <t>07-09-2022 NEFT/AXISP00318202764/RIUP22/697/JANARDAN ORGANIC 297000.00</t>
  </si>
  <si>
    <t>RIUP22/784</t>
  </si>
  <si>
    <t>20-09-2022 NEFT/AXISP00321260567/RIUP22/784/JANARDAN ORGANIC ₹ 2,97,000.00</t>
  </si>
  <si>
    <t>2023 April 07 ------------ Janardan Organic Food Mill ---------- Rs. 1,00,000 ------------ AXISP00379707432</t>
  </si>
  <si>
    <t>Kelashikarpur Village OHT Construction work 200Kl 14 mtr</t>
  </si>
  <si>
    <t xml:space="preserve">GST Release Note </t>
  </si>
  <si>
    <t>RIUP22/537</t>
  </si>
  <si>
    <t>19-08-2022 NEFT/AXISP00312898798/RIUP22/537/JANARDAN ORGANIC 396000.00</t>
  </si>
  <si>
    <t>RIUP22/1123</t>
  </si>
  <si>
    <t>28-10-2022 NEFT/AXISP00332142997/RIUP22/1123/JANARDAN ORGANI 594000.00</t>
  </si>
  <si>
    <t>RIUP23/944</t>
  </si>
  <si>
    <t>28-06-2023 NEFT/AXISP00401570071/RIUP23/944/JANARDAN ORGANIC ₹ 1,98,000.00</t>
  </si>
  <si>
    <t>RIUP23/943</t>
  </si>
  <si>
    <t>28-06-2023 NEFT/AXISP00401570070/RIUP23/943/JANARDAN ORGANIC ₹ 1,98,000.00</t>
  </si>
  <si>
    <t>RIUP23/942</t>
  </si>
  <si>
    <t>28-06-2023 NEFT/AXISP00401570069/RIUP23/942/JANARDAN ORGANIC ₹ 1,98,000.00</t>
  </si>
  <si>
    <t>RIUP23/941</t>
  </si>
  <si>
    <t>28-06-2023 NEFT/AXISP00401570068/RIUP23/941/JANARDAN ORGANIC ₹ 1,98,000.00</t>
  </si>
  <si>
    <t>28-06-2023 NEFT/AXISP00401570067/RIUP23/940/JANARDAN ORGANIC ₹ 1,98,000.00</t>
  </si>
  <si>
    <t>RIUP23/940</t>
  </si>
  <si>
    <t>RIUP23/963</t>
  </si>
  <si>
    <t>30-06-2023 NEFT/AXISP00402152394/RIUP23/963/JANARDAN ORGANIC 247500.00</t>
  </si>
  <si>
    <t>30-06-2023 NEFT/AXISP00402152393/RIUP23/965/JANARDAN ORGANIC 247500.00</t>
  </si>
  <si>
    <t>RIUP23/964</t>
  </si>
  <si>
    <t>30-06-2023 NEFT/AXISP00402152395/RIUP23/964/JANARDAN ORGANIC 198000.00</t>
  </si>
  <si>
    <t>RIUP23/975</t>
  </si>
  <si>
    <t>01-07-2023 NEFT/AXISP00402764249/RIUP23/975/JANARDAN ORGANIC 198000.00</t>
  </si>
  <si>
    <t>03-07-2023 NEFT/AXISP00403218877/RIUP23/992/JANARDAN ORGANIC 99000.00</t>
  </si>
  <si>
    <t>28-07-2023 NEFT/AXISP00410110586/RIUP23/1266A/JANARDAN ORGAN ₹ 1,98,000.00</t>
  </si>
  <si>
    <t>28-07-2023 NEFT/AXISP00410084837/RIUP23/1266/JANARDAN ORGANI 198000.00</t>
  </si>
  <si>
    <t>28-07-2023 NEFT/AXISP00410084838/RIUP23/1265/JANARDAN ORGANI 99000.00</t>
  </si>
  <si>
    <t>28-07-2023 NEFT/AXISP00410084840/RIUP23/1267A/JANARDAN ORGAN 198000.00</t>
  </si>
  <si>
    <t>OR</t>
  </si>
  <si>
    <t>NR</t>
  </si>
  <si>
    <t>Total Paid</t>
  </si>
  <si>
    <t>Balance Payable</t>
  </si>
  <si>
    <t>SITE</t>
  </si>
  <si>
    <t>Work</t>
  </si>
  <si>
    <t>Sub Contractor</t>
  </si>
  <si>
    <t>Shamli - UP</t>
  </si>
  <si>
    <t>28-07-2023 NEFT/AXISP00410084838/RIUP23/1265/JANARDAN ORGANI 99000.01</t>
  </si>
  <si>
    <t>18-07-2023 NEFT/AXISP00407734316/RIUP23/1138/JANARDAN ORGANI 198000.00</t>
  </si>
  <si>
    <t>RIUP23/1138</t>
  </si>
  <si>
    <t>28-07-2023 NEFT/AXISP00410084840/RIUP23/1267A/JANARDAN ORGAN 198000.01</t>
  </si>
  <si>
    <t>18-07-2023 NEFT/AXISP00407734315/RIUP23/1137/JANARDAN ORGANI 99000.00</t>
  </si>
  <si>
    <t>RIUP23/1137</t>
  </si>
  <si>
    <t>25-07-2023 NEFT/AXISP00409456856/RIUP23/1209/JANARDAN FOOD ORG 1,98,000.00</t>
  </si>
  <si>
    <t>RIUP23/1209</t>
  </si>
  <si>
    <t>GST  RELEASE NOTE</t>
  </si>
  <si>
    <t>18-08-2023 NEFT/AXISP00416756585/RIUP23/1617/JANARDAN ORGANI 495000.00</t>
  </si>
  <si>
    <t>18-08-2023 NEFT/AXISP00416756581/RIUP23/1618/JANARDAN ORGANI 495000.00</t>
  </si>
  <si>
    <t>22-09-2023 NEFT/AXISP00426907970/RIUP23/2209/JANARDAN ORGANIC F/UBIN0565750 148500.00</t>
  </si>
  <si>
    <t>27-09-2023 NEFT/AXISP00427962780/RIUP23/2341/JANARDAN ORGANIC F/UBIN0565750 198000.00</t>
  </si>
  <si>
    <t>22-09-2023 NEFT/AXISP00426907971/RIUP23/2210/JANARDAN ORGANIC F/UBIN0565750 148500.00</t>
  </si>
  <si>
    <t>04-11-2023 NEFT/AXISP00440433094/RIUP23/3069/JANARDAN ORGANIC F/UBIN0565750 247500.00</t>
  </si>
  <si>
    <t>04-11-2023 NEFT/AXISP00440433096/RIUP23/3067/JANARDAN ORGANIC F/UBIN0565750 148500.00</t>
  </si>
  <si>
    <t>09-10-2023 NEFT/AXISP004269087465/RIUP23/2598/JANARDAN ORGANIC F/UBIN0565750 297000.00</t>
  </si>
  <si>
    <t>04-11-2023 NEFT/AXISP00440433095/RIUP23/3068/JANARDAN ORGANIC F/UBIN0565750 198000.00</t>
  </si>
  <si>
    <t>04-11-2023 NEFT/AXISP00440433097/RIUP23/3066/JANARDAN ORGANIC F/UBIN0565750 198000.00</t>
  </si>
  <si>
    <t>04-11-2023 NEFT/AXISP00440433098/RIUP23/3065/JANARDAN ORGANIC F/UBIN0565750 198000.00</t>
  </si>
  <si>
    <t>24-11-2023 NEFT/AXISP00446428098/RIUP23/3427/JANARDAN ORGANICF/UBIN0565750 247500.00</t>
  </si>
  <si>
    <t>30-11-2023 NEFT/AXISP00447919700/RIUP23/3543/JANARDAN ORGANIC F/UBIN0565750 198000.00</t>
  </si>
  <si>
    <t>30-11-2023 NEFT/AXISP00447919701/RIUP23/3544/JANARDAN ORGANIC F/UBIN0565750 297000.00</t>
  </si>
  <si>
    <t>04-12-2023 NEFT/AXISP00447851236/RIUP23/3591/JANARDAN ORGANIC F/UBIN0565750 297000.00</t>
  </si>
  <si>
    <t>30-11-2023 NEFT/AXISP00447919702/RIUP23/3545/JANARDAN ORGANIC F/UBIN0565750 99000.00</t>
  </si>
  <si>
    <t>07-12-2023 NEFT/AXISP00450593583/RIUP23/3642/JANARDAN ORGANIC F/UBIN0565750 1,48,500.00</t>
  </si>
  <si>
    <t>11-12-2023 NEFT/AXISP00451739033/RIUP23/3687/JANARDAN ORGANICF/UBIN0565750 99000.00</t>
  </si>
  <si>
    <t>13-12-2023 NEFT/AXISP00452475687/RIUP23/3704/JANARDAN ORGANICF/UBIN0565750 99000.00</t>
  </si>
  <si>
    <t>13-12-2023 NEFT/AXISP00452475688/RIUP23/3705/JANARDAN ORGANICF/UBIN0565750 99000.00</t>
  </si>
  <si>
    <t>13-12-2023 NEFT/AXISP00452475689/RIUP23/3706/JANARDAN ORGANICF/UBIN0565750 297000.00</t>
  </si>
  <si>
    <t>19-12-2023 NEFT/AXISP00454126209/RIUP23/3870/JANARDAN ORGANICF/UBIN0565750 495000.00</t>
  </si>
  <si>
    <t xml:space="preserve"> </t>
  </si>
  <si>
    <t>21-12-2023 NEFT/AXISP00454518238/RIUP23/3882/JANARDAN ORGANICF/UBIN0565750 495000.00</t>
  </si>
  <si>
    <t>21-12-2023 NEFT/AXISP00454518237/RIUP23/3881/JANARDAN ORGANICF/UBIN0565750 148500.00</t>
  </si>
  <si>
    <t>21-12-2023 NEFT/AXISP00454518236/RIUP23/3880/JANARDAN ORGANICF/UBIN0565750 148500.00</t>
  </si>
  <si>
    <t>24-11-2023 NEFT/AXISP00446428099/RIUP23/3428/JANARDAN ORGANICF/UBIN0565750 247500.00</t>
  </si>
  <si>
    <t>02-01-2024 NEFT/AXISP00458541611/RIUP23/4077/JANARDAN ORGANIC F/UBIN0565750 495000.00</t>
  </si>
  <si>
    <t>02-01-2024 NEFT/AXISP00458541610/RIUP23/4076/JANARDAN ORGANIC F/UBIN0565750 495000.00</t>
  </si>
  <si>
    <t>06-01-2024 NEFT/AXISP00460249928/RIUP23/4145/JANARDAN ORGANICF/UBIN0565750 495000.00</t>
  </si>
  <si>
    <t>09-01-2024 NEFT/AXISP00460826673/RIUP23/4169/JANARDAN ORGANICF/UBIN0565750 495000.00</t>
  </si>
  <si>
    <t>06-01-2024 NEFT/AXISP00460249929/RIUP23/4144/JANARDAN ORGANICF/UBIN0565750 495000.00</t>
  </si>
  <si>
    <t>Total Amount</t>
  </si>
  <si>
    <t>10-01-2024 NEFT/AXISP00461403095/RIUP23/4222/JANARDAN ORGANIC F/UBIN0565750 495000.00</t>
  </si>
  <si>
    <t>10-01-2024 NEFT/AXISP00461403096/RIUP23/4221/JANARDAN ORGANIC F/UBIN0565750 990000.00</t>
  </si>
  <si>
    <t>16-01-2024 NEFT/AXISP00462907344/RIUP23/4276/JANARDAN ORGANICF/UBIN0565750 495000.00</t>
  </si>
  <si>
    <t>17-01-2024 NEFT/AXISP00463195075/RIUP23/4344/JANARDAN ORGANIC F/UBIN0565750 495000.00</t>
  </si>
  <si>
    <t xml:space="preserve">Hold Amount </t>
  </si>
  <si>
    <t>Advance / Surplus</t>
  </si>
  <si>
    <t xml:space="preserve">Janardan Organic </t>
  </si>
  <si>
    <t>Advance Village Wise</t>
  </si>
  <si>
    <t>02-02-2024 NEFT/AXISP00467758854/RIUP23/4561/JANARDAN ORGANICF/UBIN0565750 990000.00</t>
  </si>
  <si>
    <t>02-02-2024 NEFT/AXISP00467758855/RIUP23/4560/JANARDAN ORGANIC F/UBIN0565750 990000.00</t>
  </si>
  <si>
    <t>Kandhala Dehat - 500 KL 16 mtr</t>
  </si>
  <si>
    <t>22-02-2024 NEFT/AXISP00473278700/RIUP23/4808/JANARDAN ORGANICF/UBIN0565750 297000.00</t>
  </si>
  <si>
    <t>Vyom debit</t>
  </si>
  <si>
    <t xml:space="preserve">Debit  Remaining </t>
  </si>
  <si>
    <t>23-02-2024 NEFT/AXISP00473620337/RIUP23/4824/JANARDAN ORGANIC F/UBIN0565750 ₹ 9,90,000.00</t>
  </si>
  <si>
    <t>23-02-2024 NEFT/AXISP00473620338/RIUP23/4823/JANARDAN ORGANIC F/UBIN0565750 ₹ 3,96,000.00</t>
  </si>
  <si>
    <t>06-03-2024 NEFT/AXISP00477669928/RIUP23/5005/JANARDAN ORGANICF/UBIN0565750 495000.00</t>
  </si>
  <si>
    <t>06-03-2024 NEFT/AXISP00477669929/RIUP23/5006/JANARDAN ORGANICF/UBIN0565750 495000.00</t>
  </si>
  <si>
    <t>18-03-2024 NEFT/AXISP00481766498/RIUP23/5161/JANARDAN ORGANICF/UBIN0565750 495000.00</t>
  </si>
  <si>
    <t>29-03-2024 NEFT/AXISP00485733267/RIUP23/5309/JANARDAN ORGANIC F/UBIN0565750 ₹ 1,98,000.00</t>
  </si>
  <si>
    <t>21-03-2024 NEFT/AXISP00483037811/RIUP23/5230/JANARDAN ORGANICF/UBIN0565750 198000.00</t>
  </si>
  <si>
    <t>16-03-2024 NEFT/AXISP00481604511/RIUP23/5158/JANARDAN ORGANICF/UBIN0565750 495000.00</t>
  </si>
  <si>
    <t>16-04-2024 NEFT/AXISP00491676958/RIUP24/0165/JANARDAN ORGANICF/UBIN0565750 990000.00</t>
  </si>
  <si>
    <t>16-04-2024 NEFT/AXISP00491676959/RIUP24/0164/JANARDAN ORGANICF/UBIN0565750 990000.00</t>
  </si>
  <si>
    <t>25-04-2024 NEFT/AXISP00493861225/RIUP24/0311/JANARDAN ORGANICF/UBIN0565750 475000.00</t>
  </si>
  <si>
    <t>25-04-2024 NEFT/AXISP00493861226/RIUP24/0312/JANARDAN ORGANICF/UBIN0565750 475000.00</t>
  </si>
  <si>
    <t>25-04-2024 NEFT/AXISP00493861228/RIUP24/0314/JANARDAN ORGANICF/UBIN0565750 475000.00</t>
  </si>
  <si>
    <t>25-04-2024 NEFT/AXISP00493861227/RIUP24/0313/JANARDAN ORGANICF/UBIN0565750 475000.00</t>
  </si>
  <si>
    <t>26-04-2024 NEFT/AXISP00493934371/RIUP24/0323/JANARDAN ORGANICF/UBIN0565750 475000.00</t>
  </si>
  <si>
    <t>04-05-2024 NEFT/AXISP00496939375/RIUP24/0390/JANARDAN ORGANICF/UBIN0565750 380000.00</t>
  </si>
  <si>
    <t>04-05-2024 NEFT/AXISP00496939374/RIUP24/0389/JANARDAN ORGANICF/UBIN0565750 190000.00</t>
  </si>
  <si>
    <t>07-05-2024 NEFT/AXISP00497850345/RIUP24/0399/JANARDAN ORGANICF/UBIN0565750 285000.00</t>
  </si>
  <si>
    <t>14-05-2024 NEFT/AXISP00499706371/RIUP24/0481/JANARDAN ORGANICF/UBIN0565750 190000.00</t>
  </si>
  <si>
    <t>14-05-2024 NEFT/AXISP00499706370/RIUP24/0480/JANARDAN ORGANICF/UBIN0565750 190000.00</t>
  </si>
  <si>
    <t>07-05-2024 NEFT/AXISP00497850357/RIUP24/0398/JANARDAN ORGANICF/UBIN0565750 475000.00</t>
  </si>
  <si>
    <t>18-05-2024 NEFT/AXISP00501160943/RIUP24/0568/JANARDAN ORGANICF/UBIN0565750 475000.00</t>
  </si>
  <si>
    <t>18-05-2024 NEFT/AXISP00501160944/RIUP24/0567/JANARDAN ORGANICF/UBIN0565750 475000.00</t>
  </si>
  <si>
    <t>24-05-2024 NEFT/AXISP00502671114/RIUP24/0606/JANARDAN ORGANICF/UBIN0565750 475000.00</t>
  </si>
  <si>
    <t>24-05-2024 NEFT/AXISP00502671115/RIUP24/0605/JANARDAN ORGANICF/UBIN0565750 475000.00</t>
  </si>
  <si>
    <t>24-05-2024 NEFT/AXISP00502671116/RIUP24/0604/JANARDAN ORGANICF/UBIN0565750 475000.00</t>
  </si>
  <si>
    <t>30-05-2024 NEFT/AXISP00503666361/RIUP24/0652/JANARDAN ORGANICF/UBIN0565750 950000.00</t>
  </si>
  <si>
    <t>06-06-2024 NEFT/AXISP00506791469/RIUP24/0772/JANARDAN ORGANIC F/UBIN0565750 990000.00</t>
  </si>
  <si>
    <t>06-06-2024 NEFT/AXISP00506791470/RIUP24/0773/JANARDAN ORGANICF/UBIN0565750 990000.00</t>
  </si>
  <si>
    <t>21-06-2024 NEFT/AXISP00511014639/RIUP24/0943/JANARDAN ORGANICF/UBIN0565750 495000.00</t>
  </si>
  <si>
    <t>21-06-2024 NEFT/AXISP00511014638/RIUP24/0942/JANARDAN ORGANICF/UBIN0565750 495000.00</t>
  </si>
  <si>
    <t>26-06-2024 NEFT/AXISP00512082480/RIUP24/0941/JANARDAN ORGANICF/UBIN0565750 990000.00</t>
  </si>
  <si>
    <t>27-06-2024 NEFT/AXISP00512319351/RIUP24/0940/JANARDAN ORGANICF/UBIN0565750 990000.00</t>
  </si>
  <si>
    <t>30-05-2024 NEFT/AXISP00503666362/RIUP24/0653/JANARDAN ORGANICF/UBIN0565750 570000.00</t>
  </si>
  <si>
    <t>01-06-2024 NEFT/AXISP00505116439/RIUP24/0731/JANARDAN ORGANIC F/UBIN0565750 495000.00</t>
  </si>
  <si>
    <t>11-07-2024 NEFT/AXISP00517806265/RIUP24/1089/JANARDAN ORGANICF/UBIN0565750 495000.00</t>
  </si>
  <si>
    <t>11-07-2024 NEFT/AXISP00517806264/RIUP24/1088/JANARDAN ORGANICF/UBIN0565750 495000.00</t>
  </si>
  <si>
    <t>19-07-2024 NEFT/AXISP00519907624/RIUP24/1184/JANARDAN ORGANICF/UBIN0565750 495000.00</t>
  </si>
  <si>
    <t>130,12</t>
  </si>
  <si>
    <t>58, 206</t>
  </si>
  <si>
    <t>59, 207</t>
  </si>
  <si>
    <t>53, 201</t>
  </si>
  <si>
    <t>55, 203</t>
  </si>
  <si>
    <t>109, 250</t>
  </si>
  <si>
    <t>140, 24</t>
  </si>
  <si>
    <t>GST</t>
  </si>
  <si>
    <t>84, 185, &amp; 217</t>
  </si>
  <si>
    <t>129, 11</t>
  </si>
  <si>
    <t>31, 187</t>
  </si>
  <si>
    <t>18-07-2024 NEFT/AXISP00519648697/RIUP24/1149/JANARDAN ORGANIC F/UBIN0565750 ₹ 4,95,000.00</t>
  </si>
  <si>
    <t>145,26</t>
  </si>
  <si>
    <t>116, 1</t>
  </si>
  <si>
    <t>16-07-2024 NEFT/AXISP00519021119/RIUP24/1140/JANARDAN ORGANICF/UBIN0565750 495000.00</t>
  </si>
  <si>
    <t>115, 2</t>
  </si>
  <si>
    <t>89, 232</t>
  </si>
  <si>
    <t>16-07-2024 NEFT/AXISP00519021117/RIUP24/1139/JANARDAN ORGANICF/UBIN0565750 495000.00</t>
  </si>
  <si>
    <t>146, 27</t>
  </si>
  <si>
    <t>104, 245</t>
  </si>
  <si>
    <t>90, 231</t>
  </si>
  <si>
    <t>111, 251</t>
  </si>
  <si>
    <t>19-07-2024 NEFT/AXISP00519907623/RIUP24/1183/JANARDAN ORGANICF/UBIN0565750 495000.00</t>
  </si>
  <si>
    <t>117, 3</t>
  </si>
  <si>
    <t>141, 22</t>
  </si>
  <si>
    <t>142, 23</t>
  </si>
  <si>
    <t>19-07-2024 NEFT/AXISP00519907625/RIUP24/1185/JANARDAN ORGANICF/UBIN0565750 495000.00</t>
  </si>
  <si>
    <t>19-07-2024 NEFT/AXISP00519907626/RIUP24/1186/JANARDAN ORGANICF/UBIN0565750 495000.00</t>
  </si>
  <si>
    <t>19-07-2024 NEFT/AXISP00519907628/RIUP24/1187/JANARDAN ORGANICF/UBIN0565750 495000.00</t>
  </si>
  <si>
    <t>19-07-2024 NEFT/AXISP00519907629/RIUP24/1188/JANARDAN ORGANICF/UBIN0565750 495000.00</t>
  </si>
  <si>
    <t>144, 25</t>
  </si>
  <si>
    <t>26-07-2024 NEFT/AXISP00521556658/RIUP24/1270/JANARDAN ORGANICF/UBIN0565750 297000.00</t>
  </si>
  <si>
    <t>26-07-2024 NEFT/AXISP00521556657/RIUP24/1258/JANARDAN ORGANICF/UBIN0565750 297000.00</t>
  </si>
  <si>
    <t>31-07-2024 NEFT/AXISP00522546968/RIUP24/1272/JANARDAN ORGANICF/UBIN0565750 297000.00</t>
  </si>
  <si>
    <t>31-07-2024 NEFT/AXISP00522546967/RIUP24/1271/JANARDAN ORGANICF/UBIN0565750 198000.00</t>
  </si>
  <si>
    <t>GST Remaining</t>
  </si>
  <si>
    <t>01-08-2024 NEFT/AXISP00523998744/RIUP24/1336/JANARDAN ORGANICF/UBIN0565750 495000.00</t>
  </si>
  <si>
    <t>213, 204, 228</t>
  </si>
  <si>
    <t>GSB</t>
  </si>
  <si>
    <t>Not received</t>
  </si>
  <si>
    <t>03-08-2024 NEFT/AXISP00524659747/RIUP24/1371/JANARDAN ORGANICF/UBIN0565750 495000.00</t>
  </si>
  <si>
    <t>188,250,24</t>
  </si>
  <si>
    <t>41, 158</t>
  </si>
  <si>
    <t>160, 39</t>
  </si>
  <si>
    <t>01-08-2024 NEFT/AXISP00523998745/RIUP24/1337/JANARDAN ORGANICF/UBIN0565750 396000.00</t>
  </si>
  <si>
    <t>01-08-2024 NEFT/AXISP00523998742/RIUP24/1334/JANARDAN ORGANICF/UBIN0565750 495000.00</t>
  </si>
  <si>
    <t>01-08-2024 NEFT/AXISP00523998743/RIUP24/1335/JANARDAN ORGANICF/UBIN0565750 495000.00</t>
  </si>
  <si>
    <t>159, 38</t>
  </si>
  <si>
    <t>31-07-2024 NEFT/AXISP00522966394/RIUP24/1303/JANARDAN ORGANICF/UBIN0565750 198000.00</t>
  </si>
  <si>
    <t>143, 21</t>
  </si>
  <si>
    <t>161, 40</t>
  </si>
  <si>
    <t>14-08-2024 NEFT/AXISP00528230422/RIUP24/1437/JANARDAN ORGANIC F/UBIN0565750 495000.00</t>
  </si>
  <si>
    <t>14-08-2024 NEFT/AXISP00528230423/RIUP24/1438/JANARDAN ORGANIC F/UBIN0565750 495000.00</t>
  </si>
  <si>
    <t>17-08-2024 NEFT/AXISP00529471070/RIUP24/1483/JANARDAN ORGANIC F/UBIN0565750 ₹ 9,90,000.00</t>
  </si>
  <si>
    <t>17-08-2024 NEFT/AXISP00589654789/RIUP24/1486/JANARDAN ORGANIC ₹ 495000.00</t>
  </si>
  <si>
    <t>21-08-2024 NEFT/AXISP00530581002/RIUP24/1518/JANARDAN ORGANIC F/UBIN0565750 990000.00</t>
  </si>
  <si>
    <t>22-08-2024 NEFT/AXISP00531016566/RIUP24/1519/JANARDAN ORGANIC F/UBIN0565750 990000.00</t>
  </si>
  <si>
    <t>22-08-2024 NEFT/AXISP00530824634/RIUP24/1484/JANARDAN ORGANIC F/UBIN0565750 ₹ 9,90,000.00</t>
  </si>
  <si>
    <t>21-08-2024 NEFT/AXISP00530601965/RIUP24/1485/JANARDAN ORGANIC F/UBIN0565750 495000.00</t>
  </si>
  <si>
    <t>27-08-2024 NEFT/AXISP00532290647/RIUP24/1539/JANARDAN ORGANICF/UBIN0565750 297000.00</t>
  </si>
  <si>
    <t>23-08-2024
NEFT/AXISP00531577845/SKUP24/159/JANARDAN ORGANIC
F/UBIN0565750 495000.00</t>
  </si>
  <si>
    <t>23-08-2024NEFT/AXISP00531577846/SKUP24/165/JANARDAN ORGANICF/UBIN0565750 495000.00</t>
  </si>
  <si>
    <t>Approval on Whatsapp Dt.30-08-2024.
30-08-2024 NEFT/AXISP00533733866/RIUP24/1587/JANARDAN ORGANICF/UBIN0565750 990000.00</t>
  </si>
  <si>
    <t>03-09-2024 NEFT/AXISP00535722995/RIUP24/1610/JANARDAN ORGANICF/UBIN0565750 198000.00</t>
  </si>
  <si>
    <t>03-09-2024 NEFT/AXISP00535722994/RIUP24/1609/JANARDAN ORGANIC F/UBIN0565750 198000.00</t>
  </si>
  <si>
    <t>03-09-2024 NEFT/AXISP00535722993/RIUP24/1608/JANARDAN ORGANICF/UBIN0565750 297000.00</t>
  </si>
  <si>
    <t>02-09-2024 NEFT/AXISP00535241238/RIUP24/1586/JANARDAN ORGANICF/UBIN0565750 495000.00</t>
  </si>
  <si>
    <t>02-09-2024 NEFT/AXISP00535241237/RIUP24/1585/JANARDAN ORGANICF/UBIN0565750 495000.00</t>
  </si>
  <si>
    <t>04-09-2024 NEFT/AXISP00535970653/RIUP24/1611/JANARDAN ORGANIC F/UBIN0565750 ₹ 4,95,000.00</t>
  </si>
  <si>
    <t>06-09-2024 NEFT/AXISP00537295297/RIUP24/1670/JANARDAN ORGANICF/UBIN0565750 495000.00</t>
  </si>
  <si>
    <t>06-09-2024 NEFT/AXISP00537295298/RIUP24/1671/JANARDAN ORGANICF/UBIN0565750 495000.00</t>
  </si>
  <si>
    <t>06-09-2024 NEFT/AXISP00537295299/RIUP24/1672/JANARDAN ORGANICF/UBIN0565750 495000.00</t>
  </si>
  <si>
    <t>06-09-2024 NEFT/AXISP00537295300/RIUP24/1673/JANARDAN ORGANICF/UBIN0565750 495000.00</t>
  </si>
  <si>
    <t>06-09-2024 NEFT/AXISP00537295301/RIUP24/1674/JANARDAN ORGANICF/UBIN0565750 495000.00</t>
  </si>
  <si>
    <t>13-09-2024 NEFT/AXISP00540477808/RIUP24/1774/JANARDAN ORGANICF/UBIN0565750 198000.00</t>
  </si>
  <si>
    <t>13-09-2024 NEFT/AXISP00540414561/RIUP24/1779/JANARDAN ORGANICF/UBIN0565750 198000.00</t>
  </si>
  <si>
    <t>17-09-2024 NEFT/AXISP00541269866/RIUP24/1814/JANARDAN ORGANICF/UBIN0565750 396000.00</t>
  </si>
  <si>
    <t>17-09-2024 NEFT/AXISP00541269864/RIUP24/1815/JANARDAN ORGANICF/UBIN0565750 297000.00</t>
  </si>
  <si>
    <t>17-09-2024 NEFT/AXISP00541269862/RIUP24/1816/JANARDAN ORGANICF/UBIN0565750 297000.00</t>
  </si>
  <si>
    <t>19-09-2024 NEFT/AXISP00542202586/RIUP24/1859/JANARDAN ORGANICF/UBIN0565750 297000.00</t>
  </si>
  <si>
    <t>19-09-2024 NEFT/AXISP00542202587/RIUP24/1858/JANARDAN ORGANICF/UBIN0565750 99000.00</t>
  </si>
  <si>
    <t>19-09-2024 NEFT/AXISP00542202589/RIUP24/1856/JANARDAN ORGANICF/UBIN0565750 198000.00</t>
  </si>
  <si>
    <t>19-09-2024 NEFT/AXISP00542202590/RIUP24/1855/JANARDAN ORGANICF/UBIN0565750 198000.00</t>
  </si>
  <si>
    <t>BOQ Amount</t>
  </si>
  <si>
    <t>Balance against BOQ</t>
  </si>
  <si>
    <t>20-09-2024 NEFT/AXISP00542641363/RIUP24/1875/JANARDAN ORGANICF/UBIN0565750 198000.00</t>
  </si>
  <si>
    <t>20-09-2024 NEFT/AXISP00542641364/RIUP24/1876/JANARDAN ORGANICF/UBIN0565750 297000.00</t>
  </si>
  <si>
    <t>20-09-2024 NEFT/AXISP00542641365/RIUP24/1877/JANARDAN ORGANICF/UBIN0565750 198000.00</t>
  </si>
  <si>
    <t>20-09-2024 NEFT/AXISP00542641366/RIUP24/1878/JANARDAN ORGANICF/UBIN0565750 198000.00</t>
  </si>
  <si>
    <t>24-09-2024 NEFT/AXISP00543503653/RIUP24/1912/JANARDAN ORGANICF/UBIN0565750 297000.00</t>
  </si>
  <si>
    <t>24-09-2024 NEFT/AXISP00543503652/RIUP24/1911/JANARDAN ORGANICF/UBIN0565750 396000.00</t>
  </si>
  <si>
    <t>24-09-2024 NEFT/AXISP00543503651/RIUP24/1910/JANARDAN ORGANICF/UBIN0565750 198000.00</t>
  </si>
  <si>
    <t>JANARDAN ORGANIC FOOD MILLS</t>
  </si>
  <si>
    <t>27-09-2024 NEFT/AXISP00544997299/RIUP24/1951/JANARDAN ORGANICF/UBIN0565750 396000.00</t>
  </si>
  <si>
    <t>27-09-2024 NEFT/AXISP00544997300/RIUP24/1952/JANARDAN ORGANICF/UBIN0565750 198000.00</t>
  </si>
  <si>
    <t>27-09-2024 NEFT/AXISP00544997301/RIUP24/1953/JANARDAN ORGANICF/UBIN0565750 198000.00</t>
  </si>
  <si>
    <t>27-09-2024 NEFT/AXISP00544997302/RIUP24/1954/JANARDAN ORGANICF/UBIN0565750 297000.00</t>
  </si>
  <si>
    <t>27-09-2024 NEFT/AXISP00544997303/RIUP24/1955/JANARDAN ORGANICF/UBIN0565750 297000.00</t>
  </si>
  <si>
    <t>01-10-2024 NEFT/AXISP00547359349/RIUP24/2027/JANARDAN ORGANICF/UBIN0565750 495000.00</t>
  </si>
  <si>
    <t>01-10-2024 NEFT/AXISP00547359348/RIUP24/2026/JANARDAN ORGANICF/UBIN0565750 495000.00</t>
  </si>
  <si>
    <t>01-10-2024 NEFT/AXISP00547359347/RIUP24/2025/JANARDAN ORGANICF/UBIN0565750 792000.00</t>
  </si>
  <si>
    <t>01-10-2024 NEFT/AXISP00547359346/RIUP24/2024/JANARDAN ORGANICF/UBIN0565750 594000.00</t>
  </si>
  <si>
    <t>Ankshri work is doing - close the issue</t>
  </si>
  <si>
    <t>03-10-2024 NEFT/AXISP00548259337/RIUP24/2094/JANARDAN ORGANICF/UBIN0565750 297000.00</t>
  </si>
  <si>
    <t>04-10-2024 NEFT/AXISP00548955240/RIUP24/2115/JANARDAN ORGANICF/UBIN0565750 297000.00</t>
  </si>
  <si>
    <t>04-10-2024 NEFT/AXISP00548955242/RIUP24/2116/JANARDAN ORGANICF/UBIN0565750 495000.00</t>
  </si>
  <si>
    <t>04-10-2024 NEFT/AXISP00548955244/RIUP24/2117/JANARDAN ORGANICF/UBIN0565750 198000.00</t>
  </si>
  <si>
    <t>05-10-2024 NEFT/AXISP00549508646/RIUP24/2129/JANARDAN ORGANIC F/UBIN0565750 ₹ 4,95,000.00</t>
  </si>
  <si>
    <t>11-10-2024 NEFT/AXISP00552724055/RIUP24/2187/JANARDAN ORGANIC F/UBIN0565750 198000.0</t>
  </si>
  <si>
    <t>11-10-2024 NEFT/AXISP00552724054/RIUP24/2186/JANARDAN ORGANIC F/UBIN0565750 198000.0</t>
  </si>
  <si>
    <t>11-10-2024 NEFT/AXISP00552723371/RIUP24/2185/JANARDAN ORGANIC F/UBIN0565750 198000.00</t>
  </si>
  <si>
    <t>11-10-2024 NEFT/AXISP00552723370/RIUP24/2184/JANARDAN ORGANIC F/UBIN0565750 198000.00</t>
  </si>
  <si>
    <t>16-10-2024 NEFT/AXISP00554277922/RIUP24/2222/JANARDAN ORGANICF/UBIN0565750 495000.00</t>
  </si>
  <si>
    <t>17-10-2024 NEFT/AXISP00554849807/RIUP24/2223/JANARDAN ORGANICF/UBIN0565750 198000.00</t>
  </si>
  <si>
    <t>29-10-2024 NEFT/AXISP00559829077/RIUP24/2287/JANARDAN ORGANICF/UBIN0565750 495000.00</t>
  </si>
  <si>
    <t>29-10-2024 NEFT/AXISP00560462659/RIUP24/2288/JANARDAN ORGANICF/UBIN0565750 495000.00</t>
  </si>
  <si>
    <t>30-10-2024 NEFT/AXISP00561828557/RIUPP24/2383/JANARDAN ORGANICF/UBIN0565750 495000.00</t>
  </si>
  <si>
    <t>30-10-2024 NEFT/AXISP00561828556/RIUPP24/2382/JANARDAN ORGANICF/UBIN0565750 495000.00</t>
  </si>
  <si>
    <t>30-10-2024 NEFT/AXISP00561828555/RIUPP24/2381/JANARDAN ORGANICF/UBIN0565750 495000.00</t>
  </si>
  <si>
    <t>08-11-2024 NEFT/AXISP00566570856/RIUP24/2433/JANARDAN ORGANICF/UBIN0565750 396000.00</t>
  </si>
  <si>
    <t>08-11-2024 NEFT/AXISP00566570855/RIUP24/2432/JANARDAN ORGANICF/UBIN0565750 297000.00</t>
  </si>
  <si>
    <t>08-11-2024 NEFT/AXISP00566570854/RIUP24/2431/JANARDAN ORGANICF/UBIN0565750 297000.00</t>
  </si>
  <si>
    <t>12-11-2024 NEFT/AXISP00568034787/RIUP24/2434/JANARDAN ORGANICF/UBIN0565750 396000.00</t>
  </si>
  <si>
    <t>14-11-2024 NEFT/AXISP00569818228/RIUP24/2452/JANARDAN ORGANICF/UBIN0565750 396000.00</t>
  </si>
  <si>
    <t>14-11-2024 NEFT/AXISP00569818227/RIUP24/2451/JANARDAN ORGANICF/UBIN0565750 396000.00</t>
  </si>
  <si>
    <t>16-11-2024 NEFT/AXISP00570981025/RIUP24/2519/JANARDAN ORGANICF/UBIN0565750 495000.00</t>
  </si>
  <si>
    <t>16-11-2024 NEFT/AXISP00570981026/RIUP24/2518/JANARDAN ORGANICF/UBIN0565750 495000.00</t>
  </si>
  <si>
    <t>21-11-2024 NEFT/AXISP00572732447/RIUP24/2529/JANARDAN ORGANICF/UBIN0565750 495000.00</t>
  </si>
  <si>
    <t>21-11-2024 NEFT/AXISP00572732448/RIUP24/2530/JANARDAN ORGANICF/UBIN0565750 495000.00</t>
  </si>
  <si>
    <t>22-11-2024 NEFT/AXISP00573604258/RIUP24/2517/JANARDAN ORGANIC F/UBIN0565750 495000.00</t>
  </si>
  <si>
    <t>22-11-2024 NEFT/AXISP00573604260/RIUP24/2488/JANARDAN ORGANIC F/UBIN0565750 297000.00</t>
  </si>
  <si>
    <t xml:space="preserve">
22-11-2024 NEFT/AXISP00573604259/RIUP24/2487/JANARDAN ORGANIC F/UBIN0565750 693000.00</t>
  </si>
  <si>
    <t>28-11-2024 NEFT/AXISP00575677760/RIUP24/2490/JANARDAN ORGANICF/UBIN0565750 297000.00</t>
  </si>
  <si>
    <t>28-11-2024 NEFT/AXISP00575677758/RIUP24/2528/JANARDAN ORGANICF/UBIN0565750 495000.00</t>
  </si>
  <si>
    <t>28-11-2024 NEFT/AXISP00575677759/RIUP24/2489/JANARDAN ORGANICF/UBIN0565750 198000.00</t>
  </si>
  <si>
    <t>29-11-2024 NEFT/AXISP00576725432/RIUP24/2491/JANARDAN ORGANIC F/UBIN0565750 495000.00</t>
  </si>
  <si>
    <t>03-12-2024 NEFT/AXISP00579206616/RIUP24/2583/JANARDAN ORGANICF/UBIN0565750 495000.00</t>
  </si>
  <si>
    <t>03-12-2024 NEFT/AXISP00579206615/RIUP24/2582/JANARDAN ORGANICF/UBIN0565750 495000.00</t>
  </si>
  <si>
    <t>05-12-2024 NEFT/AXISP00580318074/RIUP24/2585/JANARDAN ORGANICF/UBIN0565750 495000.00</t>
  </si>
  <si>
    <t>05-12-2024 NEFT/AXISP00580318073/RIUP24/2584/JANARDAN ORGANICF/UBIN0565750 495000.00</t>
  </si>
  <si>
    <t>20-12-2024 NEFT/AXISP00587058625/RIUP24/2718/JANARDAN ORGANICF/UBIN0565750 495000.00</t>
  </si>
  <si>
    <t>23-12-2024 NEFT/AXISP00587800976/RIUP24/2674/JANARDAN ORGANICF/UBIN0565750 297000.00</t>
  </si>
  <si>
    <t>26-12-2024 Debit N/RIUP24/2765/JANARDAN ORGAN/INDBN26123786920 594000.0</t>
  </si>
  <si>
    <t>26-12-2024 Debit N/RIUP24/2766/JANARDAN ORGAN/INDBN26123786892 297000.0</t>
  </si>
  <si>
    <t>26-12-2024 Debit N/RIUP24/2768/JANARDAN ORGAN/INDBN26123786891 297000.0</t>
  </si>
  <si>
    <t>30-12-2024 Debit N/RIUP24/2767/JANARDAN ORGAN/INDBN30124223032 297000.0</t>
  </si>
  <si>
    <t>Updated on 31-12-2024 ( Nakshatra )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</si>
  <si>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</si>
  <si>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</si>
  <si>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</si>
  <si>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</si>
  <si>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</si>
  <si>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</si>
  <si>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</si>
  <si>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</si>
  <si>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</si>
  <si>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</si>
  <si>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</si>
  <si>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</si>
  <si>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</si>
  <si>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</si>
  <si>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</si>
  <si>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</si>
  <si>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</si>
  <si>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GST_SD_Amount</t>
  </si>
  <si>
    <t>Final_Amount</t>
  </si>
  <si>
    <t>Total_Amount</t>
  </si>
  <si>
    <t>Kelashikarpur Village OHT  200Kl 14 mtr work</t>
  </si>
  <si>
    <t xml:space="preserve">Gangarampur Village 250 kl 12m OHT Construction work </t>
  </si>
  <si>
    <t>Mantmanti  Village 375 KL 12 M staging Ht OHT Construction work</t>
  </si>
  <si>
    <t>Grahi Hasanpur Village 400 KL 14 mtr work</t>
  </si>
  <si>
    <t>Thirwa Village OHT work</t>
  </si>
  <si>
    <t>Bidauli village 300 KL 14 mtr work</t>
  </si>
  <si>
    <t>Rajhar Village 350 KL 14 mtr work</t>
  </si>
  <si>
    <t xml:space="preserve">Kajipur Thirwa Village 250kl 12 m OHT Construction work </t>
  </si>
  <si>
    <t>Khera Bhau Singhalika village 150 Kl 160 mtr work</t>
  </si>
  <si>
    <t>Panthupura  Village 225 KL 16 Mtr work</t>
  </si>
  <si>
    <t>Nanagli village 2245 KL 14 mtr work</t>
  </si>
  <si>
    <t xml:space="preserve"> Nojal najli vilage 275 KL 16 mtr work</t>
  </si>
  <si>
    <t>Islampur Ghausali village 325 KL 16 Mtr work</t>
  </si>
  <si>
    <t>Ballamazara village 225 KL 12 Mtr work</t>
  </si>
  <si>
    <t>Khertu village 225 KL 12 mtr work</t>
  </si>
  <si>
    <t>Harsana village 225 KL 12 mtr work</t>
  </si>
  <si>
    <t>Bhogimazra village 100 KL 10 Mtr work</t>
  </si>
  <si>
    <t>Gandharv village 300 KL 12 mtr work</t>
  </si>
  <si>
    <t>Bharsi village 300 Kl 12 mtr work</t>
  </si>
  <si>
    <t>Jasala village 425 KL 12 mtr work</t>
  </si>
  <si>
    <t>Nanupuri village 50 KL 12 mtr work</t>
  </si>
  <si>
    <t>TDS_Payment_Amount</t>
  </si>
  <si>
    <t>28-11-2024 NEFT/AXISP00575677758/RIUP24/2528/JANARDAN ORGANICF/UBIN0565750 495000.000</t>
  </si>
  <si>
    <t>19-09-2024 NEFT/AXISP00542202589/RIUP24/1856/JANARDAN ORGANICF/UBIN0565750 198000.000</t>
  </si>
  <si>
    <t>19-07-2024 NEFT/AXISP00519907625/RIUP24/1185/JANARDAN ORGANICF/UBIN0565750 495000.000</t>
  </si>
  <si>
    <t>25-04-2024 NEFT/AXISP00493861227/RIUP24/0313/JANARDAN ORGANICF/UBIN0565750 475000.000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</si>
</sst>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sz val="9"/>
      <color rgb="FF333333"/>
      <name val="Verdana"/>
      <family val="2"/>
    </font>
    <font>
      <sz val="9"/>
      <color rgb="FFFF0000"/>
      <name val="Comic Sans MS"/>
      <family val="4"/>
    </font>
    <font>
      <sz val="11"/>
      <color rgb="FFFF0000"/>
      <name val="Calibri"/>
      <family val="2"/>
      <scheme val="minor"/>
    </font>
    <font>
      <b/>
      <sz val="9"/>
      <color rgb="FFFF0000"/>
      <name val="Comic Sans MS"/>
      <family val="4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3" tint="0.39997558519241921"/>
      <name val="Comic Sans MS"/>
      <family val="4"/>
    </font>
    <font>
      <sz val="18"/>
      <color theme="1"/>
      <name val="Comic Sans MS"/>
      <family val="4"/>
    </font>
    <font>
      <sz val="20"/>
      <color theme="1"/>
      <name val="Comic Sans MS"/>
      <family val="4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rgb="FFFF0000"/>
      <name val="Verdana"/>
      <family val="2"/>
    </font>
    <font>
      <b/>
      <sz val="20"/>
      <color theme="1"/>
      <name val="Calibri"/>
      <family val="2"/>
      <scheme val="minor"/>
    </font>
    <font>
      <sz val="9"/>
      <name val="Comic Sans MS"/>
      <family val="4"/>
    </font>
    <font>
      <sz val="14"/>
      <color theme="3" tint="0.39997558519241921"/>
      <name val="Comic Sans MS"/>
      <family val="4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7">
    <xf numFmtId="0" fontId="0" fillId="0" borderId="0" xfId="0"/>
    <xf numFmtId="0" fontId="2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3" fillId="2" borderId="0" xfId="0" applyFont="1" applyFill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43" fontId="3" fillId="2" borderId="7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43" fontId="3" fillId="3" borderId="6" xfId="1" applyNumberFormat="1" applyFont="1" applyFill="1" applyBorder="1" applyAlignment="1">
      <alignment vertical="center"/>
    </xf>
    <xf numFmtId="43" fontId="0" fillId="2" borderId="0" xfId="0" applyNumberFormat="1" applyFill="1" applyAlignment="1">
      <alignment vertical="center"/>
    </xf>
    <xf numFmtId="0" fontId="0" fillId="2" borderId="7" xfId="0" applyFill="1" applyBorder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5" fontId="3" fillId="2" borderId="7" xfId="0" applyNumberFormat="1" applyFont="1" applyFill="1" applyBorder="1" applyAlignment="1">
      <alignment horizontal="center" vertical="center"/>
    </xf>
    <xf numFmtId="14" fontId="3" fillId="2" borderId="7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  <xf numFmtId="43" fontId="6" fillId="2" borderId="14" xfId="1" applyNumberFormat="1" applyFont="1" applyFill="1" applyBorder="1" applyAlignment="1">
      <alignment horizontal="center" vertical="center"/>
    </xf>
    <xf numFmtId="43" fontId="5" fillId="2" borderId="14" xfId="1" applyNumberFormat="1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7" fillId="0" borderId="8" xfId="0" applyFont="1" applyBorder="1" applyAlignment="1">
      <alignment vertical="center"/>
    </xf>
    <xf numFmtId="15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vertical="center"/>
    </xf>
    <xf numFmtId="9" fontId="3" fillId="2" borderId="10" xfId="1" applyNumberFormat="1" applyFont="1" applyFill="1" applyBorder="1" applyAlignment="1">
      <alignment vertical="center"/>
    </xf>
    <xf numFmtId="0" fontId="0" fillId="2" borderId="8" xfId="0" applyFill="1" applyBorder="1" applyAlignment="1">
      <alignment vertical="center" wrapText="1"/>
    </xf>
    <xf numFmtId="0" fontId="5" fillId="2" borderId="0" xfId="0" applyFont="1" applyFill="1" applyAlignment="1">
      <alignment vertical="center"/>
    </xf>
    <xf numFmtId="0" fontId="3" fillId="2" borderId="8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43" fontId="5" fillId="2" borderId="1" xfId="1" applyNumberFormat="1" applyFont="1" applyFill="1" applyBorder="1" applyAlignment="1">
      <alignment vertical="center"/>
    </xf>
    <xf numFmtId="0" fontId="5" fillId="2" borderId="13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43" fontId="3" fillId="2" borderId="17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0" fontId="0" fillId="0" borderId="19" xfId="0" applyBorder="1" applyAlignment="1">
      <alignment vertical="center"/>
    </xf>
    <xf numFmtId="43" fontId="5" fillId="2" borderId="13" xfId="1" applyNumberFormat="1" applyFont="1" applyFill="1" applyBorder="1" applyAlignment="1">
      <alignment vertical="center"/>
    </xf>
    <xf numFmtId="43" fontId="5" fillId="2" borderId="14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5" fillId="2" borderId="15" xfId="1" applyNumberFormat="1" applyFont="1" applyFill="1" applyBorder="1" applyAlignment="1">
      <alignment vertical="center"/>
    </xf>
    <xf numFmtId="43" fontId="5" fillId="2" borderId="11" xfId="1" applyNumberFormat="1" applyFont="1" applyFill="1" applyBorder="1" applyAlignment="1">
      <alignment vertical="center"/>
    </xf>
    <xf numFmtId="43" fontId="5" fillId="2" borderId="10" xfId="1" applyNumberFormat="1" applyFont="1" applyFill="1" applyBorder="1" applyAlignment="1">
      <alignment vertical="center"/>
    </xf>
    <xf numFmtId="43" fontId="5" fillId="2" borderId="20" xfId="1" applyNumberFormat="1" applyFont="1" applyFill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0" fontId="2" fillId="2" borderId="22" xfId="0" applyFont="1" applyFill="1" applyBorder="1" applyAlignment="1">
      <alignment vertical="center"/>
    </xf>
    <xf numFmtId="15" fontId="8" fillId="2" borderId="7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43" fontId="8" fillId="2" borderId="7" xfId="1" applyNumberFormat="1" applyFont="1" applyFill="1" applyBorder="1" applyAlignment="1">
      <alignment vertical="center"/>
    </xf>
    <xf numFmtId="43" fontId="8" fillId="2" borderId="8" xfId="1" applyNumberFormat="1" applyFont="1" applyFill="1" applyBorder="1" applyAlignment="1">
      <alignment vertical="center"/>
    </xf>
    <xf numFmtId="15" fontId="3" fillId="2" borderId="18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43" fontId="2" fillId="2" borderId="0" xfId="0" applyNumberFormat="1" applyFont="1" applyFill="1" applyAlignment="1">
      <alignment vertical="center"/>
    </xf>
    <xf numFmtId="43" fontId="12" fillId="2" borderId="0" xfId="1" applyNumberFormat="1" applyFont="1" applyFill="1" applyBorder="1" applyAlignment="1">
      <alignment vertical="center"/>
    </xf>
    <xf numFmtId="43" fontId="13" fillId="2" borderId="0" xfId="1" applyNumberFormat="1" applyFont="1" applyFill="1" applyBorder="1" applyAlignment="1">
      <alignment vertical="center"/>
    </xf>
    <xf numFmtId="43" fontId="14" fillId="2" borderId="0" xfId="1" applyNumberFormat="1" applyFont="1" applyFill="1" applyBorder="1" applyAlignment="1">
      <alignment horizontal="center" vertical="center"/>
    </xf>
    <xf numFmtId="0" fontId="14" fillId="2" borderId="0" xfId="0" applyFont="1" applyFill="1" applyAlignment="1">
      <alignment vertical="center"/>
    </xf>
    <xf numFmtId="43" fontId="14" fillId="2" borderId="0" xfId="1" applyNumberFormat="1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5" fillId="2" borderId="0" xfId="1" applyNumberFormat="1" applyFont="1" applyFill="1" applyBorder="1" applyAlignment="1">
      <alignment vertical="center"/>
    </xf>
    <xf numFmtId="43" fontId="15" fillId="2" borderId="0" xfId="1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left" vertical="center"/>
    </xf>
    <xf numFmtId="43" fontId="11" fillId="2" borderId="7" xfId="1" applyNumberFormat="1" applyFont="1" applyFill="1" applyBorder="1" applyAlignment="1">
      <alignment horizontal="left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27" xfId="1" applyNumberFormat="1" applyFont="1" applyFill="1" applyBorder="1" applyAlignment="1">
      <alignment vertical="center"/>
    </xf>
    <xf numFmtId="0" fontId="5" fillId="2" borderId="28" xfId="1" applyNumberFormat="1" applyFont="1" applyFill="1" applyBorder="1" applyAlignment="1">
      <alignment vertical="center"/>
    </xf>
    <xf numFmtId="0" fontId="10" fillId="2" borderId="28" xfId="1" applyNumberFormat="1" applyFont="1" applyFill="1" applyBorder="1" applyAlignment="1">
      <alignment vertical="center"/>
    </xf>
    <xf numFmtId="0" fontId="5" fillId="3" borderId="28" xfId="1" applyNumberFormat="1" applyFont="1" applyFill="1" applyBorder="1" applyAlignment="1">
      <alignment vertical="center"/>
    </xf>
    <xf numFmtId="0" fontId="5" fillId="2" borderId="29" xfId="1" applyNumberFormat="1" applyFont="1" applyFill="1" applyBorder="1" applyAlignment="1">
      <alignment vertical="center"/>
    </xf>
    <xf numFmtId="0" fontId="5" fillId="2" borderId="30" xfId="1" applyNumberFormat="1" applyFont="1" applyFill="1" applyBorder="1" applyAlignment="1">
      <alignment vertical="center"/>
    </xf>
    <xf numFmtId="0" fontId="5" fillId="2" borderId="31" xfId="1" applyNumberFormat="1" applyFont="1" applyFill="1" applyBorder="1" applyAlignment="1">
      <alignment vertical="center"/>
    </xf>
    <xf numFmtId="0" fontId="0" fillId="2" borderId="25" xfId="0" applyFill="1" applyBorder="1" applyAlignment="1">
      <alignment vertical="center"/>
    </xf>
    <xf numFmtId="0" fontId="0" fillId="2" borderId="26" xfId="0" applyFill="1" applyBorder="1" applyAlignment="1">
      <alignment vertical="center"/>
    </xf>
    <xf numFmtId="0" fontId="0" fillId="2" borderId="32" xfId="0" applyFill="1" applyBorder="1" applyAlignment="1">
      <alignment vertical="center"/>
    </xf>
    <xf numFmtId="0" fontId="0" fillId="2" borderId="33" xfId="0" applyFill="1" applyBorder="1" applyAlignment="1">
      <alignment vertical="center"/>
    </xf>
    <xf numFmtId="0" fontId="9" fillId="2" borderId="33" xfId="0" applyFont="1" applyFill="1" applyBorder="1" applyAlignment="1">
      <alignment vertical="center"/>
    </xf>
    <xf numFmtId="0" fontId="0" fillId="2" borderId="21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34" xfId="0" applyFill="1" applyBorder="1" applyAlignment="1">
      <alignment vertical="center"/>
    </xf>
    <xf numFmtId="0" fontId="0" fillId="2" borderId="35" xfId="0" applyFill="1" applyBorder="1" applyAlignment="1">
      <alignment vertical="center"/>
    </xf>
    <xf numFmtId="0" fontId="9" fillId="2" borderId="35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left" vertical="center" wrapText="1"/>
    </xf>
    <xf numFmtId="15" fontId="3" fillId="2" borderId="6" xfId="0" applyNumberFormat="1" applyFont="1" applyFill="1" applyBorder="1" applyAlignment="1">
      <alignment horizontal="left" vertical="center"/>
    </xf>
    <xf numFmtId="43" fontId="3" fillId="2" borderId="6" xfId="1" applyNumberFormat="1" applyFont="1" applyFill="1" applyBorder="1" applyAlignment="1">
      <alignment horizontal="left" vertical="center"/>
    </xf>
    <xf numFmtId="43" fontId="3" fillId="3" borderId="6" xfId="1" applyNumberFormat="1" applyFont="1" applyFill="1" applyBorder="1" applyAlignment="1">
      <alignment horizontal="left" vertical="center"/>
    </xf>
    <xf numFmtId="0" fontId="3" fillId="2" borderId="17" xfId="0" applyFont="1" applyFill="1" applyBorder="1" applyAlignment="1">
      <alignment horizontal="left" vertical="center" wrapText="1"/>
    </xf>
    <xf numFmtId="43" fontId="3" fillId="2" borderId="17" xfId="1" applyNumberFormat="1" applyFont="1" applyFill="1" applyBorder="1" applyAlignment="1">
      <alignment horizontal="left" vertical="center"/>
    </xf>
    <xf numFmtId="43" fontId="3" fillId="2" borderId="13" xfId="1" applyNumberFormat="1" applyFont="1" applyFill="1" applyBorder="1" applyAlignment="1">
      <alignment horizontal="left" vertical="center"/>
    </xf>
    <xf numFmtId="43" fontId="3" fillId="2" borderId="11" xfId="1" applyNumberFormat="1" applyFont="1" applyFill="1" applyBorder="1" applyAlignment="1">
      <alignment horizontal="left" vertical="center"/>
    </xf>
    <xf numFmtId="0" fontId="0" fillId="3" borderId="33" xfId="0" applyFill="1" applyBorder="1" applyAlignment="1">
      <alignment vertical="center"/>
    </xf>
    <xf numFmtId="0" fontId="0" fillId="3" borderId="35" xfId="0" applyFill="1" applyBorder="1" applyAlignment="1">
      <alignment vertical="center"/>
    </xf>
    <xf numFmtId="0" fontId="9" fillId="2" borderId="26" xfId="0" applyFont="1" applyFill="1" applyBorder="1" applyAlignment="1">
      <alignment vertical="center"/>
    </xf>
    <xf numFmtId="0" fontId="9" fillId="2" borderId="22" xfId="0" applyFont="1" applyFill="1" applyBorder="1" applyAlignment="1">
      <alignment vertical="center"/>
    </xf>
    <xf numFmtId="0" fontId="7" fillId="0" borderId="0" xfId="0" applyFont="1"/>
    <xf numFmtId="15" fontId="3" fillId="2" borderId="35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5" fillId="2" borderId="35" xfId="1" applyNumberFormat="1" applyFont="1" applyFill="1" applyBorder="1" applyAlignment="1">
      <alignment vertical="center"/>
    </xf>
    <xf numFmtId="0" fontId="3" fillId="2" borderId="35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43" fontId="3" fillId="2" borderId="35" xfId="1" applyNumberFormat="1" applyFont="1" applyFill="1" applyBorder="1" applyAlignment="1">
      <alignment vertical="center"/>
    </xf>
    <xf numFmtId="15" fontId="3" fillId="4" borderId="35" xfId="0" applyNumberFormat="1" applyFont="1" applyFill="1" applyBorder="1" applyAlignment="1">
      <alignment horizontal="center" vertical="center"/>
    </xf>
    <xf numFmtId="43" fontId="3" fillId="4" borderId="35" xfId="1" applyNumberFormat="1" applyFont="1" applyFill="1" applyBorder="1" applyAlignment="1">
      <alignment vertical="center"/>
    </xf>
    <xf numFmtId="0" fontId="7" fillId="2" borderId="35" xfId="0" applyFont="1" applyFill="1" applyBorder="1" applyAlignment="1">
      <alignment vertical="center"/>
    </xf>
    <xf numFmtId="0" fontId="0" fillId="4" borderId="35" xfId="0" applyFill="1" applyBorder="1" applyAlignment="1">
      <alignment vertical="center"/>
    </xf>
    <xf numFmtId="0" fontId="0" fillId="2" borderId="35" xfId="0" applyFill="1" applyBorder="1" applyAlignment="1">
      <alignment vertical="center" wrapText="1"/>
    </xf>
    <xf numFmtId="0" fontId="7" fillId="0" borderId="35" xfId="0" applyFont="1" applyBorder="1" applyAlignment="1">
      <alignment vertical="center"/>
    </xf>
    <xf numFmtId="0" fontId="0" fillId="0" borderId="35" xfId="0" applyBorder="1" applyAlignment="1">
      <alignment vertical="center"/>
    </xf>
    <xf numFmtId="0" fontId="0" fillId="4" borderId="35" xfId="0" applyFill="1" applyBorder="1" applyAlignment="1">
      <alignment vertical="center" wrapText="1"/>
    </xf>
    <xf numFmtId="43" fontId="8" fillId="2" borderId="35" xfId="1" applyNumberFormat="1" applyFont="1" applyFill="1" applyBorder="1" applyAlignment="1">
      <alignment vertical="center"/>
    </xf>
    <xf numFmtId="43" fontId="3" fillId="2" borderId="35" xfId="1" applyNumberFormat="1" applyFont="1" applyFill="1" applyBorder="1" applyAlignment="1">
      <alignment horizontal="center" vertical="center"/>
    </xf>
    <xf numFmtId="14" fontId="3" fillId="2" borderId="35" xfId="0" applyNumberFormat="1" applyFont="1" applyFill="1" applyBorder="1" applyAlignment="1">
      <alignment horizontal="center" vertical="center" wrapText="1"/>
    </xf>
    <xf numFmtId="14" fontId="3" fillId="2" borderId="35" xfId="1" applyNumberFormat="1" applyFont="1" applyFill="1" applyBorder="1" applyAlignment="1">
      <alignment vertical="center"/>
    </xf>
    <xf numFmtId="0" fontId="5" fillId="2" borderId="37" xfId="1" applyNumberFormat="1" applyFont="1" applyFill="1" applyBorder="1" applyAlignment="1">
      <alignment vertical="center"/>
    </xf>
    <xf numFmtId="43" fontId="3" fillId="2" borderId="21" xfId="1" applyNumberFormat="1" applyFont="1" applyFill="1" applyBorder="1" applyAlignment="1">
      <alignment vertical="center"/>
    </xf>
    <xf numFmtId="43" fontId="5" fillId="2" borderId="21" xfId="1" applyNumberFormat="1" applyFont="1" applyFill="1" applyBorder="1" applyAlignment="1">
      <alignment vertical="center"/>
    </xf>
    <xf numFmtId="43" fontId="3" fillId="2" borderId="22" xfId="1" applyNumberFormat="1" applyFont="1" applyFill="1" applyBorder="1" applyAlignment="1">
      <alignment vertical="center"/>
    </xf>
    <xf numFmtId="43" fontId="5" fillId="2" borderId="22" xfId="1" applyNumberFormat="1" applyFont="1" applyFill="1" applyBorder="1" applyAlignment="1">
      <alignment vertical="center"/>
    </xf>
    <xf numFmtId="0" fontId="5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vertical="center"/>
    </xf>
    <xf numFmtId="43" fontId="5" fillId="2" borderId="35" xfId="1" applyNumberFormat="1" applyFont="1" applyFill="1" applyBorder="1" applyAlignment="1">
      <alignment vertical="center"/>
    </xf>
    <xf numFmtId="43" fontId="10" fillId="2" borderId="35" xfId="1" applyNumberFormat="1" applyFont="1" applyFill="1" applyBorder="1" applyAlignment="1">
      <alignment vertical="center"/>
    </xf>
    <xf numFmtId="0" fontId="5" fillId="2" borderId="22" xfId="1" applyNumberFormat="1" applyFont="1" applyFill="1" applyBorder="1" applyAlignment="1">
      <alignment vertical="center"/>
    </xf>
    <xf numFmtId="0" fontId="5" fillId="2" borderId="22" xfId="0" applyFont="1" applyFill="1" applyBorder="1" applyAlignment="1">
      <alignment horizontal="center" vertical="center" wrapText="1"/>
    </xf>
    <xf numFmtId="0" fontId="5" fillId="3" borderId="35" xfId="0" applyFont="1" applyFill="1" applyBorder="1" applyAlignment="1">
      <alignment horizontal="center" vertical="center" wrapText="1"/>
    </xf>
    <xf numFmtId="0" fontId="3" fillId="4" borderId="35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35" xfId="1" applyNumberFormat="1" applyFont="1" applyFill="1" applyBorder="1" applyAlignment="1">
      <alignment horizontal="center" vertical="center"/>
    </xf>
    <xf numFmtId="0" fontId="3" fillId="2" borderId="21" xfId="1" applyNumberFormat="1" applyFont="1" applyFill="1" applyBorder="1" applyAlignment="1">
      <alignment horizontal="center" vertical="center"/>
    </xf>
    <xf numFmtId="0" fontId="3" fillId="2" borderId="22" xfId="1" applyNumberFormat="1" applyFont="1" applyFill="1" applyBorder="1" applyAlignment="1">
      <alignment horizontal="center" vertical="center"/>
    </xf>
    <xf numFmtId="0" fontId="5" fillId="3" borderId="35" xfId="1" applyNumberFormat="1" applyFont="1" applyFill="1" applyBorder="1" applyAlignment="1">
      <alignment vertical="center"/>
    </xf>
    <xf numFmtId="0" fontId="5" fillId="2" borderId="21" xfId="1" applyNumberFormat="1" applyFont="1" applyFill="1" applyBorder="1" applyAlignment="1">
      <alignment vertical="center"/>
    </xf>
    <xf numFmtId="0" fontId="5" fillId="2" borderId="21" xfId="0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/>
    </xf>
    <xf numFmtId="43" fontId="3" fillId="2" borderId="37" xfId="1" applyNumberFormat="1" applyFont="1" applyFill="1" applyBorder="1" applyAlignment="1">
      <alignment vertical="center"/>
    </xf>
    <xf numFmtId="0" fontId="5" fillId="2" borderId="37" xfId="0" applyFont="1" applyFill="1" applyBorder="1" applyAlignment="1">
      <alignment horizontal="center" vertical="center" wrapText="1"/>
    </xf>
    <xf numFmtId="0" fontId="5" fillId="3" borderId="34" xfId="1" applyNumberFormat="1" applyFont="1" applyFill="1" applyBorder="1" applyAlignment="1">
      <alignment vertical="center"/>
    </xf>
    <xf numFmtId="0" fontId="0" fillId="4" borderId="34" xfId="0" applyFill="1" applyBorder="1" applyAlignment="1">
      <alignment vertical="center"/>
    </xf>
    <xf numFmtId="15" fontId="3" fillId="4" borderId="34" xfId="0" applyNumberFormat="1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43" fontId="3" fillId="4" borderId="34" xfId="1" applyNumberFormat="1" applyFont="1" applyFill="1" applyBorder="1" applyAlignment="1">
      <alignment vertical="center"/>
    </xf>
    <xf numFmtId="0" fontId="5" fillId="3" borderId="34" xfId="0" applyFont="1" applyFill="1" applyBorder="1" applyAlignment="1">
      <alignment horizontal="center" vertical="center" wrapText="1"/>
    </xf>
    <xf numFmtId="0" fontId="0" fillId="4" borderId="34" xfId="0" applyFill="1" applyBorder="1" applyAlignment="1">
      <alignment vertical="center" wrapText="1"/>
    </xf>
    <xf numFmtId="9" fontId="3" fillId="2" borderId="22" xfId="1" applyNumberFormat="1" applyFont="1" applyFill="1" applyBorder="1" applyAlignment="1">
      <alignment vertical="center"/>
    </xf>
    <xf numFmtId="3" fontId="3" fillId="2" borderId="35" xfId="1" applyNumberFormat="1" applyFont="1" applyFill="1" applyBorder="1" applyAlignment="1">
      <alignment horizontal="center" vertical="center"/>
    </xf>
    <xf numFmtId="15" fontId="8" fillId="2" borderId="35" xfId="0" applyNumberFormat="1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3" fontId="3" fillId="2" borderId="35" xfId="0" applyNumberFormat="1" applyFont="1" applyFill="1" applyBorder="1" applyAlignment="1">
      <alignment horizontal="center" vertical="center"/>
    </xf>
    <xf numFmtId="43" fontId="8" fillId="5" borderId="35" xfId="1" applyNumberFormat="1" applyFont="1" applyFill="1" applyBorder="1" applyAlignment="1">
      <alignment vertical="center"/>
    </xf>
    <xf numFmtId="164" fontId="0" fillId="2" borderId="0" xfId="1" applyFont="1" applyFill="1" applyAlignment="1">
      <alignment vertical="center"/>
    </xf>
    <xf numFmtId="164" fontId="5" fillId="2" borderId="21" xfId="1" applyFont="1" applyFill="1" applyBorder="1" applyAlignment="1">
      <alignment horizontal="center" vertical="center" wrapText="1"/>
    </xf>
    <xf numFmtId="164" fontId="3" fillId="2" borderId="22" xfId="1" applyFont="1" applyFill="1" applyBorder="1" applyAlignment="1">
      <alignment vertical="center"/>
    </xf>
    <xf numFmtId="164" fontId="3" fillId="4" borderId="34" xfId="1" applyFont="1" applyFill="1" applyBorder="1" applyAlignment="1">
      <alignment vertical="center"/>
    </xf>
    <xf numFmtId="164" fontId="8" fillId="5" borderId="35" xfId="1" applyFont="1" applyFill="1" applyBorder="1" applyAlignment="1">
      <alignment vertical="center"/>
    </xf>
    <xf numFmtId="164" fontId="8" fillId="2" borderId="35" xfId="1" applyFont="1" applyFill="1" applyBorder="1" applyAlignment="1">
      <alignment vertical="center"/>
    </xf>
    <xf numFmtId="164" fontId="3" fillId="2" borderId="35" xfId="1" applyFont="1" applyFill="1" applyBorder="1" applyAlignment="1">
      <alignment vertical="center"/>
    </xf>
    <xf numFmtId="164" fontId="3" fillId="4" borderId="35" xfId="1" applyFont="1" applyFill="1" applyBorder="1" applyAlignment="1">
      <alignment vertical="center"/>
    </xf>
    <xf numFmtId="164" fontId="3" fillId="2" borderId="35" xfId="1" applyFont="1" applyFill="1" applyBorder="1" applyAlignment="1">
      <alignment horizontal="center" vertical="center" wrapText="1"/>
    </xf>
    <xf numFmtId="164" fontId="3" fillId="2" borderId="0" xfId="1" applyFont="1" applyFill="1" applyBorder="1" applyAlignment="1">
      <alignment vertical="center"/>
    </xf>
    <xf numFmtId="164" fontId="8" fillId="5" borderId="35" xfId="1" applyFont="1" applyFill="1" applyBorder="1" applyAlignment="1">
      <alignment horizontal="center" vertical="center" wrapText="1"/>
    </xf>
    <xf numFmtId="0" fontId="3" fillId="6" borderId="35" xfId="0" applyFont="1" applyFill="1" applyBorder="1" applyAlignment="1">
      <alignment horizontal="center" vertical="center"/>
    </xf>
    <xf numFmtId="164" fontId="3" fillId="2" borderId="35" xfId="0" applyNumberFormat="1" applyFont="1" applyFill="1" applyBorder="1" applyAlignment="1">
      <alignment horizontal="center" vertical="center" wrapText="1"/>
    </xf>
    <xf numFmtId="43" fontId="5" fillId="2" borderId="34" xfId="1" applyNumberFormat="1" applyFont="1" applyFill="1" applyBorder="1" applyAlignment="1">
      <alignment vertical="center"/>
    </xf>
    <xf numFmtId="43" fontId="3" fillId="7" borderId="35" xfId="1" applyNumberFormat="1" applyFont="1" applyFill="1" applyBorder="1" applyAlignment="1">
      <alignment vertical="center"/>
    </xf>
    <xf numFmtId="164" fontId="3" fillId="2" borderId="34" xfId="1" applyFont="1" applyFill="1" applyBorder="1" applyAlignment="1">
      <alignment vertical="center"/>
    </xf>
    <xf numFmtId="164" fontId="0" fillId="2" borderId="35" xfId="1" applyFont="1" applyFill="1" applyBorder="1" applyAlignment="1">
      <alignment vertical="center"/>
    </xf>
    <xf numFmtId="164" fontId="5" fillId="2" borderId="35" xfId="1" applyFont="1" applyFill="1" applyBorder="1" applyAlignment="1">
      <alignment horizontal="center" vertical="center" wrapText="1"/>
    </xf>
    <xf numFmtId="164" fontId="5" fillId="2" borderId="37" xfId="1" applyFont="1" applyFill="1" applyBorder="1" applyAlignment="1">
      <alignment horizontal="center" vertical="center" wrapText="1"/>
    </xf>
    <xf numFmtId="164" fontId="5" fillId="2" borderId="22" xfId="1" applyFont="1" applyFill="1" applyBorder="1" applyAlignment="1">
      <alignment vertical="center"/>
    </xf>
    <xf numFmtId="43" fontId="3" fillId="0" borderId="35" xfId="1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3" fontId="0" fillId="0" borderId="0" xfId="1" applyNumberFormat="1" applyFont="1" applyFill="1" applyAlignment="1">
      <alignment vertical="center"/>
    </xf>
    <xf numFmtId="164" fontId="0" fillId="0" borderId="0" xfId="1" applyFont="1" applyFill="1" applyAlignment="1">
      <alignment vertical="center"/>
    </xf>
    <xf numFmtId="0" fontId="21" fillId="0" borderId="0" xfId="0" applyFont="1" applyAlignment="1">
      <alignment vertical="center"/>
    </xf>
    <xf numFmtId="43" fontId="22" fillId="2" borderId="35" xfId="1" applyNumberFormat="1" applyFont="1" applyFill="1" applyBorder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43" fontId="3" fillId="0" borderId="0" xfId="1" applyNumberFormat="1" applyFont="1" applyFill="1" applyBorder="1" applyAlignment="1">
      <alignment vertical="center" wrapText="1"/>
    </xf>
    <xf numFmtId="164" fontId="0" fillId="0" borderId="0" xfId="1" applyFont="1" applyFill="1" applyAlignment="1">
      <alignment vertical="center" wrapText="1"/>
    </xf>
    <xf numFmtId="0" fontId="0" fillId="0" borderId="0" xfId="0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164" fontId="3" fillId="0" borderId="0" xfId="1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43" fontId="23" fillId="2" borderId="0" xfId="1" applyNumberFormat="1" applyFont="1" applyFill="1" applyBorder="1" applyAlignment="1">
      <alignment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 wrapText="1"/>
    </xf>
    <xf numFmtId="164" fontId="24" fillId="2" borderId="21" xfId="1" applyFont="1" applyFill="1" applyBorder="1" applyAlignment="1">
      <alignment horizontal="center" vertical="center"/>
    </xf>
    <xf numFmtId="43" fontId="2" fillId="2" borderId="21" xfId="1" applyNumberFormat="1" applyFont="1" applyFill="1" applyBorder="1" applyAlignment="1">
      <alignment horizontal="center" vertical="center"/>
    </xf>
    <xf numFmtId="0" fontId="5" fillId="2" borderId="34" xfId="1" applyNumberFormat="1" applyFont="1" applyFill="1" applyBorder="1" applyAlignment="1">
      <alignment vertical="center"/>
    </xf>
    <xf numFmtId="0" fontId="3" fillId="2" borderId="35" xfId="0" applyFont="1" applyFill="1" applyBorder="1" applyAlignment="1">
      <alignment horizontal="left" vertical="center" wrapText="1"/>
    </xf>
    <xf numFmtId="0" fontId="3" fillId="2" borderId="35" xfId="1" applyNumberFormat="1" applyFont="1" applyFill="1" applyBorder="1" applyAlignment="1">
      <alignment vertical="center"/>
    </xf>
    <xf numFmtId="43" fontId="18" fillId="2" borderId="26" xfId="1" applyNumberFormat="1" applyFont="1" applyFill="1" applyBorder="1" applyAlignment="1">
      <alignment horizontal="center" vertical="center"/>
    </xf>
    <xf numFmtId="43" fontId="18" fillId="2" borderId="36" xfId="1" applyNumberFormat="1" applyFont="1" applyFill="1" applyBorder="1" applyAlignment="1">
      <alignment horizontal="center" vertical="center"/>
    </xf>
    <xf numFmtId="43" fontId="18" fillId="2" borderId="31" xfId="1" applyNumberFormat="1" applyFont="1" applyFill="1" applyBorder="1" applyAlignment="1">
      <alignment horizontal="center" vertical="center"/>
    </xf>
    <xf numFmtId="43" fontId="19" fillId="2" borderId="38" xfId="1" applyNumberFormat="1" applyFont="1" applyFill="1" applyBorder="1" applyAlignment="1">
      <alignment horizontal="center" vertical="center"/>
    </xf>
    <xf numFmtId="43" fontId="19" fillId="2" borderId="39" xfId="1" applyNumberFormat="1" applyFont="1" applyFill="1" applyBorder="1" applyAlignment="1">
      <alignment horizontal="center" vertical="center"/>
    </xf>
    <xf numFmtId="43" fontId="19" fillId="2" borderId="40" xfId="1" applyNumberFormat="1" applyFont="1" applyFill="1" applyBorder="1" applyAlignment="1">
      <alignment horizontal="center" vertical="center"/>
    </xf>
    <xf numFmtId="43" fontId="18" fillId="2" borderId="38" xfId="1" applyNumberFormat="1" applyFont="1" applyFill="1" applyBorder="1" applyAlignment="1">
      <alignment horizontal="center" vertical="center"/>
    </xf>
    <xf numFmtId="43" fontId="18" fillId="2" borderId="39" xfId="1" applyNumberFormat="1" applyFont="1" applyFill="1" applyBorder="1" applyAlignment="1">
      <alignment horizontal="center" vertical="center"/>
    </xf>
    <xf numFmtId="43" fontId="18" fillId="2" borderId="40" xfId="1" applyNumberFormat="1" applyFont="1" applyFill="1" applyBorder="1" applyAlignment="1">
      <alignment horizontal="center" vertical="center"/>
    </xf>
    <xf numFmtId="43" fontId="18" fillId="2" borderId="25" xfId="1" applyNumberFormat="1" applyFont="1" applyFill="1" applyBorder="1" applyAlignment="1">
      <alignment horizontal="center" vertical="center"/>
    </xf>
    <xf numFmtId="43" fontId="18" fillId="2" borderId="30" xfId="1" applyNumberFormat="1" applyFont="1" applyFill="1" applyBorder="1" applyAlignment="1">
      <alignment horizontal="center" vertical="center"/>
    </xf>
    <xf numFmtId="43" fontId="18" fillId="2" borderId="32" xfId="1" applyNumberFormat="1" applyFont="1" applyFill="1" applyBorder="1" applyAlignment="1">
      <alignment horizontal="center" vertical="center"/>
    </xf>
    <xf numFmtId="43" fontId="18" fillId="2" borderId="27" xfId="1" applyNumberFormat="1" applyFont="1" applyFill="1" applyBorder="1" applyAlignment="1">
      <alignment horizontal="center" vertical="center"/>
    </xf>
    <xf numFmtId="43" fontId="18" fillId="2" borderId="33" xfId="1" applyNumberFormat="1" applyFont="1" applyFill="1" applyBorder="1" applyAlignment="1">
      <alignment horizontal="center" vertical="center"/>
    </xf>
    <xf numFmtId="43" fontId="18" fillId="2" borderId="23" xfId="1" applyNumberFormat="1" applyFont="1" applyFill="1" applyBorder="1" applyAlignment="1">
      <alignment horizontal="center" vertical="center"/>
    </xf>
    <xf numFmtId="43" fontId="18" fillId="2" borderId="28" xfId="1" applyNumberFormat="1" applyFont="1" applyFill="1" applyBorder="1" applyAlignment="1">
      <alignment horizontal="center" vertical="center"/>
    </xf>
    <xf numFmtId="43" fontId="5" fillId="2" borderId="14" xfId="1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left" vertical="center"/>
    </xf>
    <xf numFmtId="0" fontId="11" fillId="2" borderId="23" xfId="0" applyFont="1" applyFill="1" applyBorder="1" applyAlignment="1">
      <alignment horizontal="left" vertical="center"/>
    </xf>
    <xf numFmtId="43" fontId="16" fillId="2" borderId="24" xfId="1" applyNumberFormat="1" applyFont="1" applyFill="1" applyBorder="1" applyAlignment="1">
      <alignment horizontal="center" vertical="center"/>
    </xf>
    <xf numFmtId="43" fontId="16" fillId="2" borderId="1" xfId="1" applyNumberFormat="1" applyFont="1" applyFill="1" applyBorder="1" applyAlignment="1">
      <alignment horizontal="center" vertical="center"/>
    </xf>
    <xf numFmtId="43" fontId="16" fillId="2" borderId="23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310"/>
  <sheetViews>
    <sheetView tabSelected="1" topLeftCell="N1" zoomScale="70" zoomScaleNormal="100" zoomScaleSheetLayoutView="55" workbookViewId="0">
      <pane ySplit="6" topLeftCell="A254" activePane="bottomLeft" state="frozen"/>
      <selection pane="bottomLeft" activeCell="U261" sqref="U261"/>
    </sheetView>
  </sheetViews>
  <sheetFormatPr defaultColWidth="9" defaultRowHeight="24.9" customHeight="1" outlineLevelCol="1" x14ac:dyDescent="0.3"/>
  <cols>
    <col min="1" max="1" width="9.5546875" style="1" bestFit="1" customWidth="1"/>
    <col min="2" max="2" width="27.6640625" style="2" customWidth="1"/>
    <col min="3" max="3" width="13.109375" style="2" bestFit="1" customWidth="1"/>
    <col min="4" max="4" width="12.109375" style="145" bestFit="1" customWidth="1"/>
    <col min="5" max="5" width="16.6640625" style="2" bestFit="1" customWidth="1"/>
    <col min="6" max="7" width="16.6640625" style="2" bestFit="1" customWidth="1" outlineLevel="1"/>
    <col min="8" max="8" width="15" style="3" bestFit="1" customWidth="1" outlineLevel="1"/>
    <col min="9" max="9" width="16.88671875" style="3" bestFit="1" customWidth="1" outlineLevel="1"/>
    <col min="10" max="11" width="13.6640625" style="2" bestFit="1" customWidth="1" outlineLevel="1"/>
    <col min="12" max="12" width="18.88671875" style="2" bestFit="1" customWidth="1" outlineLevel="1"/>
    <col min="13" max="13" width="16.109375" style="2" bestFit="1" customWidth="1" outlineLevel="1"/>
    <col min="14" max="14" width="15" style="170" bestFit="1" customWidth="1"/>
    <col min="15" max="15" width="16.88671875" style="2" bestFit="1" customWidth="1"/>
    <col min="16" max="16" width="14.44140625" style="1" bestFit="1" customWidth="1"/>
    <col min="17" max="17" width="16.6640625" style="170" bestFit="1" customWidth="1"/>
    <col min="18" max="18" width="19" style="2" bestFit="1" customWidth="1"/>
    <col min="19" max="19" width="16.88671875" style="2" bestFit="1" customWidth="1"/>
    <col min="20" max="20" width="18" style="2" bestFit="1" customWidth="1"/>
    <col min="21" max="21" width="95.5546875" style="2" bestFit="1" customWidth="1"/>
    <col min="22" max="22" width="18.88671875" style="2" bestFit="1" customWidth="1"/>
    <col min="23" max="16384" width="9" style="2"/>
  </cols>
  <sheetData>
    <row r="1" spans="1:22" s="192" customFormat="1" ht="24.9" customHeight="1" x14ac:dyDescent="0.3">
      <c r="A1" s="206" t="s">
        <v>373</v>
      </c>
      <c r="B1" s="191" t="s">
        <v>318</v>
      </c>
      <c r="D1" s="193"/>
      <c r="H1" s="194"/>
      <c r="I1" s="194"/>
      <c r="N1" s="195"/>
      <c r="P1" s="191"/>
      <c r="Q1" s="195"/>
    </row>
    <row r="2" spans="1:22" s="192" customFormat="1" ht="24.9" customHeight="1" x14ac:dyDescent="0.3">
      <c r="A2" s="206" t="s">
        <v>374</v>
      </c>
      <c r="B2" s="207" t="s">
        <v>375</v>
      </c>
      <c r="D2" s="193"/>
      <c r="G2" s="196"/>
      <c r="H2" s="194"/>
      <c r="I2" s="194"/>
      <c r="N2" s="195"/>
      <c r="P2" s="191"/>
      <c r="Q2" s="195"/>
    </row>
    <row r="3" spans="1:22" s="192" customFormat="1" ht="24.9" customHeight="1" x14ac:dyDescent="0.3">
      <c r="A3" s="206" t="s">
        <v>376</v>
      </c>
      <c r="B3" s="4" t="s">
        <v>377</v>
      </c>
      <c r="D3" s="193"/>
      <c r="G3" s="196"/>
      <c r="H3" s="194"/>
      <c r="I3" s="194"/>
      <c r="N3" s="195"/>
      <c r="P3" s="191"/>
      <c r="Q3" s="195"/>
    </row>
    <row r="4" spans="1:22" s="192" customFormat="1" ht="24.9" customHeight="1" thickBot="1" x14ac:dyDescent="0.35">
      <c r="A4" s="206" t="s">
        <v>378</v>
      </c>
      <c r="B4" s="4" t="s">
        <v>377</v>
      </c>
      <c r="C4" s="198"/>
      <c r="D4" s="199"/>
      <c r="E4" s="198"/>
      <c r="F4" s="198"/>
      <c r="G4" s="198"/>
      <c r="H4" s="200"/>
      <c r="I4" s="200"/>
      <c r="J4" s="198"/>
      <c r="K4" s="198"/>
      <c r="L4" s="198"/>
      <c r="M4" s="198"/>
      <c r="N4" s="201"/>
      <c r="O4" s="202"/>
      <c r="P4" s="203"/>
      <c r="Q4" s="204"/>
      <c r="R4" s="198"/>
      <c r="S4" s="198"/>
      <c r="T4" s="205"/>
      <c r="U4" s="205"/>
      <c r="V4" s="198"/>
    </row>
    <row r="5" spans="1:22" ht="47.25" customHeight="1" x14ac:dyDescent="0.3">
      <c r="A5" s="208" t="s">
        <v>379</v>
      </c>
      <c r="B5" s="208" t="s">
        <v>380</v>
      </c>
      <c r="C5" s="208" t="s">
        <v>381</v>
      </c>
      <c r="D5" s="208" t="s">
        <v>382</v>
      </c>
      <c r="E5" s="208" t="s">
        <v>383</v>
      </c>
      <c r="F5" s="209" t="s">
        <v>384</v>
      </c>
      <c r="G5" s="209" t="s">
        <v>385</v>
      </c>
      <c r="H5" s="210" t="s">
        <v>386</v>
      </c>
      <c r="I5" s="211" t="s">
        <v>10</v>
      </c>
      <c r="J5" s="209" t="s">
        <v>387</v>
      </c>
      <c r="K5" s="209" t="s">
        <v>388</v>
      </c>
      <c r="L5" s="209" t="s">
        <v>389</v>
      </c>
      <c r="M5" s="151" t="s">
        <v>14</v>
      </c>
      <c r="N5" s="209" t="s">
        <v>390</v>
      </c>
      <c r="O5" s="209" t="s">
        <v>391</v>
      </c>
      <c r="P5" s="151" t="s">
        <v>163</v>
      </c>
      <c r="Q5" s="171" t="s">
        <v>309</v>
      </c>
      <c r="R5" s="151" t="s">
        <v>310</v>
      </c>
      <c r="S5" s="151" t="s">
        <v>414</v>
      </c>
      <c r="T5" s="209" t="s">
        <v>392</v>
      </c>
      <c r="U5" s="209" t="s">
        <v>19</v>
      </c>
      <c r="V5" s="151" t="s">
        <v>181</v>
      </c>
    </row>
    <row r="6" spans="1:22" ht="24.9" customHeight="1" thickBot="1" x14ac:dyDescent="0.35">
      <c r="A6" s="141"/>
      <c r="B6" s="135"/>
      <c r="C6" s="135"/>
      <c r="D6" s="148"/>
      <c r="E6" s="135"/>
      <c r="F6" s="135"/>
      <c r="G6" s="135"/>
      <c r="H6" s="163">
        <v>0.18</v>
      </c>
      <c r="I6" s="135"/>
      <c r="J6" s="163">
        <v>0.01</v>
      </c>
      <c r="K6" s="163">
        <v>0.05</v>
      </c>
      <c r="L6" s="163">
        <v>0</v>
      </c>
      <c r="M6" s="163">
        <v>0.1</v>
      </c>
      <c r="N6" s="172">
        <v>0.18</v>
      </c>
      <c r="O6" s="135"/>
      <c r="P6" s="142"/>
      <c r="Q6" s="172"/>
      <c r="R6" s="135"/>
      <c r="S6" s="135"/>
      <c r="T6" s="135"/>
      <c r="U6" s="135"/>
      <c r="V6" s="135"/>
    </row>
    <row r="7" spans="1:22" ht="24.9" customHeight="1" x14ac:dyDescent="0.3">
      <c r="A7" s="156"/>
      <c r="B7" s="157"/>
      <c r="C7" s="158"/>
      <c r="D7" s="159"/>
      <c r="E7" s="160"/>
      <c r="F7" s="160"/>
      <c r="G7" s="160"/>
      <c r="H7" s="160"/>
      <c r="I7" s="160"/>
      <c r="J7" s="160"/>
      <c r="K7" s="160"/>
      <c r="L7" s="160"/>
      <c r="M7" s="160"/>
      <c r="N7" s="173"/>
      <c r="O7" s="160"/>
      <c r="P7" s="161">
        <f>A7</f>
        <v>0</v>
      </c>
      <c r="Q7" s="173"/>
      <c r="R7" s="160"/>
      <c r="S7" s="160"/>
      <c r="T7" s="160"/>
      <c r="U7" s="162"/>
      <c r="V7" s="160"/>
    </row>
    <row r="8" spans="1:22" ht="24.9" customHeight="1" x14ac:dyDescent="0.3">
      <c r="A8" s="212">
        <v>51990</v>
      </c>
      <c r="B8" s="117" t="s">
        <v>393</v>
      </c>
      <c r="C8" s="114">
        <v>44970</v>
      </c>
      <c r="D8" s="118">
        <v>11</v>
      </c>
      <c r="E8" s="119">
        <v>1336500</v>
      </c>
      <c r="F8" s="119">
        <v>881692.7</v>
      </c>
      <c r="G8" s="119">
        <f>ROUND(E8-F8,)</f>
        <v>454807</v>
      </c>
      <c r="H8" s="119">
        <f>ROUND(G8*$H$6,0)</f>
        <v>81865</v>
      </c>
      <c r="I8" s="119">
        <f>G8+H8</f>
        <v>536672</v>
      </c>
      <c r="J8" s="119">
        <f>ROUND(G8*$J$6,)</f>
        <v>4548</v>
      </c>
      <c r="K8" s="119">
        <f>ROUND(G8*$K$6,)</f>
        <v>22740</v>
      </c>
      <c r="L8" s="119">
        <f>ROUND(G8*$L$6,)</f>
        <v>0</v>
      </c>
      <c r="M8" s="119">
        <f>ROUND(G8*$M$6,)</f>
        <v>45481</v>
      </c>
      <c r="N8" s="174">
        <f>H8</f>
        <v>81865</v>
      </c>
      <c r="O8" s="119">
        <f>ROUND(I8-SUM(J8:N8),0)</f>
        <v>382038</v>
      </c>
      <c r="P8" s="137"/>
      <c r="Q8" s="176">
        <v>2950000</v>
      </c>
      <c r="R8" s="119">
        <f>Q8-SUM(S8:S18)</f>
        <v>-850000</v>
      </c>
      <c r="S8" s="119">
        <v>400000</v>
      </c>
      <c r="T8" s="119">
        <v>396000</v>
      </c>
      <c r="U8" s="97" t="s">
        <v>99</v>
      </c>
      <c r="V8" s="119">
        <f>SUM(O8:O17)-SUM(T8:T17)</f>
        <v>-3189106</v>
      </c>
    </row>
    <row r="9" spans="1:22" ht="24.9" customHeight="1" x14ac:dyDescent="0.3">
      <c r="A9" s="212">
        <v>51990</v>
      </c>
      <c r="B9" s="117" t="s">
        <v>393</v>
      </c>
      <c r="C9" s="114">
        <v>45031</v>
      </c>
      <c r="D9" s="118">
        <v>2</v>
      </c>
      <c r="E9" s="119">
        <f>(2655000*55%)-E8</f>
        <v>123750.00000000023</v>
      </c>
      <c r="F9" s="119">
        <v>0</v>
      </c>
      <c r="G9" s="119">
        <f>ROUND(E9-F9,)</f>
        <v>123750</v>
      </c>
      <c r="H9" s="119">
        <f>ROUND(G9*$H$6,0)</f>
        <v>22275</v>
      </c>
      <c r="I9" s="119">
        <f>G9+H9</f>
        <v>146025</v>
      </c>
      <c r="J9" s="119">
        <f>ROUND(G9*$J$6,)</f>
        <v>1238</v>
      </c>
      <c r="K9" s="119">
        <f>ROUND(G9*$K$6,)</f>
        <v>6188</v>
      </c>
      <c r="L9" s="119">
        <f>ROUND(G9*$L$6,)</f>
        <v>0</v>
      </c>
      <c r="M9" s="119">
        <f>ROUND(G9*$M$6,)</f>
        <v>12375</v>
      </c>
      <c r="N9" s="174">
        <f>H9</f>
        <v>22275</v>
      </c>
      <c r="O9" s="119">
        <f>ROUND(I9-SUM(J9:N9),0)</f>
        <v>103949</v>
      </c>
      <c r="P9" s="139"/>
      <c r="Q9" s="176"/>
      <c r="R9" s="119"/>
      <c r="S9" s="119">
        <v>600000</v>
      </c>
      <c r="T9" s="119">
        <v>594000</v>
      </c>
      <c r="U9" s="97" t="s">
        <v>101</v>
      </c>
      <c r="V9" s="119"/>
    </row>
    <row r="10" spans="1:22" ht="24.9" customHeight="1" x14ac:dyDescent="0.3">
      <c r="A10" s="212">
        <v>51990</v>
      </c>
      <c r="B10" s="117" t="s">
        <v>97</v>
      </c>
      <c r="C10" s="114"/>
      <c r="D10" s="118">
        <v>11</v>
      </c>
      <c r="E10" s="119">
        <v>81865</v>
      </c>
      <c r="F10" s="119"/>
      <c r="G10" s="119"/>
      <c r="H10" s="119"/>
      <c r="I10" s="119"/>
      <c r="J10" s="119"/>
      <c r="K10" s="119"/>
      <c r="L10" s="119"/>
      <c r="M10" s="119"/>
      <c r="N10" s="175"/>
      <c r="O10" s="169">
        <f>E10</f>
        <v>81865</v>
      </c>
      <c r="P10" s="139"/>
      <c r="Q10" s="176"/>
      <c r="R10" s="119"/>
      <c r="S10" s="119">
        <v>200000</v>
      </c>
      <c r="T10" s="119">
        <v>198000</v>
      </c>
      <c r="U10" s="119" t="s">
        <v>103</v>
      </c>
      <c r="V10" s="119"/>
    </row>
    <row r="11" spans="1:22" s="115" customFormat="1" ht="24.9" customHeight="1" x14ac:dyDescent="0.3">
      <c r="A11" s="212">
        <v>51990</v>
      </c>
      <c r="B11" s="117" t="s">
        <v>97</v>
      </c>
      <c r="C11" s="114"/>
      <c r="D11" s="118">
        <v>2</v>
      </c>
      <c r="E11" s="119">
        <f>N9</f>
        <v>22275</v>
      </c>
      <c r="F11" s="119"/>
      <c r="G11" s="119"/>
      <c r="H11" s="119"/>
      <c r="I11" s="119"/>
      <c r="J11" s="119"/>
      <c r="K11" s="119"/>
      <c r="L11" s="119"/>
      <c r="M11" s="119"/>
      <c r="N11" s="176"/>
      <c r="O11" s="169">
        <f>E11</f>
        <v>22275</v>
      </c>
      <c r="P11" s="140"/>
      <c r="Q11" s="176"/>
      <c r="R11" s="119"/>
      <c r="S11" s="119">
        <v>200000</v>
      </c>
      <c r="T11" s="119">
        <v>198000</v>
      </c>
      <c r="U11" s="119" t="s">
        <v>151</v>
      </c>
      <c r="V11" s="119"/>
    </row>
    <row r="12" spans="1:22" ht="24.9" customHeight="1" x14ac:dyDescent="0.3">
      <c r="A12" s="212">
        <v>51990</v>
      </c>
      <c r="B12" s="117" t="s">
        <v>393</v>
      </c>
      <c r="C12" s="131">
        <v>45147</v>
      </c>
      <c r="D12" s="164">
        <v>66213</v>
      </c>
      <c r="E12" s="119">
        <v>6</v>
      </c>
      <c r="F12" s="119">
        <v>302103</v>
      </c>
      <c r="G12" s="119">
        <f>E12-F12</f>
        <v>-302097</v>
      </c>
      <c r="H12" s="119">
        <f>G12*H6</f>
        <v>-54377.46</v>
      </c>
      <c r="I12" s="119">
        <f t="shared" ref="I12" si="0">G12+H12</f>
        <v>-356474.46</v>
      </c>
      <c r="J12" s="119">
        <f>G12*J6</f>
        <v>-3020.9700000000003</v>
      </c>
      <c r="K12" s="119">
        <f>G12*K6</f>
        <v>-15104.85</v>
      </c>
      <c r="L12" s="119"/>
      <c r="M12" s="119"/>
      <c r="N12" s="174">
        <f>H12</f>
        <v>-54377.46</v>
      </c>
      <c r="O12" s="119">
        <f t="shared" ref="O12" si="1">ROUND(I12-SUM(J12:N12),0)</f>
        <v>-283971</v>
      </c>
      <c r="P12" s="139"/>
      <c r="Q12" s="175"/>
      <c r="R12" s="128"/>
      <c r="S12" s="119">
        <v>400000</v>
      </c>
      <c r="T12" s="184">
        <v>396000</v>
      </c>
      <c r="U12" s="119" t="s">
        <v>319</v>
      </c>
      <c r="V12" s="119"/>
    </row>
    <row r="13" spans="1:22" ht="24.9" customHeight="1" x14ac:dyDescent="0.3">
      <c r="A13" s="212">
        <v>51990</v>
      </c>
      <c r="B13" s="117" t="s">
        <v>393</v>
      </c>
      <c r="C13" s="131">
        <v>45148</v>
      </c>
      <c r="D13" s="164">
        <v>56204</v>
      </c>
      <c r="E13" s="119">
        <v>162250</v>
      </c>
      <c r="F13" s="119">
        <v>0</v>
      </c>
      <c r="G13" s="119">
        <f t="shared" ref="G13:G14" si="2">E13-F13</f>
        <v>162250</v>
      </c>
      <c r="H13" s="119">
        <f>G13*H6</f>
        <v>29205</v>
      </c>
      <c r="I13" s="119">
        <f t="shared" ref="I13:I14" si="3">G13+H13</f>
        <v>191455</v>
      </c>
      <c r="J13" s="119">
        <f>G13*1%</f>
        <v>1622.5</v>
      </c>
      <c r="K13" s="119">
        <f>G13*5%</f>
        <v>8112.5</v>
      </c>
      <c r="L13" s="119"/>
      <c r="M13" s="119"/>
      <c r="N13" s="174">
        <f t="shared" ref="N13:N14" si="4">H13</f>
        <v>29205</v>
      </c>
      <c r="O13" s="119">
        <f t="shared" ref="O13:O14" si="5">ROUND(I13-SUM(J13:N13),0)</f>
        <v>152515</v>
      </c>
      <c r="P13" s="139"/>
      <c r="Q13" s="175"/>
      <c r="R13" s="128"/>
      <c r="S13" s="119">
        <v>500000</v>
      </c>
      <c r="T13" s="184">
        <v>495000</v>
      </c>
      <c r="U13" s="119" t="s">
        <v>342</v>
      </c>
      <c r="V13" s="119"/>
    </row>
    <row r="14" spans="1:22" ht="24.9" customHeight="1" x14ac:dyDescent="0.3">
      <c r="A14" s="212">
        <v>51990</v>
      </c>
      <c r="B14" s="117" t="s">
        <v>393</v>
      </c>
      <c r="C14" s="131">
        <v>45182</v>
      </c>
      <c r="D14" s="164">
        <v>83228</v>
      </c>
      <c r="E14" s="119">
        <v>147500</v>
      </c>
      <c r="F14" s="119">
        <v>88925</v>
      </c>
      <c r="G14" s="119">
        <f t="shared" si="2"/>
        <v>58575</v>
      </c>
      <c r="H14" s="119">
        <f>G14*18%</f>
        <v>10543.5</v>
      </c>
      <c r="I14" s="119">
        <f t="shared" si="3"/>
        <v>69118.5</v>
      </c>
      <c r="J14" s="119">
        <f>G14*1%</f>
        <v>585.75</v>
      </c>
      <c r="K14" s="119">
        <f>G14*5%</f>
        <v>2928.75</v>
      </c>
      <c r="L14" s="119"/>
      <c r="M14" s="119">
        <f>G14*10%</f>
        <v>5857.5</v>
      </c>
      <c r="N14" s="174">
        <f t="shared" si="4"/>
        <v>10543.5</v>
      </c>
      <c r="O14" s="119">
        <f t="shared" si="5"/>
        <v>49203</v>
      </c>
      <c r="P14" s="139"/>
      <c r="Q14" s="175"/>
      <c r="R14" s="128"/>
      <c r="S14" s="119">
        <v>500000</v>
      </c>
      <c r="T14" s="184">
        <v>495000</v>
      </c>
      <c r="U14" s="119" t="s">
        <v>415</v>
      </c>
      <c r="V14" s="119"/>
    </row>
    <row r="15" spans="1:22" ht="24.9" customHeight="1" x14ac:dyDescent="0.3">
      <c r="A15" s="212">
        <v>51990</v>
      </c>
      <c r="B15" s="117" t="s">
        <v>97</v>
      </c>
      <c r="C15" s="114"/>
      <c r="D15" s="118" t="s">
        <v>263</v>
      </c>
      <c r="E15" s="119">
        <v>65020</v>
      </c>
      <c r="F15" s="119"/>
      <c r="G15" s="119"/>
      <c r="H15" s="119"/>
      <c r="I15" s="119"/>
      <c r="J15" s="119"/>
      <c r="K15" s="119"/>
      <c r="L15" s="119"/>
      <c r="M15" s="119"/>
      <c r="N15" s="176"/>
      <c r="O15" s="169">
        <f>E15</f>
        <v>65020</v>
      </c>
      <c r="P15" s="139"/>
      <c r="Q15" s="175"/>
      <c r="R15" s="128"/>
      <c r="S15" s="119">
        <v>500000</v>
      </c>
      <c r="T15" s="184">
        <v>495000</v>
      </c>
      <c r="U15" s="119" t="s">
        <v>363</v>
      </c>
      <c r="V15" s="119"/>
    </row>
    <row r="16" spans="1:22" ht="24.9" customHeight="1" x14ac:dyDescent="0.3">
      <c r="A16" s="212">
        <v>51990</v>
      </c>
      <c r="B16" s="117"/>
      <c r="C16" s="165"/>
      <c r="D16" s="166"/>
      <c r="E16" s="128"/>
      <c r="F16" s="167"/>
      <c r="G16" s="128"/>
      <c r="H16" s="128"/>
      <c r="I16" s="128"/>
      <c r="J16" s="128"/>
      <c r="K16" s="128"/>
      <c r="L16" s="128"/>
      <c r="M16" s="128"/>
      <c r="N16" s="175"/>
      <c r="O16" s="128"/>
      <c r="P16" s="139"/>
      <c r="Q16" s="175"/>
      <c r="R16" s="128"/>
      <c r="S16" s="119">
        <v>500000</v>
      </c>
      <c r="T16" s="184">
        <v>495000</v>
      </c>
      <c r="U16" s="197" t="s">
        <v>364</v>
      </c>
      <c r="V16" s="119"/>
    </row>
    <row r="17" spans="1:22" ht="24.9" customHeight="1" x14ac:dyDescent="0.3">
      <c r="A17" s="116"/>
      <c r="B17" s="117"/>
      <c r="C17" s="114"/>
      <c r="D17" s="118"/>
      <c r="E17" s="119"/>
      <c r="F17" s="119"/>
      <c r="G17" s="119"/>
      <c r="H17" s="119"/>
      <c r="I17" s="119"/>
      <c r="J17" s="119"/>
      <c r="K17" s="119"/>
      <c r="L17" s="119"/>
      <c r="M17" s="119"/>
      <c r="N17" s="176"/>
      <c r="O17" s="119"/>
      <c r="P17" s="139"/>
      <c r="Q17" s="175"/>
      <c r="R17" s="128"/>
      <c r="S17" s="119"/>
      <c r="T17" s="119"/>
      <c r="U17" s="128"/>
      <c r="V17" s="119"/>
    </row>
    <row r="18" spans="1:22" ht="24.9" customHeight="1" x14ac:dyDescent="0.3">
      <c r="A18" s="116"/>
      <c r="B18" s="117"/>
      <c r="C18" s="114"/>
      <c r="D18" s="118"/>
      <c r="E18" s="119"/>
      <c r="F18" s="119"/>
      <c r="G18" s="119"/>
      <c r="H18" s="119"/>
      <c r="I18" s="119"/>
      <c r="J18" s="119"/>
      <c r="K18" s="119"/>
      <c r="L18" s="119"/>
      <c r="M18" s="119"/>
      <c r="N18" s="176"/>
      <c r="O18" s="119"/>
      <c r="P18" s="139"/>
      <c r="Q18" s="175"/>
      <c r="R18" s="128"/>
      <c r="S18" s="119"/>
      <c r="T18" s="119"/>
      <c r="U18" s="128"/>
      <c r="V18" s="119"/>
    </row>
    <row r="19" spans="1:22" ht="24.9" customHeight="1" x14ac:dyDescent="0.3">
      <c r="A19" s="149"/>
      <c r="B19" s="123"/>
      <c r="C19" s="120"/>
      <c r="D19" s="144"/>
      <c r="E19" s="121"/>
      <c r="F19" s="121"/>
      <c r="G19" s="121"/>
      <c r="H19" s="121"/>
      <c r="I19" s="121"/>
      <c r="J19" s="121"/>
      <c r="K19" s="121"/>
      <c r="L19" s="121"/>
      <c r="M19" s="121"/>
      <c r="N19" s="177"/>
      <c r="O19" s="121"/>
      <c r="P19" s="143">
        <f>A19</f>
        <v>0</v>
      </c>
      <c r="Q19" s="177"/>
      <c r="R19" s="121"/>
      <c r="S19" s="121"/>
      <c r="T19" s="121"/>
      <c r="U19" s="127"/>
      <c r="V19" s="121"/>
    </row>
    <row r="20" spans="1:22" ht="24.9" customHeight="1" x14ac:dyDescent="0.3">
      <c r="A20" s="116">
        <v>52402</v>
      </c>
      <c r="B20" s="117" t="s">
        <v>90</v>
      </c>
      <c r="C20" s="114">
        <v>45279</v>
      </c>
      <c r="D20" s="118">
        <v>4</v>
      </c>
      <c r="E20" s="119">
        <f>2300000*40%</f>
        <v>920000</v>
      </c>
      <c r="F20" s="119">
        <f>122843+214154</f>
        <v>336997</v>
      </c>
      <c r="G20" s="119">
        <f>ROUND(E20-F20,)</f>
        <v>583003</v>
      </c>
      <c r="H20" s="119">
        <f>ROUND(G20*$H$6,0)</f>
        <v>104941</v>
      </c>
      <c r="I20" s="119">
        <f>G20+H20</f>
        <v>687944</v>
      </c>
      <c r="J20" s="119">
        <f>ROUND(G20*$J$6,)</f>
        <v>5830</v>
      </c>
      <c r="K20" s="119">
        <f>ROUND(G20*$K$6,)</f>
        <v>29150</v>
      </c>
      <c r="L20" s="119">
        <f>ROUND(G20*$L$6,)</f>
        <v>0</v>
      </c>
      <c r="M20" s="119">
        <f>ROUND(G20*$M$6,)</f>
        <v>58300</v>
      </c>
      <c r="N20" s="174">
        <f>H20</f>
        <v>104941</v>
      </c>
      <c r="O20" s="119">
        <f>ROUND(I20-SUM(J20:N20),0)</f>
        <v>489723</v>
      </c>
      <c r="P20" s="137"/>
      <c r="Q20" s="176">
        <v>2850000</v>
      </c>
      <c r="R20" s="119">
        <f>Q20-SUM(S20:S27)</f>
        <v>50000</v>
      </c>
      <c r="S20" s="119">
        <v>300000</v>
      </c>
      <c r="T20" s="119">
        <v>297000</v>
      </c>
      <c r="U20" s="124" t="s">
        <v>92</v>
      </c>
      <c r="V20" s="119">
        <f>SUM(O20:O27)-SUM(T20:T27)</f>
        <v>-1942115</v>
      </c>
    </row>
    <row r="21" spans="1:22" ht="24.9" customHeight="1" x14ac:dyDescent="0.3">
      <c r="A21" s="116">
        <v>52402</v>
      </c>
      <c r="B21" s="117" t="s">
        <v>29</v>
      </c>
      <c r="C21" s="114">
        <v>44958</v>
      </c>
      <c r="D21" s="118">
        <v>4</v>
      </c>
      <c r="E21" s="119">
        <f>H20</f>
        <v>104941</v>
      </c>
      <c r="F21" s="119"/>
      <c r="G21" s="119"/>
      <c r="H21" s="119"/>
      <c r="I21" s="119"/>
      <c r="J21" s="119"/>
      <c r="K21" s="119"/>
      <c r="L21" s="119"/>
      <c r="M21" s="119"/>
      <c r="N21" s="176"/>
      <c r="O21" s="169">
        <f>E21</f>
        <v>104941</v>
      </c>
      <c r="P21" s="137"/>
      <c r="Q21" s="176"/>
      <c r="R21" s="119"/>
      <c r="S21" s="119">
        <v>300000</v>
      </c>
      <c r="T21" s="119">
        <v>297000</v>
      </c>
      <c r="U21" s="97" t="s">
        <v>94</v>
      </c>
      <c r="V21" s="119"/>
    </row>
    <row r="22" spans="1:22" ht="24.9" customHeight="1" x14ac:dyDescent="0.3">
      <c r="A22" s="116">
        <v>52402</v>
      </c>
      <c r="B22" s="117" t="s">
        <v>90</v>
      </c>
      <c r="C22" s="114">
        <v>45031</v>
      </c>
      <c r="D22" s="118">
        <v>7</v>
      </c>
      <c r="E22" s="119">
        <f>(2579480*40%)-E20</f>
        <v>111792</v>
      </c>
      <c r="F22" s="119">
        <v>0</v>
      </c>
      <c r="G22" s="119">
        <f>ROUND(E22-F22,)</f>
        <v>111792</v>
      </c>
      <c r="H22" s="119">
        <f>ROUND(G22*$H$6,0)</f>
        <v>20123</v>
      </c>
      <c r="I22" s="119">
        <f>G22+H22</f>
        <v>131915</v>
      </c>
      <c r="J22" s="119">
        <f>ROUND(G22*$J$6,)</f>
        <v>1118</v>
      </c>
      <c r="K22" s="119">
        <f>ROUND(G22*$K$6,)</f>
        <v>5590</v>
      </c>
      <c r="L22" s="119">
        <f>ROUND(G22*$L$6,)</f>
        <v>0</v>
      </c>
      <c r="M22" s="119">
        <f>ROUND(G22*$M$6,)</f>
        <v>11179</v>
      </c>
      <c r="N22" s="174">
        <f>H22</f>
        <v>20123</v>
      </c>
      <c r="O22" s="119">
        <f>ROUND(I22-SUM(J22:N22),0)</f>
        <v>93905</v>
      </c>
      <c r="P22" s="137"/>
      <c r="Q22" s="176"/>
      <c r="R22" s="119"/>
      <c r="S22" s="119">
        <v>100000</v>
      </c>
      <c r="T22" s="119">
        <v>99000</v>
      </c>
      <c r="U22" s="97" t="s">
        <v>95</v>
      </c>
      <c r="V22" s="119"/>
    </row>
    <row r="23" spans="1:22" ht="24.9" customHeight="1" x14ac:dyDescent="0.3">
      <c r="A23" s="116">
        <v>52402</v>
      </c>
      <c r="B23" s="117" t="s">
        <v>90</v>
      </c>
      <c r="C23" s="131">
        <v>45142</v>
      </c>
      <c r="D23" s="168">
        <v>57205</v>
      </c>
      <c r="E23" s="119">
        <v>108208</v>
      </c>
      <c r="F23" s="119"/>
      <c r="G23" s="119">
        <f t="shared" ref="G23" si="6">ROUND(E23-F23,)</f>
        <v>108208</v>
      </c>
      <c r="H23" s="119">
        <f t="shared" ref="H23" si="7">ROUND(G23*$H$6,0)</f>
        <v>19477</v>
      </c>
      <c r="I23" s="119">
        <f t="shared" ref="I23" si="8">G23+H23</f>
        <v>127685</v>
      </c>
      <c r="J23" s="119">
        <f t="shared" ref="J23" si="9">ROUND(G23*$J$6,)</f>
        <v>1082</v>
      </c>
      <c r="K23" s="119">
        <f t="shared" ref="K23" si="10">ROUND(G23*$K$6,)</f>
        <v>5410</v>
      </c>
      <c r="L23" s="119">
        <f t="shared" ref="L23" si="11">ROUND(G23*$L$6,)</f>
        <v>0</v>
      </c>
      <c r="M23" s="119"/>
      <c r="N23" s="174">
        <f t="shared" ref="N23" si="12">H23</f>
        <v>19477</v>
      </c>
      <c r="O23" s="119">
        <f>ROUND(I23-SUM(J23:N23),0)</f>
        <v>101716</v>
      </c>
      <c r="P23" s="137"/>
      <c r="Q23" s="176"/>
      <c r="R23" s="119"/>
      <c r="S23" s="119">
        <v>200000</v>
      </c>
      <c r="T23" s="119">
        <v>198000</v>
      </c>
      <c r="U23" s="119" t="s">
        <v>105</v>
      </c>
      <c r="V23" s="119"/>
    </row>
    <row r="24" spans="1:22" ht="30.75" customHeight="1" x14ac:dyDescent="0.3">
      <c r="A24" s="116">
        <v>52402</v>
      </c>
      <c r="B24" s="129" t="s">
        <v>29</v>
      </c>
      <c r="C24" s="131">
        <v>45172</v>
      </c>
      <c r="D24" s="118">
        <v>7</v>
      </c>
      <c r="E24" s="119">
        <v>20123</v>
      </c>
      <c r="F24" s="119"/>
      <c r="G24" s="119"/>
      <c r="H24" s="119"/>
      <c r="I24" s="119"/>
      <c r="J24" s="119"/>
      <c r="K24" s="119"/>
      <c r="L24" s="119"/>
      <c r="M24" s="119"/>
      <c r="N24" s="176"/>
      <c r="O24" s="169">
        <v>20123</v>
      </c>
      <c r="P24" s="137"/>
      <c r="Q24" s="176"/>
      <c r="R24" s="119"/>
      <c r="S24" s="119">
        <v>200000</v>
      </c>
      <c r="T24" s="119">
        <v>198000</v>
      </c>
      <c r="U24" s="119" t="s">
        <v>150</v>
      </c>
      <c r="V24" s="119"/>
    </row>
    <row r="25" spans="1:22" ht="30.75" customHeight="1" x14ac:dyDescent="0.3">
      <c r="A25" s="116">
        <v>52402</v>
      </c>
      <c r="B25" s="129" t="s">
        <v>29</v>
      </c>
      <c r="C25" s="131"/>
      <c r="D25" s="168">
        <v>57205</v>
      </c>
      <c r="E25" s="119">
        <f>N23</f>
        <v>19477</v>
      </c>
      <c r="F25" s="119"/>
      <c r="G25" s="119"/>
      <c r="H25" s="119"/>
      <c r="I25" s="119"/>
      <c r="J25" s="119"/>
      <c r="K25" s="119"/>
      <c r="L25" s="119"/>
      <c r="M25" s="119"/>
      <c r="N25" s="176"/>
      <c r="O25" s="169">
        <f>E25</f>
        <v>19477</v>
      </c>
      <c r="P25" s="137"/>
      <c r="Q25" s="176"/>
      <c r="R25" s="119"/>
      <c r="S25" s="119">
        <v>1000000</v>
      </c>
      <c r="T25" s="119">
        <v>990000</v>
      </c>
      <c r="U25" s="119" t="s">
        <v>279</v>
      </c>
      <c r="V25" s="119"/>
    </row>
    <row r="26" spans="1:22" ht="30.75" customHeight="1" x14ac:dyDescent="0.3">
      <c r="A26" s="116">
        <v>52402</v>
      </c>
      <c r="B26" s="129"/>
      <c r="C26" s="131"/>
      <c r="D26" s="168"/>
      <c r="E26" s="119"/>
      <c r="F26" s="119"/>
      <c r="G26" s="119"/>
      <c r="H26" s="119"/>
      <c r="I26" s="119"/>
      <c r="J26" s="119"/>
      <c r="K26" s="119"/>
      <c r="L26" s="119"/>
      <c r="M26" s="119"/>
      <c r="N26" s="176"/>
      <c r="O26" s="128"/>
      <c r="P26" s="137"/>
      <c r="Q26" s="176"/>
      <c r="R26" s="119"/>
      <c r="S26" s="119">
        <v>200000</v>
      </c>
      <c r="T26" s="184">
        <v>198000</v>
      </c>
      <c r="U26" s="119" t="s">
        <v>320</v>
      </c>
      <c r="V26" s="119"/>
    </row>
    <row r="27" spans="1:22" ht="30.75" customHeight="1" x14ac:dyDescent="0.3">
      <c r="A27" s="116">
        <v>52402</v>
      </c>
      <c r="B27" s="129"/>
      <c r="C27" s="131"/>
      <c r="D27" s="168"/>
      <c r="E27" s="119"/>
      <c r="F27" s="119"/>
      <c r="G27" s="119"/>
      <c r="H27" s="119"/>
      <c r="I27" s="119"/>
      <c r="J27" s="119"/>
      <c r="K27" s="119"/>
      <c r="L27" s="119"/>
      <c r="M27" s="119"/>
      <c r="N27" s="176"/>
      <c r="O27" s="128"/>
      <c r="P27" s="137"/>
      <c r="Q27" s="176"/>
      <c r="R27" s="119"/>
      <c r="S27" s="119">
        <v>500000</v>
      </c>
      <c r="T27" s="184">
        <v>495000</v>
      </c>
      <c r="U27" s="119" t="s">
        <v>362</v>
      </c>
      <c r="V27" s="119"/>
    </row>
    <row r="28" spans="1:22" ht="24.9" customHeight="1" x14ac:dyDescent="0.3">
      <c r="A28" s="149"/>
      <c r="B28" s="123"/>
      <c r="C28" s="120"/>
      <c r="D28" s="144"/>
      <c r="E28" s="121"/>
      <c r="F28" s="121"/>
      <c r="G28" s="121"/>
      <c r="H28" s="121"/>
      <c r="I28" s="121"/>
      <c r="J28" s="121"/>
      <c r="K28" s="121"/>
      <c r="L28" s="121"/>
      <c r="M28" s="121"/>
      <c r="N28" s="177"/>
      <c r="O28" s="121"/>
      <c r="P28" s="143">
        <f>A28</f>
        <v>0</v>
      </c>
      <c r="Q28" s="177"/>
      <c r="R28" s="121"/>
      <c r="S28" s="121"/>
      <c r="T28" s="121"/>
      <c r="U28" s="127"/>
      <c r="V28" s="121"/>
    </row>
    <row r="29" spans="1:22" ht="24.9" customHeight="1" x14ac:dyDescent="0.3">
      <c r="A29" s="116">
        <v>52403</v>
      </c>
      <c r="B29" s="117" t="s">
        <v>394</v>
      </c>
      <c r="C29" s="114">
        <v>44955</v>
      </c>
      <c r="D29" s="118">
        <v>10</v>
      </c>
      <c r="E29" s="119">
        <f>2722000*40%</f>
        <v>1088800</v>
      </c>
      <c r="F29" s="119">
        <v>424798.95</v>
      </c>
      <c r="G29" s="119">
        <f>ROUND(E29-F29,)</f>
        <v>664001</v>
      </c>
      <c r="H29" s="119">
        <f>ROUND(G29*$H$6,0)</f>
        <v>119520</v>
      </c>
      <c r="I29" s="119">
        <f>G29+H29</f>
        <v>783521</v>
      </c>
      <c r="J29" s="119">
        <f>ROUND(G29*$J$6,)</f>
        <v>6640</v>
      </c>
      <c r="K29" s="119">
        <f>ROUND(G29*$K$6,)</f>
        <v>33200</v>
      </c>
      <c r="L29" s="119">
        <f>ROUND(G29*$L$6,)</f>
        <v>0</v>
      </c>
      <c r="M29" s="119">
        <f>ROUND(G29*$M$6,)</f>
        <v>66400</v>
      </c>
      <c r="N29" s="174">
        <f>H29</f>
        <v>119520</v>
      </c>
      <c r="O29" s="119">
        <f>ROUND(I29-SUM(J29:N29),0)</f>
        <v>557761</v>
      </c>
      <c r="P29" s="137"/>
      <c r="Q29" s="176">
        <v>3412500</v>
      </c>
      <c r="R29" s="119">
        <f>Q29-SUM(S29:S38)</f>
        <v>212500</v>
      </c>
      <c r="S29" s="119">
        <v>300000</v>
      </c>
      <c r="T29" s="119">
        <v>297000</v>
      </c>
      <c r="U29" s="97" t="s">
        <v>84</v>
      </c>
      <c r="V29" s="119">
        <f>SUM(O29:O38)-SUM(T29:T38)</f>
        <v>-2209495</v>
      </c>
    </row>
    <row r="30" spans="1:22" ht="24.9" customHeight="1" x14ac:dyDescent="0.3">
      <c r="A30" s="116">
        <v>52403</v>
      </c>
      <c r="B30" s="117" t="s">
        <v>77</v>
      </c>
      <c r="C30" s="114">
        <v>45000</v>
      </c>
      <c r="D30" s="118">
        <v>10</v>
      </c>
      <c r="E30" s="119">
        <v>119520</v>
      </c>
      <c r="F30" s="119"/>
      <c r="G30" s="119"/>
      <c r="H30" s="119"/>
      <c r="I30" s="119"/>
      <c r="J30" s="119"/>
      <c r="K30" s="119"/>
      <c r="L30" s="119"/>
      <c r="M30" s="119"/>
      <c r="N30" s="176"/>
      <c r="O30" s="169">
        <v>119520</v>
      </c>
      <c r="P30" s="137"/>
      <c r="Q30" s="176"/>
      <c r="R30" s="119"/>
      <c r="S30" s="119">
        <v>300000</v>
      </c>
      <c r="T30" s="119">
        <v>297000</v>
      </c>
      <c r="U30" s="97" t="s">
        <v>86</v>
      </c>
      <c r="V30" s="119"/>
    </row>
    <row r="31" spans="1:22" ht="24.9" customHeight="1" x14ac:dyDescent="0.3">
      <c r="A31" s="116">
        <v>52403</v>
      </c>
      <c r="B31" s="117" t="s">
        <v>394</v>
      </c>
      <c r="C31" s="114">
        <v>45031</v>
      </c>
      <c r="D31" s="118">
        <v>3</v>
      </c>
      <c r="E31" s="119">
        <f>(3097314*40%)-E29</f>
        <v>150125.60000000009</v>
      </c>
      <c r="F31" s="119">
        <v>0</v>
      </c>
      <c r="G31" s="119">
        <f>ROUND(E31-F31,)</f>
        <v>150126</v>
      </c>
      <c r="H31" s="119">
        <f>ROUND(G31*$H$6,0)</f>
        <v>27023</v>
      </c>
      <c r="I31" s="119">
        <f>G31+H31</f>
        <v>177149</v>
      </c>
      <c r="J31" s="119">
        <f>ROUND(G31*$J$6,)</f>
        <v>1501</v>
      </c>
      <c r="K31" s="119">
        <f>ROUND(G31*$K$6,)</f>
        <v>7506</v>
      </c>
      <c r="L31" s="119">
        <f>ROUND(G31*$L$6,)</f>
        <v>0</v>
      </c>
      <c r="M31" s="119">
        <f>ROUND(G31*$M$6,)</f>
        <v>15013</v>
      </c>
      <c r="N31" s="174">
        <f>H31</f>
        <v>27023</v>
      </c>
      <c r="O31" s="119">
        <f>ROUND(I31-SUM(J31:N31),0)</f>
        <v>126106</v>
      </c>
      <c r="P31" s="137"/>
      <c r="Q31" s="176"/>
      <c r="R31" s="119"/>
      <c r="S31" s="119">
        <v>150000</v>
      </c>
      <c r="T31" s="119">
        <v>148500</v>
      </c>
      <c r="U31" s="97" t="s">
        <v>88</v>
      </c>
      <c r="V31" s="119"/>
    </row>
    <row r="32" spans="1:22" ht="24.9" customHeight="1" x14ac:dyDescent="0.3">
      <c r="A32" s="116">
        <v>52403</v>
      </c>
      <c r="B32" s="117" t="s">
        <v>77</v>
      </c>
      <c r="C32" s="114">
        <v>45172</v>
      </c>
      <c r="D32" s="118">
        <v>3</v>
      </c>
      <c r="E32" s="119">
        <f>N31</f>
        <v>27023</v>
      </c>
      <c r="F32" s="119"/>
      <c r="G32" s="119"/>
      <c r="H32" s="119"/>
      <c r="I32" s="119"/>
      <c r="J32" s="119"/>
      <c r="K32" s="119"/>
      <c r="L32" s="119"/>
      <c r="M32" s="119"/>
      <c r="N32" s="176"/>
      <c r="O32" s="169">
        <f>E32</f>
        <v>27023</v>
      </c>
      <c r="P32" s="137"/>
      <c r="Q32" s="176"/>
      <c r="R32" s="119"/>
      <c r="S32" s="119">
        <v>50000</v>
      </c>
      <c r="T32" s="119">
        <v>50000</v>
      </c>
      <c r="U32" s="97" t="s">
        <v>89</v>
      </c>
      <c r="V32" s="119"/>
    </row>
    <row r="33" spans="1:22" ht="24.9" customHeight="1" x14ac:dyDescent="0.3">
      <c r="A33" s="116">
        <v>52403</v>
      </c>
      <c r="B33" s="117" t="s">
        <v>394</v>
      </c>
      <c r="C33" s="114">
        <v>45142</v>
      </c>
      <c r="D33" s="168">
        <v>54202</v>
      </c>
      <c r="E33" s="119">
        <f>1365000-814127</f>
        <v>550873</v>
      </c>
      <c r="F33" s="119">
        <v>424799</v>
      </c>
      <c r="G33" s="119">
        <f>ROUND(E33-F33,)</f>
        <v>126074</v>
      </c>
      <c r="H33" s="119">
        <f>ROUND(G33*$H$6,0)</f>
        <v>22693</v>
      </c>
      <c r="I33" s="119">
        <f>G33+H33</f>
        <v>148767</v>
      </c>
      <c r="J33" s="119">
        <f>ROUND(G33*$J$6,)</f>
        <v>1261</v>
      </c>
      <c r="K33" s="119">
        <f>ROUND(G33*$K$6,)</f>
        <v>6304</v>
      </c>
      <c r="L33" s="119">
        <f>ROUND(G33*$L$6,)</f>
        <v>0</v>
      </c>
      <c r="M33" s="119">
        <f>ROUND(G33*$M$6,)</f>
        <v>12607</v>
      </c>
      <c r="N33" s="174">
        <f>H33</f>
        <v>22693</v>
      </c>
      <c r="O33" s="119">
        <f>ROUND(I33-SUM(J33:N33),0)</f>
        <v>105902</v>
      </c>
      <c r="P33" s="137"/>
      <c r="Q33" s="176"/>
      <c r="R33" s="119"/>
      <c r="S33" s="119">
        <v>200000</v>
      </c>
      <c r="T33" s="119">
        <v>198000</v>
      </c>
      <c r="U33" s="97" t="s">
        <v>138</v>
      </c>
      <c r="V33" s="119"/>
    </row>
    <row r="34" spans="1:22" ht="24.9" customHeight="1" x14ac:dyDescent="0.3">
      <c r="A34" s="116">
        <v>52403</v>
      </c>
      <c r="B34" s="117" t="s">
        <v>29</v>
      </c>
      <c r="C34" s="114"/>
      <c r="D34" s="168">
        <v>54202</v>
      </c>
      <c r="E34" s="119">
        <f>N33</f>
        <v>22693</v>
      </c>
      <c r="F34" s="119"/>
      <c r="G34" s="119"/>
      <c r="H34" s="119"/>
      <c r="I34" s="119"/>
      <c r="J34" s="119"/>
      <c r="K34" s="119"/>
      <c r="L34" s="119"/>
      <c r="M34" s="119"/>
      <c r="N34" s="176"/>
      <c r="O34" s="169">
        <f>E34</f>
        <v>22693</v>
      </c>
      <c r="P34" s="137"/>
      <c r="Q34" s="176"/>
      <c r="R34" s="119"/>
      <c r="S34" s="119">
        <v>500000</v>
      </c>
      <c r="T34" s="119">
        <v>495000</v>
      </c>
      <c r="U34" s="97" t="s">
        <v>142</v>
      </c>
      <c r="V34" s="119"/>
    </row>
    <row r="35" spans="1:22" ht="24.9" customHeight="1" x14ac:dyDescent="0.3">
      <c r="A35" s="116">
        <v>52403</v>
      </c>
      <c r="B35" s="117"/>
      <c r="C35" s="114"/>
      <c r="D35" s="168"/>
      <c r="E35" s="119"/>
      <c r="F35" s="119"/>
      <c r="G35" s="119"/>
      <c r="H35" s="119"/>
      <c r="I35" s="119"/>
      <c r="J35" s="119"/>
      <c r="K35" s="119"/>
      <c r="L35" s="119"/>
      <c r="M35" s="119"/>
      <c r="N35" s="176"/>
      <c r="O35" s="128"/>
      <c r="P35" s="137"/>
      <c r="Q35" s="176"/>
      <c r="R35" s="119"/>
      <c r="S35" s="119">
        <v>500000</v>
      </c>
      <c r="T35" s="119">
        <v>495000</v>
      </c>
      <c r="U35" s="97" t="s">
        <v>277</v>
      </c>
      <c r="V35" s="119"/>
    </row>
    <row r="36" spans="1:22" ht="24.9" customHeight="1" x14ac:dyDescent="0.3">
      <c r="A36" s="116">
        <v>52403</v>
      </c>
      <c r="B36" s="117"/>
      <c r="C36" s="114"/>
      <c r="D36" s="168"/>
      <c r="E36" s="119"/>
      <c r="F36" s="119"/>
      <c r="G36" s="119"/>
      <c r="H36" s="119"/>
      <c r="I36" s="119"/>
      <c r="J36" s="119"/>
      <c r="K36" s="119"/>
      <c r="L36" s="119"/>
      <c r="M36" s="119"/>
      <c r="N36" s="176"/>
      <c r="O36" s="128"/>
      <c r="P36" s="137"/>
      <c r="Q36" s="176"/>
      <c r="R36" s="119"/>
      <c r="S36" s="119">
        <v>500000</v>
      </c>
      <c r="T36" s="184">
        <v>495000</v>
      </c>
      <c r="U36" s="97" t="s">
        <v>295</v>
      </c>
      <c r="V36" s="119"/>
    </row>
    <row r="37" spans="1:22" ht="24.9" customHeight="1" x14ac:dyDescent="0.3">
      <c r="A37" s="116">
        <v>52403</v>
      </c>
      <c r="B37" s="117"/>
      <c r="C37" s="114"/>
      <c r="D37" s="168"/>
      <c r="E37" s="119"/>
      <c r="F37" s="119"/>
      <c r="G37" s="119"/>
      <c r="H37" s="119"/>
      <c r="I37" s="119"/>
      <c r="J37" s="119"/>
      <c r="K37" s="119"/>
      <c r="L37" s="119"/>
      <c r="M37" s="119"/>
      <c r="N37" s="176"/>
      <c r="O37" s="128"/>
      <c r="P37" s="137"/>
      <c r="Q37" s="176"/>
      <c r="R37" s="119"/>
      <c r="S37" s="119">
        <v>200000</v>
      </c>
      <c r="T37" s="184">
        <v>198000</v>
      </c>
      <c r="U37" s="97" t="s">
        <v>321</v>
      </c>
      <c r="V37" s="119"/>
    </row>
    <row r="38" spans="1:22" ht="24.9" customHeight="1" x14ac:dyDescent="0.3">
      <c r="A38" s="116">
        <v>52403</v>
      </c>
      <c r="B38" s="117"/>
      <c r="C38" s="114"/>
      <c r="D38" s="168"/>
      <c r="E38" s="119"/>
      <c r="F38" s="119"/>
      <c r="G38" s="119"/>
      <c r="H38" s="119"/>
      <c r="I38" s="119"/>
      <c r="J38" s="119"/>
      <c r="K38" s="119"/>
      <c r="L38" s="119"/>
      <c r="M38" s="119"/>
      <c r="N38" s="176"/>
      <c r="O38" s="128"/>
      <c r="P38" s="137"/>
      <c r="Q38" s="176"/>
      <c r="R38" s="119"/>
      <c r="S38" s="119">
        <v>500000</v>
      </c>
      <c r="T38" s="184">
        <v>495000</v>
      </c>
      <c r="U38" s="97" t="s">
        <v>354</v>
      </c>
      <c r="V38" s="119"/>
    </row>
    <row r="39" spans="1:22" ht="24.9" customHeight="1" x14ac:dyDescent="0.3">
      <c r="A39" s="149"/>
      <c r="B39" s="123"/>
      <c r="C39" s="120"/>
      <c r="D39" s="144"/>
      <c r="E39" s="121"/>
      <c r="F39" s="121"/>
      <c r="G39" s="121"/>
      <c r="H39" s="121"/>
      <c r="I39" s="121"/>
      <c r="J39" s="121"/>
      <c r="K39" s="121"/>
      <c r="L39" s="121"/>
      <c r="M39" s="121"/>
      <c r="N39" s="177"/>
      <c r="O39" s="121"/>
      <c r="P39" s="143">
        <f>A39</f>
        <v>0</v>
      </c>
      <c r="Q39" s="177"/>
      <c r="R39" s="121"/>
      <c r="S39" s="121"/>
      <c r="T39" s="121"/>
      <c r="U39" s="127"/>
      <c r="V39" s="121"/>
    </row>
    <row r="40" spans="1:22" ht="24.9" customHeight="1" x14ac:dyDescent="0.3">
      <c r="A40" s="116">
        <v>52629</v>
      </c>
      <c r="B40" s="117" t="s">
        <v>28</v>
      </c>
      <c r="C40" s="114">
        <v>44946</v>
      </c>
      <c r="D40" s="118">
        <v>8</v>
      </c>
      <c r="E40" s="119">
        <v>1164000</v>
      </c>
      <c r="F40" s="119">
        <v>506542</v>
      </c>
      <c r="G40" s="119">
        <f>ROUND(E40-F40,)</f>
        <v>657458</v>
      </c>
      <c r="H40" s="119">
        <f>ROUND(G40*$H$6,0)</f>
        <v>118342</v>
      </c>
      <c r="I40" s="119">
        <f>G40+H40</f>
        <v>775800</v>
      </c>
      <c r="J40" s="119">
        <f>ROUND(G40*$J$6,)</f>
        <v>6575</v>
      </c>
      <c r="K40" s="119">
        <f>ROUND(G40*$K$6,)</f>
        <v>32873</v>
      </c>
      <c r="L40" s="119">
        <f>ROUND(G40*$L$6,)</f>
        <v>0</v>
      </c>
      <c r="M40" s="119">
        <f>ROUND(G40*$M$6,)</f>
        <v>65746</v>
      </c>
      <c r="N40" s="174">
        <f>H40</f>
        <v>118342</v>
      </c>
      <c r="O40" s="119">
        <f>ROUND(I40-SUM(J40:N40),0)</f>
        <v>552264</v>
      </c>
      <c r="P40" s="137"/>
      <c r="Q40" s="176">
        <v>3675000</v>
      </c>
      <c r="R40" s="119">
        <f>Q40-SUM(S40:S48)</f>
        <v>-575000</v>
      </c>
      <c r="S40" s="119">
        <v>600000</v>
      </c>
      <c r="T40" s="119">
        <v>594000</v>
      </c>
      <c r="U40" s="122" t="s">
        <v>31</v>
      </c>
      <c r="V40" s="119">
        <f>SUM(O40:O48)-SUM(T40:T48)</f>
        <v>-3234156.54</v>
      </c>
    </row>
    <row r="41" spans="1:22" ht="24.9" customHeight="1" x14ac:dyDescent="0.3">
      <c r="A41" s="116">
        <v>52629</v>
      </c>
      <c r="B41" s="117" t="s">
        <v>29</v>
      </c>
      <c r="C41" s="114">
        <v>45000</v>
      </c>
      <c r="D41" s="118">
        <v>8</v>
      </c>
      <c r="E41" s="119">
        <v>118342.46</v>
      </c>
      <c r="F41" s="119"/>
      <c r="G41" s="119"/>
      <c r="H41" s="119"/>
      <c r="I41" s="119"/>
      <c r="J41" s="119"/>
      <c r="K41" s="119"/>
      <c r="L41" s="119"/>
      <c r="M41" s="119"/>
      <c r="N41" s="176"/>
      <c r="O41" s="169">
        <f>E41</f>
        <v>118342.46</v>
      </c>
      <c r="P41" s="137"/>
      <c r="Q41" s="176"/>
      <c r="R41" s="119"/>
      <c r="S41" s="119">
        <v>500000</v>
      </c>
      <c r="T41" s="119">
        <v>495000</v>
      </c>
      <c r="U41" s="97" t="s">
        <v>33</v>
      </c>
      <c r="V41" s="119"/>
    </row>
    <row r="42" spans="1:22" ht="24.9" customHeight="1" x14ac:dyDescent="0.3">
      <c r="A42" s="116">
        <v>52629</v>
      </c>
      <c r="B42" s="117" t="s">
        <v>28</v>
      </c>
      <c r="C42" s="114">
        <v>45031</v>
      </c>
      <c r="D42" s="118">
        <v>4</v>
      </c>
      <c r="E42" s="119">
        <f>3381796*40%-E40</f>
        <v>188718.40000000014</v>
      </c>
      <c r="F42" s="119"/>
      <c r="G42" s="119">
        <f>ROUND(E42-F42,)</f>
        <v>188718</v>
      </c>
      <c r="H42" s="119">
        <f>ROUND(G42*$H$6,0)</f>
        <v>33969</v>
      </c>
      <c r="I42" s="119">
        <f>G42+H42</f>
        <v>222687</v>
      </c>
      <c r="J42" s="119">
        <f>ROUND(G42*$J$6,)</f>
        <v>1887</v>
      </c>
      <c r="K42" s="119">
        <f>ROUND(G42*$K$6,)</f>
        <v>9436</v>
      </c>
      <c r="L42" s="119">
        <f>ROUND(G42*$L$6,)</f>
        <v>0</v>
      </c>
      <c r="M42" s="119">
        <f>ROUND(G42*$M$6,)</f>
        <v>18872</v>
      </c>
      <c r="N42" s="174">
        <f>H42</f>
        <v>33969</v>
      </c>
      <c r="O42" s="119">
        <f>ROUND(I42-SUM(J42:N42),0)</f>
        <v>158523</v>
      </c>
      <c r="P42" s="137"/>
      <c r="Q42" s="176"/>
      <c r="R42" s="119"/>
      <c r="S42" s="119">
        <v>250000</v>
      </c>
      <c r="T42" s="119">
        <v>247500</v>
      </c>
      <c r="U42" s="119" t="s">
        <v>113</v>
      </c>
      <c r="V42" s="119"/>
    </row>
    <row r="43" spans="1:22" ht="24.9" customHeight="1" x14ac:dyDescent="0.3">
      <c r="A43" s="116">
        <v>52629</v>
      </c>
      <c r="B43" s="117" t="s">
        <v>28</v>
      </c>
      <c r="C43" s="114">
        <v>45142</v>
      </c>
      <c r="D43" s="168">
        <v>58206</v>
      </c>
      <c r="E43" s="119">
        <f>1470000-817275.35</f>
        <v>652724.65</v>
      </c>
      <c r="F43" s="119">
        <v>535443.05000000005</v>
      </c>
      <c r="G43" s="119">
        <f t="shared" ref="G43" si="13">ROUND(E43-F43,)</f>
        <v>117282</v>
      </c>
      <c r="H43" s="119">
        <f t="shared" ref="H43" si="14">ROUND(G43*$H$6,0)</f>
        <v>21111</v>
      </c>
      <c r="I43" s="119">
        <f t="shared" ref="I43" si="15">G43+H43</f>
        <v>138393</v>
      </c>
      <c r="J43" s="119">
        <f t="shared" ref="J43" si="16">ROUND(G43*$J$6,)</f>
        <v>1173</v>
      </c>
      <c r="K43" s="119">
        <f t="shared" ref="K43" si="17">ROUND(G43*$K$6,)</f>
        <v>5864</v>
      </c>
      <c r="L43" s="97"/>
      <c r="M43" s="119">
        <v>0</v>
      </c>
      <c r="N43" s="176">
        <f t="shared" ref="N43" si="18">H43</f>
        <v>21111</v>
      </c>
      <c r="O43" s="119">
        <f t="shared" ref="O43" si="19">ROUND(I43-SUM(J43:N43),0)</f>
        <v>110245</v>
      </c>
      <c r="P43" s="137"/>
      <c r="Q43" s="176"/>
      <c r="R43" s="119"/>
      <c r="S43" s="119">
        <v>500000</v>
      </c>
      <c r="T43" s="119">
        <v>495000</v>
      </c>
      <c r="U43" s="119" t="s">
        <v>278</v>
      </c>
      <c r="V43" s="119"/>
    </row>
    <row r="44" spans="1:22" ht="24.9" customHeight="1" x14ac:dyDescent="0.3">
      <c r="A44" s="116">
        <v>52629</v>
      </c>
      <c r="B44" s="117" t="s">
        <v>29</v>
      </c>
      <c r="C44" s="114">
        <v>45172</v>
      </c>
      <c r="D44" s="118">
        <v>4</v>
      </c>
      <c r="E44" s="119">
        <v>33969</v>
      </c>
      <c r="F44" s="119"/>
      <c r="G44" s="119"/>
      <c r="H44" s="119"/>
      <c r="I44" s="119"/>
      <c r="J44" s="119"/>
      <c r="K44" s="119"/>
      <c r="L44" s="119"/>
      <c r="M44" s="119"/>
      <c r="N44" s="176"/>
      <c r="O44" s="169">
        <v>33969</v>
      </c>
      <c r="P44" s="137"/>
      <c r="Q44" s="176"/>
      <c r="R44" s="119"/>
      <c r="S44" s="119">
        <v>500000</v>
      </c>
      <c r="T44" s="184">
        <v>495000</v>
      </c>
      <c r="U44" s="119" t="s">
        <v>296</v>
      </c>
      <c r="V44" s="119"/>
    </row>
    <row r="45" spans="1:22" ht="24.9" customHeight="1" x14ac:dyDescent="0.3">
      <c r="A45" s="116">
        <v>52629</v>
      </c>
      <c r="B45" s="117" t="s">
        <v>29</v>
      </c>
      <c r="C45" s="114">
        <v>45255</v>
      </c>
      <c r="D45" s="118" t="s">
        <v>227</v>
      </c>
      <c r="E45" s="119">
        <f>N43</f>
        <v>21111</v>
      </c>
      <c r="F45" s="119"/>
      <c r="G45" s="119"/>
      <c r="H45" s="119"/>
      <c r="I45" s="119"/>
      <c r="J45" s="119"/>
      <c r="K45" s="119"/>
      <c r="L45" s="119"/>
      <c r="M45" s="119"/>
      <c r="N45" s="176"/>
      <c r="O45" s="119"/>
      <c r="P45" s="137"/>
      <c r="Q45" s="176"/>
      <c r="R45" s="119"/>
      <c r="S45" s="119">
        <v>500000</v>
      </c>
      <c r="T45" s="184">
        <v>495000</v>
      </c>
      <c r="U45" s="119" t="s">
        <v>351</v>
      </c>
      <c r="V45" s="119"/>
    </row>
    <row r="46" spans="1:22" ht="24.9" customHeight="1" x14ac:dyDescent="0.3">
      <c r="A46" s="116">
        <v>52629</v>
      </c>
      <c r="B46" s="117"/>
      <c r="C46" s="114"/>
      <c r="D46" s="118"/>
      <c r="E46" s="119"/>
      <c r="F46" s="119"/>
      <c r="G46" s="119"/>
      <c r="H46" s="119"/>
      <c r="I46" s="119"/>
      <c r="J46" s="119"/>
      <c r="K46" s="119"/>
      <c r="L46" s="119"/>
      <c r="M46" s="119"/>
      <c r="N46" s="176"/>
      <c r="O46" s="119"/>
      <c r="P46" s="137"/>
      <c r="Q46" s="176"/>
      <c r="R46" s="119"/>
      <c r="S46" s="119">
        <v>500000</v>
      </c>
      <c r="T46" s="184">
        <v>495000</v>
      </c>
      <c r="U46" s="119" t="s">
        <v>366</v>
      </c>
      <c r="V46" s="119"/>
    </row>
    <row r="47" spans="1:22" ht="24.9" customHeight="1" x14ac:dyDescent="0.3">
      <c r="A47" s="116">
        <v>52629</v>
      </c>
      <c r="B47" s="117"/>
      <c r="C47" s="114"/>
      <c r="D47" s="118"/>
      <c r="E47" s="119"/>
      <c r="F47" s="119"/>
      <c r="G47" s="119"/>
      <c r="H47" s="119"/>
      <c r="I47" s="119"/>
      <c r="J47" s="119"/>
      <c r="K47" s="119"/>
      <c r="L47" s="119"/>
      <c r="M47" s="119"/>
      <c r="N47" s="176"/>
      <c r="O47" s="119"/>
      <c r="P47" s="137"/>
      <c r="Q47" s="176"/>
      <c r="R47" s="119"/>
      <c r="S47" s="119">
        <v>300000</v>
      </c>
      <c r="T47" s="184">
        <v>297000</v>
      </c>
      <c r="U47" s="119" t="s">
        <v>367</v>
      </c>
      <c r="V47" s="119"/>
    </row>
    <row r="48" spans="1:22" ht="24.9" customHeight="1" x14ac:dyDescent="0.3">
      <c r="A48" s="116">
        <v>52629</v>
      </c>
      <c r="B48" s="117"/>
      <c r="C48" s="114"/>
      <c r="D48" s="118"/>
      <c r="E48" s="119"/>
      <c r="F48" s="119"/>
      <c r="G48" s="119"/>
      <c r="H48" s="119"/>
      <c r="I48" s="119"/>
      <c r="J48" s="119"/>
      <c r="K48" s="119"/>
      <c r="L48" s="119"/>
      <c r="M48" s="119"/>
      <c r="N48" s="176"/>
      <c r="O48" s="119"/>
      <c r="P48" s="137"/>
      <c r="Q48" s="176"/>
      <c r="R48" s="119"/>
      <c r="S48" s="119">
        <v>600000</v>
      </c>
      <c r="T48" s="184">
        <v>594000</v>
      </c>
      <c r="U48" s="119" t="s">
        <v>368</v>
      </c>
      <c r="V48" s="119"/>
    </row>
    <row r="49" spans="1:22" ht="24.9" customHeight="1" x14ac:dyDescent="0.3">
      <c r="A49" s="149"/>
      <c r="B49" s="123"/>
      <c r="C49" s="120"/>
      <c r="D49" s="144"/>
      <c r="E49" s="121"/>
      <c r="F49" s="121"/>
      <c r="G49" s="121"/>
      <c r="H49" s="121"/>
      <c r="I49" s="121"/>
      <c r="J49" s="121"/>
      <c r="K49" s="121"/>
      <c r="L49" s="121"/>
      <c r="M49" s="121"/>
      <c r="N49" s="177"/>
      <c r="O49" s="121"/>
      <c r="P49" s="143">
        <f>A49</f>
        <v>0</v>
      </c>
      <c r="Q49" s="177"/>
      <c r="R49" s="121"/>
      <c r="S49" s="121"/>
      <c r="T49" s="121"/>
      <c r="U49" s="127"/>
      <c r="V49" s="121"/>
    </row>
    <row r="50" spans="1:22" ht="24.9" customHeight="1" x14ac:dyDescent="0.3">
      <c r="A50" s="116">
        <v>52523</v>
      </c>
      <c r="B50" s="117" t="s">
        <v>76</v>
      </c>
      <c r="C50" s="114">
        <v>44904</v>
      </c>
      <c r="D50" s="118">
        <v>3</v>
      </c>
      <c r="E50" s="119">
        <f>3372500*20%</f>
        <v>674500</v>
      </c>
      <c r="F50" s="119">
        <v>223474</v>
      </c>
      <c r="G50" s="119">
        <f>ROUND(E50-F50,)</f>
        <v>451026</v>
      </c>
      <c r="H50" s="119">
        <f>ROUND(G50*$H$6,0)</f>
        <v>81185</v>
      </c>
      <c r="I50" s="119">
        <f>G50+H50</f>
        <v>532211</v>
      </c>
      <c r="J50" s="119">
        <f>ROUND(G50*$J$6,)</f>
        <v>4510</v>
      </c>
      <c r="K50" s="119">
        <f>ROUND(G50*$K$6,)</f>
        <v>22551</v>
      </c>
      <c r="L50" s="119">
        <f>ROUND(G50*$L$6,)</f>
        <v>0</v>
      </c>
      <c r="M50" s="119">
        <f>ROUND(G50*$M$6,)</f>
        <v>45103</v>
      </c>
      <c r="N50" s="174">
        <f>H50</f>
        <v>81185</v>
      </c>
      <c r="O50" s="119">
        <f>ROUND(I50-SUM(J50:N50),0)</f>
        <v>378862</v>
      </c>
      <c r="P50" s="137"/>
      <c r="Q50" s="176">
        <v>3981250</v>
      </c>
      <c r="R50" s="119">
        <f>Q50-SUM(S50:S60)</f>
        <v>81250</v>
      </c>
      <c r="S50" s="119">
        <v>300000</v>
      </c>
      <c r="T50" s="119">
        <f>S50-1%*S50</f>
        <v>297000</v>
      </c>
      <c r="U50" s="126" t="s">
        <v>79</v>
      </c>
      <c r="V50" s="119">
        <f>SUM(O50:O60)-SUM(T50:T60)</f>
        <v>-3162602</v>
      </c>
    </row>
    <row r="51" spans="1:22" ht="24.9" customHeight="1" x14ac:dyDescent="0.3">
      <c r="A51" s="116">
        <v>52523</v>
      </c>
      <c r="B51" s="117" t="s">
        <v>76</v>
      </c>
      <c r="C51" s="114">
        <v>45031</v>
      </c>
      <c r="D51" s="118">
        <v>8</v>
      </c>
      <c r="E51" s="119">
        <f>(3748120*20%)-E50</f>
        <v>75124</v>
      </c>
      <c r="F51" s="119">
        <v>0</v>
      </c>
      <c r="G51" s="119">
        <f>ROUND(E51-F51,)</f>
        <v>75124</v>
      </c>
      <c r="H51" s="119">
        <f>ROUND(G51*$H$6,0)</f>
        <v>13522</v>
      </c>
      <c r="I51" s="119">
        <f>G51+H51</f>
        <v>88646</v>
      </c>
      <c r="J51" s="119">
        <f>ROUND(G51*$J$6,)</f>
        <v>751</v>
      </c>
      <c r="K51" s="119">
        <f>ROUND(G51*$K$6,)</f>
        <v>3756</v>
      </c>
      <c r="L51" s="119">
        <f>ROUND(G51*$L$6,)</f>
        <v>0</v>
      </c>
      <c r="M51" s="119">
        <f>ROUND(G51*$M$6,)</f>
        <v>7512</v>
      </c>
      <c r="N51" s="174">
        <f>H51</f>
        <v>13522</v>
      </c>
      <c r="O51" s="119">
        <f>ROUND(I51-SUM(J51:N51),0)</f>
        <v>63105</v>
      </c>
      <c r="P51" s="137"/>
      <c r="Q51" s="176"/>
      <c r="R51" s="119"/>
      <c r="S51" s="119">
        <v>200000</v>
      </c>
      <c r="T51" s="119">
        <f t="shared" ref="T51:T55" si="20">S51-1%*S51</f>
        <v>198000</v>
      </c>
      <c r="U51" s="126" t="s">
        <v>81</v>
      </c>
      <c r="V51" s="119"/>
    </row>
    <row r="52" spans="1:22" ht="24.9" customHeight="1" x14ac:dyDescent="0.3">
      <c r="A52" s="116">
        <v>52523</v>
      </c>
      <c r="B52" s="117" t="s">
        <v>77</v>
      </c>
      <c r="C52" s="114">
        <v>44958</v>
      </c>
      <c r="D52" s="118">
        <v>3</v>
      </c>
      <c r="E52" s="119">
        <v>81185</v>
      </c>
      <c r="F52" s="119"/>
      <c r="G52" s="119">
        <v>0</v>
      </c>
      <c r="H52" s="119">
        <v>0</v>
      </c>
      <c r="I52" s="119">
        <v>81185</v>
      </c>
      <c r="J52" s="119">
        <v>0</v>
      </c>
      <c r="K52" s="119">
        <v>0</v>
      </c>
      <c r="L52" s="119">
        <f t="shared" ref="L52:L53" si="21">ROUND(G52*$L$6,)</f>
        <v>0</v>
      </c>
      <c r="M52" s="119">
        <v>0</v>
      </c>
      <c r="N52" s="176">
        <f t="shared" ref="N52:N53" si="22">H52</f>
        <v>0</v>
      </c>
      <c r="O52" s="169">
        <f t="shared" ref="O52" si="23">ROUND(I52-SUM(J52:N52),0)</f>
        <v>81185</v>
      </c>
      <c r="P52" s="137"/>
      <c r="Q52" s="176"/>
      <c r="R52" s="119"/>
      <c r="S52" s="119">
        <v>200000</v>
      </c>
      <c r="T52" s="119">
        <f t="shared" si="20"/>
        <v>198000</v>
      </c>
      <c r="U52" s="126" t="s">
        <v>107</v>
      </c>
      <c r="V52" s="119"/>
    </row>
    <row r="53" spans="1:22" ht="24.9" customHeight="1" x14ac:dyDescent="0.3">
      <c r="A53" s="116">
        <v>52523</v>
      </c>
      <c r="B53" s="117" t="s">
        <v>76</v>
      </c>
      <c r="C53" s="114">
        <v>45142</v>
      </c>
      <c r="D53" s="168">
        <v>60208</v>
      </c>
      <c r="E53" s="119">
        <f>796250-526151</f>
        <v>270099</v>
      </c>
      <c r="F53" s="119">
        <v>223473</v>
      </c>
      <c r="G53" s="119">
        <f t="shared" ref="G53" si="24">ROUND(E53-F53,)</f>
        <v>46626</v>
      </c>
      <c r="H53" s="119">
        <f t="shared" ref="H53" si="25">ROUND(G53*$H$6,0)</f>
        <v>8393</v>
      </c>
      <c r="I53" s="119">
        <f t="shared" ref="I53" si="26">G53+H53</f>
        <v>55019</v>
      </c>
      <c r="J53" s="119">
        <f t="shared" ref="J53" si="27">ROUND(G53*$J$6,)</f>
        <v>466</v>
      </c>
      <c r="K53" s="119">
        <f t="shared" ref="K53" si="28">ROUND(G53*$K$6,)</f>
        <v>2331</v>
      </c>
      <c r="L53" s="119">
        <f t="shared" si="21"/>
        <v>0</v>
      </c>
      <c r="M53" s="119"/>
      <c r="N53" s="174">
        <f t="shared" si="22"/>
        <v>8393</v>
      </c>
      <c r="O53" s="119">
        <f>ROUND(I53-SUM(J53:N53),0)</f>
        <v>43829</v>
      </c>
      <c r="P53" s="137"/>
      <c r="Q53" s="176"/>
      <c r="R53" s="119"/>
      <c r="S53" s="119">
        <v>100000</v>
      </c>
      <c r="T53" s="119">
        <f t="shared" si="20"/>
        <v>99000</v>
      </c>
      <c r="U53" s="126" t="s">
        <v>119</v>
      </c>
      <c r="V53" s="119"/>
    </row>
    <row r="54" spans="1:22" ht="24.9" customHeight="1" x14ac:dyDescent="0.3">
      <c r="A54" s="116">
        <v>52523</v>
      </c>
      <c r="B54" s="117" t="s">
        <v>77</v>
      </c>
      <c r="C54" s="114">
        <v>45172</v>
      </c>
      <c r="D54" s="118">
        <v>8</v>
      </c>
      <c r="E54" s="119">
        <v>13522</v>
      </c>
      <c r="F54" s="119"/>
      <c r="G54" s="119"/>
      <c r="H54" s="119"/>
      <c r="I54" s="119"/>
      <c r="J54" s="119"/>
      <c r="K54" s="119"/>
      <c r="L54" s="119"/>
      <c r="M54" s="119"/>
      <c r="N54" s="176"/>
      <c r="O54" s="169">
        <v>13522</v>
      </c>
      <c r="P54" s="137"/>
      <c r="Q54" s="176"/>
      <c r="R54" s="119"/>
      <c r="S54" s="119">
        <v>100000</v>
      </c>
      <c r="T54" s="119">
        <f t="shared" si="20"/>
        <v>99000</v>
      </c>
      <c r="U54" s="97" t="s">
        <v>136</v>
      </c>
      <c r="V54" s="119"/>
    </row>
    <row r="55" spans="1:22" ht="24.9" customHeight="1" x14ac:dyDescent="0.3">
      <c r="A55" s="116">
        <v>52523</v>
      </c>
      <c r="B55" s="117" t="s">
        <v>77</v>
      </c>
      <c r="C55" s="114">
        <v>45255</v>
      </c>
      <c r="D55" s="168">
        <v>60208</v>
      </c>
      <c r="E55" s="119">
        <v>8393</v>
      </c>
      <c r="F55" s="119"/>
      <c r="G55" s="119"/>
      <c r="H55" s="119"/>
      <c r="I55" s="119"/>
      <c r="J55" s="119"/>
      <c r="K55" s="119"/>
      <c r="L55" s="119"/>
      <c r="M55" s="119"/>
      <c r="N55" s="176"/>
      <c r="O55" s="169">
        <v>8393</v>
      </c>
      <c r="P55" s="137"/>
      <c r="Q55" s="176"/>
      <c r="R55" s="119"/>
      <c r="S55" s="119">
        <v>200000</v>
      </c>
      <c r="T55" s="119">
        <f t="shared" si="20"/>
        <v>198000</v>
      </c>
      <c r="U55" s="126" t="s">
        <v>123</v>
      </c>
      <c r="V55" s="119"/>
    </row>
    <row r="56" spans="1:22" ht="24.9" customHeight="1" x14ac:dyDescent="0.3">
      <c r="A56" s="116">
        <v>52523</v>
      </c>
      <c r="B56" s="117" t="s">
        <v>264</v>
      </c>
      <c r="C56" s="114">
        <v>45307</v>
      </c>
      <c r="D56" s="181">
        <v>162</v>
      </c>
      <c r="E56" s="119">
        <v>97769.8</v>
      </c>
      <c r="F56" s="119"/>
      <c r="G56" s="119">
        <f t="shared" ref="G56" si="29">ROUND(E56-F56,)</f>
        <v>97770</v>
      </c>
      <c r="H56" s="119">
        <f t="shared" ref="H56" si="30">ROUND(G56*$H$6,0)</f>
        <v>17599</v>
      </c>
      <c r="I56" s="119">
        <f t="shared" ref="I56" si="31">G56+H56</f>
        <v>115369</v>
      </c>
      <c r="J56" s="119">
        <f t="shared" ref="J56" si="32">ROUND(G56*$J$6,)</f>
        <v>978</v>
      </c>
      <c r="K56" s="119">
        <f t="shared" ref="K56" si="33">ROUND(G56*$K$6,)</f>
        <v>4889</v>
      </c>
      <c r="L56" s="119">
        <f t="shared" ref="L56" si="34">ROUND(G56*$L$6,)</f>
        <v>0</v>
      </c>
      <c r="M56" s="119"/>
      <c r="N56" s="176">
        <f t="shared" ref="N56" si="35">H56</f>
        <v>17599</v>
      </c>
      <c r="O56" s="119">
        <f>ROUND(I56-SUM(J56:N56),0)</f>
        <v>91903</v>
      </c>
      <c r="P56" s="137"/>
      <c r="Q56" s="176"/>
      <c r="R56" s="119"/>
      <c r="S56" s="119">
        <v>1000000</v>
      </c>
      <c r="T56" s="119">
        <v>990000</v>
      </c>
      <c r="U56" s="126" t="s">
        <v>283</v>
      </c>
      <c r="V56" s="119"/>
    </row>
    <row r="57" spans="1:22" ht="24.9" customHeight="1" x14ac:dyDescent="0.3">
      <c r="A57" s="116">
        <v>52523</v>
      </c>
      <c r="B57" s="117" t="s">
        <v>29</v>
      </c>
      <c r="C57" s="114"/>
      <c r="D57" s="181">
        <v>162</v>
      </c>
      <c r="E57" s="119">
        <f>N56</f>
        <v>17599</v>
      </c>
      <c r="F57" s="119"/>
      <c r="G57" s="119"/>
      <c r="H57" s="119"/>
      <c r="I57" s="119"/>
      <c r="J57" s="119"/>
      <c r="K57" s="119"/>
      <c r="L57" s="119"/>
      <c r="M57" s="119"/>
      <c r="N57" s="176"/>
      <c r="O57" s="119">
        <f>E57</f>
        <v>17599</v>
      </c>
      <c r="P57" s="137" t="s">
        <v>265</v>
      </c>
      <c r="Q57" s="176"/>
      <c r="R57" s="119"/>
      <c r="S57" s="119">
        <v>500000</v>
      </c>
      <c r="T57" s="184">
        <v>495000</v>
      </c>
      <c r="U57" s="126" t="s">
        <v>297</v>
      </c>
      <c r="V57" s="119"/>
    </row>
    <row r="58" spans="1:22" ht="24.9" customHeight="1" x14ac:dyDescent="0.3">
      <c r="A58" s="116">
        <v>52523</v>
      </c>
      <c r="B58" s="117"/>
      <c r="C58" s="114"/>
      <c r="D58" s="118"/>
      <c r="E58" s="119"/>
      <c r="F58" s="119"/>
      <c r="G58" s="119"/>
      <c r="H58" s="119"/>
      <c r="I58" s="119"/>
      <c r="J58" s="119"/>
      <c r="K58" s="119"/>
      <c r="L58" s="119"/>
      <c r="M58" s="119"/>
      <c r="N58" s="176"/>
      <c r="O58" s="119"/>
      <c r="P58" s="137"/>
      <c r="Q58" s="176"/>
      <c r="R58" s="119"/>
      <c r="S58" s="119">
        <v>300000</v>
      </c>
      <c r="T58" s="184">
        <v>297000</v>
      </c>
      <c r="U58" s="126" t="s">
        <v>322</v>
      </c>
      <c r="V58" s="119"/>
    </row>
    <row r="59" spans="1:22" ht="24.9" customHeight="1" x14ac:dyDescent="0.3">
      <c r="A59" s="116">
        <v>52523</v>
      </c>
      <c r="B59" s="117"/>
      <c r="C59" s="114"/>
      <c r="D59" s="118"/>
      <c r="E59" s="119"/>
      <c r="F59" s="119"/>
      <c r="G59" s="119"/>
      <c r="H59" s="119"/>
      <c r="I59" s="119"/>
      <c r="J59" s="119"/>
      <c r="K59" s="119"/>
      <c r="L59" s="119"/>
      <c r="M59" s="119"/>
      <c r="N59" s="176"/>
      <c r="O59" s="119"/>
      <c r="P59" s="137"/>
      <c r="Q59" s="176"/>
      <c r="R59" s="119"/>
      <c r="S59" s="119">
        <v>500000</v>
      </c>
      <c r="T59" s="184">
        <v>495000</v>
      </c>
      <c r="U59" s="126" t="s">
        <v>352</v>
      </c>
      <c r="V59" s="119"/>
    </row>
    <row r="60" spans="1:22" ht="24.9" customHeight="1" x14ac:dyDescent="0.3">
      <c r="A60" s="116">
        <v>52523</v>
      </c>
      <c r="B60" s="117"/>
      <c r="C60" s="114"/>
      <c r="D60" s="118"/>
      <c r="E60" s="119"/>
      <c r="F60" s="119"/>
      <c r="G60" s="119"/>
      <c r="H60" s="119"/>
      <c r="I60" s="119"/>
      <c r="J60" s="119"/>
      <c r="K60" s="119"/>
      <c r="L60" s="119"/>
      <c r="M60" s="119"/>
      <c r="N60" s="176"/>
      <c r="O60" s="119"/>
      <c r="P60" s="137"/>
      <c r="Q60" s="176"/>
      <c r="R60" s="119"/>
      <c r="S60" s="119">
        <v>500000</v>
      </c>
      <c r="T60" s="184">
        <v>495000</v>
      </c>
      <c r="U60" s="126" t="s">
        <v>361</v>
      </c>
      <c r="V60" s="119"/>
    </row>
    <row r="61" spans="1:22" ht="24.9" customHeight="1" x14ac:dyDescent="0.3">
      <c r="A61" s="149"/>
      <c r="B61" s="123"/>
      <c r="C61" s="120"/>
      <c r="D61" s="144"/>
      <c r="E61" s="121"/>
      <c r="F61" s="121"/>
      <c r="G61" s="121"/>
      <c r="H61" s="121"/>
      <c r="I61" s="121"/>
      <c r="J61" s="121"/>
      <c r="K61" s="121"/>
      <c r="L61" s="121"/>
      <c r="M61" s="121"/>
      <c r="N61" s="177"/>
      <c r="O61" s="121"/>
      <c r="P61" s="143">
        <f>A61</f>
        <v>0</v>
      </c>
      <c r="Q61" s="177"/>
      <c r="R61" s="121"/>
      <c r="S61" s="121"/>
      <c r="T61" s="121"/>
      <c r="U61" s="127"/>
      <c r="V61" s="121"/>
    </row>
    <row r="62" spans="1:22" ht="31.5" customHeight="1" x14ac:dyDescent="0.3">
      <c r="A62" s="116">
        <v>52630</v>
      </c>
      <c r="B62" s="117" t="s">
        <v>395</v>
      </c>
      <c r="C62" s="114">
        <v>45279</v>
      </c>
      <c r="D62" s="118">
        <v>7</v>
      </c>
      <c r="E62" s="119">
        <v>1400000</v>
      </c>
      <c r="F62" s="119">
        <v>540666</v>
      </c>
      <c r="G62" s="119">
        <f>ROUND(E62-F62,)</f>
        <v>859334</v>
      </c>
      <c r="H62" s="119">
        <f>ROUND(G62*$H$6,0)</f>
        <v>154680</v>
      </c>
      <c r="I62" s="119">
        <f>G62+H62</f>
        <v>1014014</v>
      </c>
      <c r="J62" s="119">
        <f>ROUND(G62*$J$6,)</f>
        <v>8593</v>
      </c>
      <c r="K62" s="119">
        <f>ROUND(G62*$K$6,)</f>
        <v>42967</v>
      </c>
      <c r="L62" s="119">
        <f>ROUND(G62*$L$6,)</f>
        <v>0</v>
      </c>
      <c r="M62" s="119">
        <f>ROUND(G62*$M$6,)</f>
        <v>85933</v>
      </c>
      <c r="N62" s="174">
        <f>H62</f>
        <v>154680</v>
      </c>
      <c r="O62" s="119">
        <f>ROUND(I62-SUM(J62:N62),0)</f>
        <v>721841</v>
      </c>
      <c r="P62" s="137"/>
      <c r="Q62" s="176">
        <v>4425000</v>
      </c>
      <c r="R62" s="119">
        <f>Q62-SUM(S62:S71)</f>
        <v>-125000</v>
      </c>
      <c r="S62" s="119">
        <v>600000</v>
      </c>
      <c r="T62" s="119">
        <v>594000</v>
      </c>
      <c r="U62" s="122" t="s">
        <v>36</v>
      </c>
      <c r="V62" s="119">
        <f>SUM(O62:O71)-SUM(T62:T71)</f>
        <v>-3246368</v>
      </c>
    </row>
    <row r="63" spans="1:22" ht="35.25" customHeight="1" x14ac:dyDescent="0.3">
      <c r="A63" s="116">
        <v>52630</v>
      </c>
      <c r="B63" s="117" t="s">
        <v>395</v>
      </c>
      <c r="C63" s="114">
        <v>45031</v>
      </c>
      <c r="D63" s="118">
        <v>5</v>
      </c>
      <c r="E63" s="119">
        <f>(4307222*40%)-E62</f>
        <v>322888.80000000005</v>
      </c>
      <c r="F63" s="119">
        <v>0</v>
      </c>
      <c r="G63" s="119">
        <f>ROUND(E63-F63,)</f>
        <v>322889</v>
      </c>
      <c r="H63" s="119">
        <f>ROUND(G63*$H$6,0)</f>
        <v>58120</v>
      </c>
      <c r="I63" s="119">
        <f>G63+H63</f>
        <v>381009</v>
      </c>
      <c r="J63" s="119">
        <f>ROUND(G63*$J$6,)</f>
        <v>3229</v>
      </c>
      <c r="K63" s="119">
        <f>ROUND(G63*$K$6,)</f>
        <v>16144</v>
      </c>
      <c r="L63" s="119">
        <f>ROUND(G63*$L$6,)</f>
        <v>0</v>
      </c>
      <c r="M63" s="119">
        <f>ROUND(G63*$M$6,)</f>
        <v>32289</v>
      </c>
      <c r="N63" s="174">
        <f>H63</f>
        <v>58120</v>
      </c>
      <c r="O63" s="119">
        <f>ROUND(I63-SUM(J63:N63),0)</f>
        <v>271227</v>
      </c>
      <c r="P63" s="137"/>
      <c r="Q63" s="176"/>
      <c r="R63" s="119"/>
      <c r="S63" s="119">
        <v>500000</v>
      </c>
      <c r="T63" s="119">
        <v>495000</v>
      </c>
      <c r="U63" s="97" t="s">
        <v>38</v>
      </c>
      <c r="V63" s="119"/>
    </row>
    <row r="64" spans="1:22" ht="24.9" customHeight="1" x14ac:dyDescent="0.3">
      <c r="A64" s="116">
        <v>52630</v>
      </c>
      <c r="B64" s="117" t="s">
        <v>140</v>
      </c>
      <c r="C64" s="114">
        <v>45000</v>
      </c>
      <c r="D64" s="118">
        <v>7</v>
      </c>
      <c r="E64" s="119">
        <v>154680</v>
      </c>
      <c r="F64" s="119"/>
      <c r="G64" s="119"/>
      <c r="H64" s="119"/>
      <c r="I64" s="119"/>
      <c r="J64" s="119"/>
      <c r="K64" s="119"/>
      <c r="L64" s="119"/>
      <c r="M64" s="119"/>
      <c r="N64" s="176"/>
      <c r="O64" s="169">
        <f>E64</f>
        <v>154680</v>
      </c>
      <c r="P64" s="137"/>
      <c r="Q64" s="176"/>
      <c r="R64" s="119"/>
      <c r="S64" s="119">
        <v>50000</v>
      </c>
      <c r="T64" s="119">
        <v>50000</v>
      </c>
      <c r="U64" s="97" t="s">
        <v>39</v>
      </c>
      <c r="V64" s="119"/>
    </row>
    <row r="65" spans="1:22" ht="39" customHeight="1" x14ac:dyDescent="0.3">
      <c r="A65" s="116">
        <v>52630</v>
      </c>
      <c r="B65" s="117" t="s">
        <v>395</v>
      </c>
      <c r="C65" s="114">
        <v>45142</v>
      </c>
      <c r="D65" s="118" t="s">
        <v>228</v>
      </c>
      <c r="E65" s="119">
        <f>1770000-1182223</f>
        <v>587777</v>
      </c>
      <c r="F65" s="119">
        <v>540666</v>
      </c>
      <c r="G65" s="119">
        <f>ROUND(E65-F65,)</f>
        <v>47111</v>
      </c>
      <c r="H65" s="119">
        <f>ROUND(G65*$H$6,0)</f>
        <v>8480</v>
      </c>
      <c r="I65" s="119">
        <f>G65+H65</f>
        <v>55591</v>
      </c>
      <c r="J65" s="119">
        <f>ROUND(G65*$J$6,)</f>
        <v>471</v>
      </c>
      <c r="K65" s="119">
        <f>ROUND(G65*$K$6,)</f>
        <v>2356</v>
      </c>
      <c r="L65" s="119">
        <f>ROUND(G65*$L$6,)</f>
        <v>0</v>
      </c>
      <c r="M65" s="119"/>
      <c r="N65" s="174">
        <f>H65</f>
        <v>8480</v>
      </c>
      <c r="O65" s="119">
        <f>ROUND(I65-SUM(J65:N65),0)</f>
        <v>44284</v>
      </c>
      <c r="P65" s="137"/>
      <c r="Q65" s="176"/>
      <c r="R65" s="119"/>
      <c r="S65" s="119">
        <v>200000</v>
      </c>
      <c r="T65" s="119">
        <v>198000</v>
      </c>
      <c r="U65" s="97" t="s">
        <v>116</v>
      </c>
      <c r="V65" s="119"/>
    </row>
    <row r="66" spans="1:22" ht="39" customHeight="1" x14ac:dyDescent="0.3">
      <c r="A66" s="116">
        <v>52630</v>
      </c>
      <c r="B66" s="117" t="s">
        <v>29</v>
      </c>
      <c r="C66" s="114">
        <v>45172</v>
      </c>
      <c r="D66" s="118">
        <v>5</v>
      </c>
      <c r="E66" s="119">
        <v>58120</v>
      </c>
      <c r="F66" s="119"/>
      <c r="G66" s="119"/>
      <c r="H66" s="119"/>
      <c r="I66" s="119"/>
      <c r="J66" s="119"/>
      <c r="K66" s="119"/>
      <c r="L66" s="119"/>
      <c r="M66" s="119"/>
      <c r="N66" s="176"/>
      <c r="O66" s="169">
        <f>E66</f>
        <v>58120</v>
      </c>
      <c r="P66" s="137"/>
      <c r="Q66" s="176"/>
      <c r="R66" s="119"/>
      <c r="S66" s="119">
        <v>500000</v>
      </c>
      <c r="T66" s="119">
        <v>495000</v>
      </c>
      <c r="U66" s="97" t="s">
        <v>284</v>
      </c>
      <c r="V66" s="119"/>
    </row>
    <row r="67" spans="1:22" ht="39" customHeight="1" x14ac:dyDescent="0.3">
      <c r="A67" s="116">
        <v>52630</v>
      </c>
      <c r="B67" s="117" t="s">
        <v>29</v>
      </c>
      <c r="C67" s="114">
        <v>45255</v>
      </c>
      <c r="D67" s="118" t="s">
        <v>228</v>
      </c>
      <c r="E67" s="119">
        <v>8480</v>
      </c>
      <c r="F67" s="119"/>
      <c r="G67" s="119"/>
      <c r="H67" s="119"/>
      <c r="I67" s="119"/>
      <c r="J67" s="119"/>
      <c r="K67" s="119"/>
      <c r="L67" s="119">
        <f>ROUND(G67*$L$6,)</f>
        <v>0</v>
      </c>
      <c r="M67" s="119"/>
      <c r="N67" s="176"/>
      <c r="O67" s="169">
        <f>E67</f>
        <v>8480</v>
      </c>
      <c r="P67" s="137"/>
      <c r="Q67" s="176"/>
      <c r="R67" s="119"/>
      <c r="S67" s="119">
        <v>500000</v>
      </c>
      <c r="T67" s="184">
        <v>495000</v>
      </c>
      <c r="U67" s="97" t="s">
        <v>298</v>
      </c>
      <c r="V67" s="119"/>
    </row>
    <row r="68" spans="1:22" ht="39" customHeight="1" x14ac:dyDescent="0.3">
      <c r="A68" s="116">
        <v>52630</v>
      </c>
      <c r="B68" s="117"/>
      <c r="C68" s="114"/>
      <c r="D68" s="118"/>
      <c r="E68" s="119"/>
      <c r="F68" s="119"/>
      <c r="G68" s="119"/>
      <c r="H68" s="119"/>
      <c r="I68" s="119"/>
      <c r="J68" s="119"/>
      <c r="K68" s="119"/>
      <c r="L68" s="119"/>
      <c r="M68" s="119"/>
      <c r="N68" s="176"/>
      <c r="O68" s="169"/>
      <c r="P68" s="137"/>
      <c r="Q68" s="176"/>
      <c r="R68" s="119"/>
      <c r="S68" s="119">
        <v>500000</v>
      </c>
      <c r="T68" s="184">
        <v>495000</v>
      </c>
      <c r="U68" s="97" t="s">
        <v>343</v>
      </c>
      <c r="V68" s="119"/>
    </row>
    <row r="69" spans="1:22" ht="39" customHeight="1" x14ac:dyDescent="0.3">
      <c r="A69" s="116">
        <v>52630</v>
      </c>
      <c r="B69" s="117"/>
      <c r="C69" s="114"/>
      <c r="D69" s="118"/>
      <c r="E69" s="119"/>
      <c r="F69" s="119"/>
      <c r="G69" s="119"/>
      <c r="H69" s="119"/>
      <c r="I69" s="119"/>
      <c r="J69" s="119"/>
      <c r="K69" s="119"/>
      <c r="L69" s="119"/>
      <c r="M69" s="119"/>
      <c r="N69" s="176"/>
      <c r="O69" s="169"/>
      <c r="P69" s="137"/>
      <c r="Q69" s="176"/>
      <c r="R69" s="119"/>
      <c r="S69" s="119">
        <v>500000</v>
      </c>
      <c r="T69" s="184">
        <v>495000</v>
      </c>
      <c r="U69" s="97" t="s">
        <v>353</v>
      </c>
      <c r="V69" s="119"/>
    </row>
    <row r="70" spans="1:22" ht="39" customHeight="1" x14ac:dyDescent="0.3">
      <c r="A70" s="116">
        <v>52630</v>
      </c>
      <c r="B70" s="117"/>
      <c r="C70" s="114"/>
      <c r="D70" s="118"/>
      <c r="E70" s="119"/>
      <c r="F70" s="119"/>
      <c r="G70" s="119"/>
      <c r="H70" s="119"/>
      <c r="I70" s="119"/>
      <c r="J70" s="119"/>
      <c r="K70" s="119"/>
      <c r="L70" s="119"/>
      <c r="M70" s="119"/>
      <c r="N70" s="176"/>
      <c r="O70" s="169"/>
      <c r="P70" s="137"/>
      <c r="Q70" s="176"/>
      <c r="R70" s="119"/>
      <c r="S70" s="119">
        <v>700000</v>
      </c>
      <c r="T70" s="184">
        <v>693000</v>
      </c>
      <c r="U70" s="97" t="s">
        <v>357</v>
      </c>
      <c r="V70" s="119"/>
    </row>
    <row r="71" spans="1:22" ht="39" customHeight="1" x14ac:dyDescent="0.3">
      <c r="A71" s="116">
        <v>52630</v>
      </c>
      <c r="B71" s="117"/>
      <c r="C71" s="114"/>
      <c r="D71" s="118"/>
      <c r="E71" s="119"/>
      <c r="F71" s="119"/>
      <c r="G71" s="119"/>
      <c r="H71" s="119"/>
      <c r="I71" s="119"/>
      <c r="J71" s="119"/>
      <c r="K71" s="119"/>
      <c r="L71" s="119"/>
      <c r="M71" s="119"/>
      <c r="N71" s="176"/>
      <c r="O71" s="169"/>
      <c r="P71" s="137"/>
      <c r="Q71" s="176"/>
      <c r="R71" s="119"/>
      <c r="S71" s="119">
        <v>500000</v>
      </c>
      <c r="T71" s="184">
        <v>495000</v>
      </c>
      <c r="U71" s="97" t="s">
        <v>355</v>
      </c>
      <c r="V71" s="119"/>
    </row>
    <row r="72" spans="1:22" ht="24.9" customHeight="1" x14ac:dyDescent="0.3">
      <c r="A72" s="149"/>
      <c r="B72" s="123"/>
      <c r="C72" s="120"/>
      <c r="D72" s="144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43">
        <f>A72</f>
        <v>0</v>
      </c>
      <c r="Q72" s="177"/>
      <c r="R72" s="121"/>
      <c r="S72" s="121"/>
      <c r="T72" s="121"/>
      <c r="U72" s="127"/>
      <c r="V72" s="121"/>
    </row>
    <row r="73" spans="1:22" ht="30.75" customHeight="1" x14ac:dyDescent="0.3">
      <c r="A73" s="116">
        <v>52631</v>
      </c>
      <c r="B73" s="117" t="s">
        <v>40</v>
      </c>
      <c r="C73" s="114">
        <v>44904</v>
      </c>
      <c r="D73" s="118">
        <v>2</v>
      </c>
      <c r="E73" s="119">
        <f>3640000*20%</f>
        <v>728000</v>
      </c>
      <c r="F73" s="119">
        <v>255338.02</v>
      </c>
      <c r="G73" s="119">
        <f>ROUND(E73-F73,)</f>
        <v>472662</v>
      </c>
      <c r="H73" s="119">
        <f>ROUND(G73*$H$6,0)</f>
        <v>85079</v>
      </c>
      <c r="I73" s="119">
        <f>G73+H73</f>
        <v>557741</v>
      </c>
      <c r="J73" s="119">
        <f>ROUND(G73*$J$6,)</f>
        <v>4727</v>
      </c>
      <c r="K73" s="119">
        <f>ROUND(G73*$K$6,)</f>
        <v>23633</v>
      </c>
      <c r="L73" s="119">
        <f>ROUND(G73*$L$6,)</f>
        <v>0</v>
      </c>
      <c r="M73" s="119">
        <f>ROUND(G73*$M$6,)</f>
        <v>47266</v>
      </c>
      <c r="N73" s="174">
        <f>H73</f>
        <v>85079</v>
      </c>
      <c r="O73" s="119">
        <f>ROUND(I73-SUM(J73:N73),0)</f>
        <v>397036</v>
      </c>
      <c r="P73" s="137"/>
      <c r="Q73" s="176">
        <v>4251823</v>
      </c>
      <c r="R73" s="119">
        <f>Q73-SUM(S73:S87)</f>
        <v>-620935</v>
      </c>
      <c r="S73" s="119">
        <v>300000</v>
      </c>
      <c r="T73" s="119">
        <v>297000</v>
      </c>
      <c r="U73" s="97" t="s">
        <v>42</v>
      </c>
      <c r="V73" s="119">
        <f>SUM(O73:O87)-SUM(T73:T87)</f>
        <v>-3577362</v>
      </c>
    </row>
    <row r="74" spans="1:22" ht="26.25" customHeight="1" x14ac:dyDescent="0.3">
      <c r="A74" s="116">
        <v>52631</v>
      </c>
      <c r="B74" s="117" t="s">
        <v>40</v>
      </c>
      <c r="C74" s="114">
        <v>44955</v>
      </c>
      <c r="D74" s="118">
        <v>9</v>
      </c>
      <c r="E74" s="119">
        <f>3640000*20%</f>
        <v>728000</v>
      </c>
      <c r="F74" s="119">
        <v>221963.5</v>
      </c>
      <c r="G74" s="119">
        <f t="shared" ref="G74:G77" si="36">ROUND(E74-F74,)</f>
        <v>506037</v>
      </c>
      <c r="H74" s="119">
        <f>ROUND(G74*$H$6,0)</f>
        <v>91087</v>
      </c>
      <c r="I74" s="119">
        <f t="shared" ref="I74" si="37">G74+H74</f>
        <v>597124</v>
      </c>
      <c r="J74" s="119">
        <f>ROUND(G74*$J$6,)</f>
        <v>5060</v>
      </c>
      <c r="K74" s="119">
        <f>ROUND(G74*$K$6,)</f>
        <v>25302</v>
      </c>
      <c r="L74" s="119">
        <f>ROUND(G74*$L$6,)</f>
        <v>0</v>
      </c>
      <c r="M74" s="119">
        <f>ROUND(G74*$M$6,)</f>
        <v>50604</v>
      </c>
      <c r="N74" s="174">
        <f t="shared" ref="N74:N77" si="38">H74</f>
        <v>91087</v>
      </c>
      <c r="O74" s="119">
        <f t="shared" ref="O74" si="39">ROUND(I74-SUM(J74:N74),0)</f>
        <v>425071</v>
      </c>
      <c r="P74" s="137"/>
      <c r="Q74" s="176"/>
      <c r="R74" s="119"/>
      <c r="S74" s="119">
        <v>300000</v>
      </c>
      <c r="T74" s="119">
        <v>297000</v>
      </c>
      <c r="U74" s="97" t="s">
        <v>44</v>
      </c>
      <c r="V74" s="119"/>
    </row>
    <row r="75" spans="1:22" ht="24.9" customHeight="1" x14ac:dyDescent="0.3">
      <c r="A75" s="116">
        <v>52631</v>
      </c>
      <c r="B75" s="117" t="s">
        <v>29</v>
      </c>
      <c r="C75" s="114">
        <v>44958</v>
      </c>
      <c r="D75" s="118">
        <v>2</v>
      </c>
      <c r="E75" s="119">
        <f>H73</f>
        <v>85079</v>
      </c>
      <c r="F75" s="119"/>
      <c r="G75" s="119"/>
      <c r="H75" s="119"/>
      <c r="I75" s="119"/>
      <c r="J75" s="119"/>
      <c r="K75" s="119"/>
      <c r="L75" s="119"/>
      <c r="M75" s="119"/>
      <c r="N75" s="176"/>
      <c r="O75" s="169">
        <f>E75</f>
        <v>85079</v>
      </c>
      <c r="P75" s="137"/>
      <c r="Q75" s="176"/>
      <c r="R75" s="119"/>
      <c r="S75" s="119">
        <v>200000</v>
      </c>
      <c r="T75" s="119">
        <v>198000</v>
      </c>
      <c r="U75" s="97" t="s">
        <v>46</v>
      </c>
      <c r="V75" s="119"/>
    </row>
    <row r="76" spans="1:22" ht="24.9" customHeight="1" x14ac:dyDescent="0.3">
      <c r="A76" s="116">
        <v>52631</v>
      </c>
      <c r="B76" s="117" t="s">
        <v>29</v>
      </c>
      <c r="C76" s="114">
        <v>45000</v>
      </c>
      <c r="D76" s="118">
        <v>9</v>
      </c>
      <c r="E76" s="119">
        <v>91086</v>
      </c>
      <c r="F76" s="119"/>
      <c r="G76" s="119"/>
      <c r="H76" s="119"/>
      <c r="I76" s="119"/>
      <c r="J76" s="119"/>
      <c r="K76" s="119"/>
      <c r="L76" s="119"/>
      <c r="M76" s="119"/>
      <c r="N76" s="176"/>
      <c r="O76" s="169">
        <f>E76</f>
        <v>91086</v>
      </c>
      <c r="P76" s="137"/>
      <c r="Q76" s="176"/>
      <c r="R76" s="119"/>
      <c r="S76" s="119">
        <v>30106</v>
      </c>
      <c r="T76" s="119">
        <v>30106</v>
      </c>
      <c r="U76" s="97" t="s">
        <v>48</v>
      </c>
      <c r="V76" s="119"/>
    </row>
    <row r="77" spans="1:22" ht="34.5" customHeight="1" x14ac:dyDescent="0.3">
      <c r="A77" s="116">
        <v>52631</v>
      </c>
      <c r="B77" s="117" t="s">
        <v>40</v>
      </c>
      <c r="C77" s="114">
        <v>45031</v>
      </c>
      <c r="D77" s="118">
        <v>9</v>
      </c>
      <c r="E77" s="119">
        <f>(4251823*40%)-E73-E74</f>
        <v>244729.20000000019</v>
      </c>
      <c r="F77" s="119"/>
      <c r="G77" s="119">
        <f t="shared" si="36"/>
        <v>244729</v>
      </c>
      <c r="H77" s="119">
        <f>ROUND(G77*$H$6,0)</f>
        <v>44051</v>
      </c>
      <c r="I77" s="119">
        <f t="shared" ref="I77" si="40">G77+H77</f>
        <v>288780</v>
      </c>
      <c r="J77" s="119">
        <f>ROUND(G77*$J$6,)</f>
        <v>2447</v>
      </c>
      <c r="K77" s="119">
        <f>ROUND(G77*$K$6,)</f>
        <v>12236</v>
      </c>
      <c r="L77" s="119">
        <f>ROUND(G77*$L$6,)</f>
        <v>0</v>
      </c>
      <c r="M77" s="119">
        <f>ROUND(G77*$M$6,)</f>
        <v>24473</v>
      </c>
      <c r="N77" s="174">
        <f t="shared" si="38"/>
        <v>44051</v>
      </c>
      <c r="O77" s="119">
        <f t="shared" ref="O77" si="41">ROUND(I77-SUM(J77:N77),0)</f>
        <v>205573</v>
      </c>
      <c r="P77" s="137"/>
      <c r="Q77" s="176"/>
      <c r="R77" s="119"/>
      <c r="S77" s="119">
        <v>85079</v>
      </c>
      <c r="T77" s="119">
        <v>85079</v>
      </c>
      <c r="U77" s="97" t="s">
        <v>50</v>
      </c>
      <c r="V77" s="119"/>
    </row>
    <row r="78" spans="1:22" ht="24.9" customHeight="1" x14ac:dyDescent="0.3">
      <c r="A78" s="116">
        <v>52631</v>
      </c>
      <c r="B78" s="117" t="s">
        <v>29</v>
      </c>
      <c r="C78" s="114">
        <v>45172</v>
      </c>
      <c r="D78" s="118">
        <v>9</v>
      </c>
      <c r="E78" s="119">
        <v>44051</v>
      </c>
      <c r="F78" s="119"/>
      <c r="G78" s="119"/>
      <c r="H78" s="119"/>
      <c r="I78" s="119"/>
      <c r="J78" s="119"/>
      <c r="K78" s="119"/>
      <c r="L78" s="119"/>
      <c r="M78" s="119"/>
      <c r="N78" s="176"/>
      <c r="O78" s="169">
        <v>44051</v>
      </c>
      <c r="P78" s="137"/>
      <c r="Q78" s="176"/>
      <c r="R78" s="119"/>
      <c r="S78" s="119">
        <v>200000</v>
      </c>
      <c r="T78" s="119">
        <v>198000</v>
      </c>
      <c r="U78" s="97" t="s">
        <v>51</v>
      </c>
      <c r="V78" s="119"/>
    </row>
    <row r="79" spans="1:22" ht="24.9" customHeight="1" x14ac:dyDescent="0.3">
      <c r="A79" s="116">
        <v>52631</v>
      </c>
      <c r="B79" s="117"/>
      <c r="C79" s="114"/>
      <c r="D79" s="118"/>
      <c r="E79" s="119"/>
      <c r="F79" s="119"/>
      <c r="G79" s="119"/>
      <c r="H79" s="119"/>
      <c r="I79" s="119"/>
      <c r="J79" s="119"/>
      <c r="K79" s="119"/>
      <c r="L79" s="119"/>
      <c r="M79" s="119"/>
      <c r="N79" s="176"/>
      <c r="O79" s="119"/>
      <c r="P79" s="137"/>
      <c r="Q79" s="176"/>
      <c r="R79" s="119"/>
      <c r="S79" s="119">
        <v>7573</v>
      </c>
      <c r="T79" s="119">
        <v>7573</v>
      </c>
      <c r="U79" s="97" t="s">
        <v>53</v>
      </c>
      <c r="V79" s="119"/>
    </row>
    <row r="80" spans="1:22" ht="24.9" customHeight="1" x14ac:dyDescent="0.3">
      <c r="A80" s="116">
        <v>52631</v>
      </c>
      <c r="B80" s="117"/>
      <c r="C80" s="114"/>
      <c r="D80" s="118"/>
      <c r="E80" s="119"/>
      <c r="F80" s="119"/>
      <c r="G80" s="119"/>
      <c r="H80" s="119"/>
      <c r="I80" s="119"/>
      <c r="J80" s="119"/>
      <c r="K80" s="119"/>
      <c r="L80" s="119"/>
      <c r="M80" s="119"/>
      <c r="N80" s="176"/>
      <c r="O80" s="119"/>
      <c r="P80" s="137"/>
      <c r="Q80" s="176"/>
      <c r="R80" s="119"/>
      <c r="S80" s="119">
        <v>150000</v>
      </c>
      <c r="T80" s="119">
        <v>148500</v>
      </c>
      <c r="U80" s="97" t="s">
        <v>55</v>
      </c>
      <c r="V80" s="119"/>
    </row>
    <row r="81" spans="1:22" ht="24.9" customHeight="1" x14ac:dyDescent="0.3">
      <c r="A81" s="116">
        <v>52631</v>
      </c>
      <c r="B81" s="117"/>
      <c r="C81" s="114"/>
      <c r="D81" s="118"/>
      <c r="E81" s="119"/>
      <c r="F81" s="119"/>
      <c r="G81" s="119"/>
      <c r="H81" s="119"/>
      <c r="I81" s="119"/>
      <c r="J81" s="119"/>
      <c r="K81" s="119"/>
      <c r="L81" s="119"/>
      <c r="M81" s="119"/>
      <c r="N81" s="176"/>
      <c r="O81" s="119"/>
      <c r="P81" s="137"/>
      <c r="Q81" s="186"/>
      <c r="R81" s="97"/>
      <c r="S81" s="119">
        <v>500000</v>
      </c>
      <c r="T81" s="119">
        <v>495000</v>
      </c>
      <c r="U81" s="97" t="s">
        <v>280</v>
      </c>
      <c r="V81" s="119"/>
    </row>
    <row r="82" spans="1:22" ht="24.9" customHeight="1" x14ac:dyDescent="0.3">
      <c r="A82" s="116">
        <v>52631</v>
      </c>
      <c r="B82" s="117"/>
      <c r="C82" s="114"/>
      <c r="D82" s="118"/>
      <c r="E82" s="119"/>
      <c r="F82" s="119"/>
      <c r="G82" s="119"/>
      <c r="H82" s="119"/>
      <c r="I82" s="119"/>
      <c r="J82" s="119"/>
      <c r="K82" s="119"/>
      <c r="L82" s="119"/>
      <c r="M82" s="119"/>
      <c r="N82" s="176"/>
      <c r="O82" s="119"/>
      <c r="P82" s="137"/>
      <c r="Q82" s="186"/>
      <c r="R82" s="97"/>
      <c r="S82" s="119">
        <v>1000000</v>
      </c>
      <c r="T82" s="184">
        <v>990000</v>
      </c>
      <c r="U82" s="124" t="s">
        <v>288</v>
      </c>
      <c r="V82" s="119"/>
    </row>
    <row r="83" spans="1:22" ht="24.9" customHeight="1" x14ac:dyDescent="0.3">
      <c r="A83" s="116">
        <v>52631</v>
      </c>
      <c r="B83" s="117"/>
      <c r="C83" s="114"/>
      <c r="D83" s="118"/>
      <c r="E83" s="119"/>
      <c r="F83" s="119"/>
      <c r="G83" s="119"/>
      <c r="H83" s="119"/>
      <c r="I83" s="119"/>
      <c r="J83" s="119"/>
      <c r="K83" s="119"/>
      <c r="L83" s="119"/>
      <c r="M83" s="119"/>
      <c r="N83" s="176"/>
      <c r="O83" s="119"/>
      <c r="P83" s="137"/>
      <c r="Q83" s="186"/>
      <c r="R83" s="97"/>
      <c r="S83" s="119">
        <v>500000</v>
      </c>
      <c r="T83" s="184">
        <v>495000</v>
      </c>
      <c r="U83" s="124" t="s">
        <v>299</v>
      </c>
      <c r="V83" s="119"/>
    </row>
    <row r="84" spans="1:22" ht="24.9" customHeight="1" x14ac:dyDescent="0.3">
      <c r="A84" s="116">
        <v>52631</v>
      </c>
      <c r="B84" s="117"/>
      <c r="C84" s="114"/>
      <c r="D84" s="118"/>
      <c r="E84" s="119"/>
      <c r="F84" s="119"/>
      <c r="G84" s="119"/>
      <c r="H84" s="119"/>
      <c r="I84" s="119"/>
      <c r="J84" s="119"/>
      <c r="K84" s="119"/>
      <c r="L84" s="119"/>
      <c r="M84" s="119"/>
      <c r="N84" s="176"/>
      <c r="O84" s="119"/>
      <c r="P84" s="137"/>
      <c r="Q84" s="186"/>
      <c r="R84" s="97"/>
      <c r="S84" s="119">
        <v>300000</v>
      </c>
      <c r="T84" s="184">
        <v>297000</v>
      </c>
      <c r="U84" s="124" t="s">
        <v>323</v>
      </c>
      <c r="V84" s="119"/>
    </row>
    <row r="85" spans="1:22" ht="24.9" customHeight="1" x14ac:dyDescent="0.3">
      <c r="A85" s="116">
        <v>52631</v>
      </c>
      <c r="B85" s="117"/>
      <c r="C85" s="114"/>
      <c r="D85" s="118"/>
      <c r="E85" s="119"/>
      <c r="F85" s="119"/>
      <c r="G85" s="119"/>
      <c r="H85" s="119"/>
      <c r="I85" s="119"/>
      <c r="J85" s="119"/>
      <c r="K85" s="119"/>
      <c r="L85" s="119"/>
      <c r="M85" s="119"/>
      <c r="N85" s="176"/>
      <c r="O85" s="119"/>
      <c r="P85" s="137"/>
      <c r="Q85" s="186"/>
      <c r="R85" s="97"/>
      <c r="S85" s="119">
        <v>500000</v>
      </c>
      <c r="T85" s="184">
        <v>495000</v>
      </c>
      <c r="U85" s="124" t="s">
        <v>359</v>
      </c>
      <c r="V85" s="119"/>
    </row>
    <row r="86" spans="1:22" ht="24.9" customHeight="1" x14ac:dyDescent="0.3">
      <c r="A86" s="116">
        <v>52631</v>
      </c>
      <c r="B86" s="117"/>
      <c r="C86" s="114"/>
      <c r="D86" s="118"/>
      <c r="E86" s="119"/>
      <c r="F86" s="119"/>
      <c r="G86" s="119"/>
      <c r="H86" s="119"/>
      <c r="I86" s="119"/>
      <c r="J86" s="119"/>
      <c r="K86" s="119"/>
      <c r="L86" s="119"/>
      <c r="M86" s="119"/>
      <c r="N86" s="176"/>
      <c r="O86" s="119"/>
      <c r="P86" s="137"/>
      <c r="Q86" s="186"/>
      <c r="R86" s="97"/>
      <c r="S86" s="119">
        <v>300000</v>
      </c>
      <c r="T86" s="184">
        <v>297000</v>
      </c>
      <c r="U86" s="124" t="s">
        <v>358</v>
      </c>
      <c r="V86" s="119"/>
    </row>
    <row r="87" spans="1:22" ht="24.9" customHeight="1" x14ac:dyDescent="0.3">
      <c r="A87" s="116">
        <v>52631</v>
      </c>
      <c r="B87" s="117"/>
      <c r="C87" s="114"/>
      <c r="D87" s="118"/>
      <c r="E87" s="119"/>
      <c r="F87" s="119"/>
      <c r="G87" s="119"/>
      <c r="H87" s="119"/>
      <c r="I87" s="119"/>
      <c r="J87" s="119"/>
      <c r="K87" s="119"/>
      <c r="L87" s="119"/>
      <c r="M87" s="119"/>
      <c r="N87" s="176"/>
      <c r="O87" s="119"/>
      <c r="P87" s="137"/>
      <c r="Q87" s="186"/>
      <c r="R87" s="97"/>
      <c r="S87" s="119">
        <v>500000</v>
      </c>
      <c r="T87" s="184">
        <v>495000</v>
      </c>
      <c r="U87" s="124" t="s">
        <v>365</v>
      </c>
      <c r="V87" s="119"/>
    </row>
    <row r="88" spans="1:22" ht="24.9" customHeight="1" x14ac:dyDescent="0.3">
      <c r="A88" s="149"/>
      <c r="B88" s="123"/>
      <c r="C88" s="120"/>
      <c r="D88" s="144"/>
      <c r="E88" s="121"/>
      <c r="F88" s="121"/>
      <c r="G88" s="121"/>
      <c r="H88" s="121"/>
      <c r="I88" s="121"/>
      <c r="J88" s="121"/>
      <c r="K88" s="121"/>
      <c r="L88" s="121"/>
      <c r="M88" s="121"/>
      <c r="N88" s="177"/>
      <c r="O88" s="121"/>
      <c r="P88" s="143">
        <f>A88</f>
        <v>0</v>
      </c>
      <c r="Q88" s="177"/>
      <c r="R88" s="121"/>
      <c r="S88" s="121"/>
      <c r="T88" s="121"/>
      <c r="U88" s="127"/>
      <c r="V88" s="121"/>
    </row>
    <row r="89" spans="1:22" ht="24.9" customHeight="1" x14ac:dyDescent="0.3">
      <c r="A89" s="116">
        <v>52793</v>
      </c>
      <c r="B89" s="117" t="s">
        <v>56</v>
      </c>
      <c r="C89" s="114">
        <v>44914</v>
      </c>
      <c r="D89" s="118">
        <v>5</v>
      </c>
      <c r="E89" s="119">
        <f>3300000*20%</f>
        <v>660000</v>
      </c>
      <c r="F89" s="119">
        <v>197847</v>
      </c>
      <c r="G89" s="119">
        <f>ROUND(E89-F89,)</f>
        <v>462153</v>
      </c>
      <c r="H89" s="119">
        <f>ROUND(G89*$H$6,0)</f>
        <v>83188</v>
      </c>
      <c r="I89" s="119">
        <f>G89+H89</f>
        <v>545341</v>
      </c>
      <c r="J89" s="119">
        <f>ROUND(G89*$J$6,)</f>
        <v>4622</v>
      </c>
      <c r="K89" s="119">
        <f>ROUND(G89*$K$6,)</f>
        <v>23108</v>
      </c>
      <c r="L89" s="119">
        <f>ROUND(G89*$L$6,)</f>
        <v>0</v>
      </c>
      <c r="M89" s="119">
        <f>ROUND(G89*$M$6,)</f>
        <v>46215</v>
      </c>
      <c r="N89" s="174">
        <f>H89</f>
        <v>83188</v>
      </c>
      <c r="O89" s="119">
        <f>ROUND(I89-SUM(J89:N89),0)</f>
        <v>388208</v>
      </c>
      <c r="P89" s="137"/>
      <c r="Q89" s="176">
        <v>3960000</v>
      </c>
      <c r="R89" s="119">
        <f>Q89-SUM(S89:S98)</f>
        <v>-140000</v>
      </c>
      <c r="S89" s="119">
        <v>500000</v>
      </c>
      <c r="T89" s="119">
        <v>495000</v>
      </c>
      <c r="U89" s="97" t="s">
        <v>59</v>
      </c>
      <c r="V89" s="119">
        <f>SUM(O89:O98)-SUM(T89:T98)</f>
        <v>-3452964</v>
      </c>
    </row>
    <row r="90" spans="1:22" ht="24.9" customHeight="1" x14ac:dyDescent="0.3">
      <c r="A90" s="116">
        <v>52793</v>
      </c>
      <c r="B90" s="117" t="s">
        <v>29</v>
      </c>
      <c r="C90" s="114">
        <v>44958</v>
      </c>
      <c r="D90" s="118">
        <v>5</v>
      </c>
      <c r="E90" s="119">
        <f>H89</f>
        <v>83188</v>
      </c>
      <c r="F90" s="119"/>
      <c r="G90" s="119"/>
      <c r="H90" s="119"/>
      <c r="I90" s="119"/>
      <c r="J90" s="119"/>
      <c r="K90" s="119"/>
      <c r="L90" s="119"/>
      <c r="M90" s="119"/>
      <c r="N90" s="176"/>
      <c r="O90" s="169">
        <f>E90</f>
        <v>83188</v>
      </c>
      <c r="P90" s="137"/>
      <c r="Q90" s="176"/>
      <c r="R90" s="119"/>
      <c r="S90" s="119">
        <v>150000</v>
      </c>
      <c r="T90" s="119">
        <v>148500</v>
      </c>
      <c r="U90" s="97" t="s">
        <v>61</v>
      </c>
      <c r="V90" s="119"/>
    </row>
    <row r="91" spans="1:22" ht="24.9" customHeight="1" x14ac:dyDescent="0.3">
      <c r="A91" s="116">
        <v>52793</v>
      </c>
      <c r="B91" s="117"/>
      <c r="C91" s="114">
        <v>45031</v>
      </c>
      <c r="D91" s="118">
        <v>6</v>
      </c>
      <c r="E91" s="119">
        <f>3765301*20%-E89</f>
        <v>93060.20000000007</v>
      </c>
      <c r="F91" s="119"/>
      <c r="G91" s="119">
        <f>ROUND(E91-F91,)</f>
        <v>93060</v>
      </c>
      <c r="H91" s="119">
        <f>ROUND(G91*$H$6,0)</f>
        <v>16751</v>
      </c>
      <c r="I91" s="119">
        <f>G91+H91</f>
        <v>109811</v>
      </c>
      <c r="J91" s="119">
        <f>ROUND(G91*$J$6,)</f>
        <v>931</v>
      </c>
      <c r="K91" s="119">
        <f>ROUND(G91*$K$6,)</f>
        <v>4653</v>
      </c>
      <c r="L91" s="119">
        <f>ROUND(G91*$L$6,)</f>
        <v>0</v>
      </c>
      <c r="M91" s="119">
        <f>ROUND(G91*$M$6,)</f>
        <v>9306</v>
      </c>
      <c r="N91" s="174">
        <f>H91</f>
        <v>16751</v>
      </c>
      <c r="O91" s="119">
        <f>ROUND(I91-SUM(J91:N91),0)</f>
        <v>78170</v>
      </c>
      <c r="P91" s="137"/>
      <c r="Q91" s="176"/>
      <c r="R91" s="119"/>
      <c r="S91" s="119">
        <v>250000</v>
      </c>
      <c r="T91" s="119">
        <v>247500</v>
      </c>
      <c r="U91" s="119" t="s">
        <v>114</v>
      </c>
      <c r="V91" s="119"/>
    </row>
    <row r="92" spans="1:22" ht="24.9" customHeight="1" x14ac:dyDescent="0.3">
      <c r="A92" s="116">
        <v>52793</v>
      </c>
      <c r="B92" s="117" t="s">
        <v>29</v>
      </c>
      <c r="C92" s="114">
        <v>45172</v>
      </c>
      <c r="D92" s="118">
        <v>6</v>
      </c>
      <c r="E92" s="119">
        <v>16751</v>
      </c>
      <c r="F92" s="119"/>
      <c r="G92" s="119"/>
      <c r="H92" s="119"/>
      <c r="I92" s="119"/>
      <c r="J92" s="119"/>
      <c r="K92" s="119"/>
      <c r="L92" s="119"/>
      <c r="M92" s="119"/>
      <c r="N92" s="176"/>
      <c r="O92" s="169">
        <v>16751</v>
      </c>
      <c r="P92" s="137"/>
      <c r="Q92" s="176"/>
      <c r="R92" s="119"/>
      <c r="S92" s="119">
        <v>200000</v>
      </c>
      <c r="T92" s="119">
        <v>198000</v>
      </c>
      <c r="U92" s="119" t="s">
        <v>120</v>
      </c>
      <c r="V92" s="119"/>
    </row>
    <row r="93" spans="1:22" ht="24.9" customHeight="1" x14ac:dyDescent="0.3">
      <c r="A93" s="116">
        <v>52793</v>
      </c>
      <c r="B93" s="117" t="s">
        <v>56</v>
      </c>
      <c r="C93" s="114">
        <v>45142</v>
      </c>
      <c r="D93" s="168">
        <v>53201</v>
      </c>
      <c r="E93" s="119">
        <f>792000-555213.2</f>
        <v>236786.80000000005</v>
      </c>
      <c r="F93" s="119">
        <v>197847</v>
      </c>
      <c r="G93" s="119">
        <f>ROUND(E93-F93,)</f>
        <v>38940</v>
      </c>
      <c r="H93" s="119">
        <f>ROUND(G93*$H$6,0)</f>
        <v>7009</v>
      </c>
      <c r="I93" s="119">
        <f>G93+H93</f>
        <v>45949</v>
      </c>
      <c r="J93" s="119">
        <f>ROUND(G93*$J$6,)</f>
        <v>389</v>
      </c>
      <c r="K93" s="119">
        <f>ROUND(G93*$K$6,)</f>
        <v>1947</v>
      </c>
      <c r="L93" s="119">
        <f>ROUND(G93*$L$6,)</f>
        <v>0</v>
      </c>
      <c r="M93" s="119">
        <f>ROUND(G93*$M$6,)</f>
        <v>3894</v>
      </c>
      <c r="N93" s="174">
        <f>H93</f>
        <v>7009</v>
      </c>
      <c r="O93" s="119">
        <f>ROUND(I93-SUM(J93:N93),0)</f>
        <v>32710</v>
      </c>
      <c r="P93" s="137"/>
      <c r="Q93" s="176"/>
      <c r="R93" s="119"/>
      <c r="S93" s="119">
        <v>500000</v>
      </c>
      <c r="T93" s="119">
        <v>495000</v>
      </c>
      <c r="U93" s="119" t="s">
        <v>141</v>
      </c>
      <c r="V93" s="119"/>
    </row>
    <row r="94" spans="1:22" ht="24.9" customHeight="1" x14ac:dyDescent="0.3">
      <c r="A94" s="116">
        <v>52793</v>
      </c>
      <c r="B94" s="117" t="s">
        <v>29</v>
      </c>
      <c r="C94" s="114">
        <v>45260</v>
      </c>
      <c r="D94" s="118" t="s">
        <v>229</v>
      </c>
      <c r="E94" s="119">
        <f>N93</f>
        <v>7009</v>
      </c>
      <c r="F94" s="119"/>
      <c r="G94" s="119"/>
      <c r="H94" s="119"/>
      <c r="I94" s="119"/>
      <c r="J94" s="119"/>
      <c r="K94" s="119"/>
      <c r="L94" s="119"/>
      <c r="M94" s="119"/>
      <c r="N94" s="176"/>
      <c r="O94" s="169">
        <f>E94</f>
        <v>7009</v>
      </c>
      <c r="P94" s="137"/>
      <c r="Q94" s="186"/>
      <c r="R94" s="97"/>
      <c r="S94" s="119">
        <v>1000000</v>
      </c>
      <c r="T94" s="119">
        <v>990000</v>
      </c>
      <c r="U94" s="97" t="s">
        <v>281</v>
      </c>
      <c r="V94" s="119"/>
    </row>
    <row r="95" spans="1:22" ht="24.9" customHeight="1" x14ac:dyDescent="0.3">
      <c r="A95" s="116">
        <v>52793</v>
      </c>
      <c r="B95" s="129"/>
      <c r="C95" s="114"/>
      <c r="D95" s="118"/>
      <c r="E95" s="119"/>
      <c r="F95" s="119"/>
      <c r="G95" s="119"/>
      <c r="H95" s="119"/>
      <c r="I95" s="119"/>
      <c r="J95" s="119"/>
      <c r="K95" s="119"/>
      <c r="L95" s="119"/>
      <c r="M95" s="119"/>
      <c r="N95" s="176"/>
      <c r="O95" s="119"/>
      <c r="P95" s="137"/>
      <c r="Q95" s="186"/>
      <c r="R95" s="97"/>
      <c r="S95" s="119">
        <v>500000</v>
      </c>
      <c r="T95" s="184">
        <v>495000</v>
      </c>
      <c r="U95" s="97" t="s">
        <v>293</v>
      </c>
      <c r="V95" s="119"/>
    </row>
    <row r="96" spans="1:22" ht="24.9" customHeight="1" x14ac:dyDescent="0.3">
      <c r="A96" s="116">
        <v>52793</v>
      </c>
      <c r="B96" s="129"/>
      <c r="C96" s="114"/>
      <c r="D96" s="118"/>
      <c r="E96" s="119"/>
      <c r="F96" s="119"/>
      <c r="G96" s="119"/>
      <c r="H96" s="119"/>
      <c r="I96" s="119"/>
      <c r="J96" s="119"/>
      <c r="K96" s="119"/>
      <c r="L96" s="119"/>
      <c r="M96" s="119"/>
      <c r="N96" s="176"/>
      <c r="O96" s="119"/>
      <c r="P96" s="137"/>
      <c r="Q96" s="186"/>
      <c r="R96" s="97"/>
      <c r="S96" s="119">
        <v>400000</v>
      </c>
      <c r="T96" s="184">
        <v>396000</v>
      </c>
      <c r="U96" s="97" t="s">
        <v>348</v>
      </c>
      <c r="V96" s="119"/>
    </row>
    <row r="97" spans="1:22" ht="24.9" customHeight="1" x14ac:dyDescent="0.3">
      <c r="A97" s="116">
        <v>52793</v>
      </c>
      <c r="B97" s="129"/>
      <c r="C97" s="114"/>
      <c r="D97" s="118"/>
      <c r="E97" s="119"/>
      <c r="F97" s="119"/>
      <c r="G97" s="119"/>
      <c r="H97" s="119"/>
      <c r="I97" s="119"/>
      <c r="J97" s="119"/>
      <c r="K97" s="119"/>
      <c r="L97" s="119"/>
      <c r="M97" s="119"/>
      <c r="N97" s="176"/>
      <c r="O97" s="119"/>
      <c r="P97" s="137"/>
      <c r="Q97" s="186"/>
      <c r="R97" s="97"/>
      <c r="S97" s="119">
        <v>400000</v>
      </c>
      <c r="T97" s="184">
        <v>396000</v>
      </c>
      <c r="U97" s="97" t="s">
        <v>350</v>
      </c>
      <c r="V97" s="119"/>
    </row>
    <row r="98" spans="1:22" ht="24.9" customHeight="1" x14ac:dyDescent="0.3">
      <c r="A98" s="116">
        <v>52793</v>
      </c>
      <c r="B98" s="129"/>
      <c r="C98" s="114"/>
      <c r="D98" s="118"/>
      <c r="E98" s="119"/>
      <c r="F98" s="119"/>
      <c r="G98" s="119"/>
      <c r="H98" s="119"/>
      <c r="I98" s="119"/>
      <c r="J98" s="119"/>
      <c r="K98" s="119"/>
      <c r="L98" s="119"/>
      <c r="M98" s="119"/>
      <c r="N98" s="176"/>
      <c r="O98" s="119"/>
      <c r="P98" s="137"/>
      <c r="Q98" s="186"/>
      <c r="R98" s="97"/>
      <c r="S98" s="119">
        <v>200000</v>
      </c>
      <c r="T98" s="184">
        <v>198000</v>
      </c>
      <c r="U98" s="97" t="s">
        <v>360</v>
      </c>
      <c r="V98" s="119"/>
    </row>
    <row r="99" spans="1:22" ht="24.9" customHeight="1" x14ac:dyDescent="0.3">
      <c r="A99" s="149">
        <v>52794</v>
      </c>
      <c r="B99" s="123"/>
      <c r="C99" s="120"/>
      <c r="D99" s="144"/>
      <c r="E99" s="121"/>
      <c r="F99" s="121"/>
      <c r="G99" s="121"/>
      <c r="H99" s="121"/>
      <c r="I99" s="121"/>
      <c r="J99" s="121"/>
      <c r="K99" s="121"/>
      <c r="L99" s="121"/>
      <c r="M99" s="121"/>
      <c r="N99" s="177"/>
      <c r="O99" s="121"/>
      <c r="P99" s="143">
        <f>A99</f>
        <v>52794</v>
      </c>
      <c r="Q99" s="177"/>
      <c r="R99" s="121"/>
      <c r="S99" s="121"/>
      <c r="T99" s="121"/>
      <c r="U99" s="127"/>
      <c r="V99" s="121"/>
    </row>
    <row r="100" spans="1:22" ht="24.9" customHeight="1" x14ac:dyDescent="0.3">
      <c r="A100" s="116">
        <v>52794</v>
      </c>
      <c r="B100" s="117" t="s">
        <v>396</v>
      </c>
      <c r="C100" s="114">
        <v>45268</v>
      </c>
      <c r="D100" s="118">
        <v>1</v>
      </c>
      <c r="E100" s="119">
        <f>4080000*20%</f>
        <v>816000</v>
      </c>
      <c r="F100" s="119">
        <f>213984+87745</f>
        <v>301729</v>
      </c>
      <c r="G100" s="119">
        <f>ROUND(E100-F100,)</f>
        <v>514271</v>
      </c>
      <c r="H100" s="119">
        <f>ROUND(G100*$H$6,0)</f>
        <v>92569</v>
      </c>
      <c r="I100" s="119">
        <f>G100+H100</f>
        <v>606840</v>
      </c>
      <c r="J100" s="119">
        <f>ROUND(G100*$J$6,)</f>
        <v>5143</v>
      </c>
      <c r="K100" s="119">
        <f>ROUND(G100*$K$6,)</f>
        <v>25714</v>
      </c>
      <c r="L100" s="119">
        <f>ROUND(G100*$L$6,)</f>
        <v>0</v>
      </c>
      <c r="M100" s="119">
        <f>ROUND(G100*$M$6,)</f>
        <v>51427</v>
      </c>
      <c r="N100" s="174">
        <f>H100</f>
        <v>92569</v>
      </c>
      <c r="O100" s="119">
        <f>ROUND(I100-SUM(J100:N100),0)</f>
        <v>431987</v>
      </c>
      <c r="P100" s="137"/>
      <c r="Q100" s="176">
        <v>4840000</v>
      </c>
      <c r="R100" s="119">
        <f>Q100-SUM(S100:S112)</f>
        <v>-89556</v>
      </c>
      <c r="S100" s="119">
        <v>500000</v>
      </c>
      <c r="T100" s="119">
        <f>S100-1%*S100</f>
        <v>495000</v>
      </c>
      <c r="U100" s="124" t="s">
        <v>65</v>
      </c>
      <c r="V100" s="119">
        <f>SUM(O100:O112)-SUM(T100:T112)</f>
        <v>-4201960.22</v>
      </c>
    </row>
    <row r="101" spans="1:22" ht="24.9" customHeight="1" x14ac:dyDescent="0.3">
      <c r="A101" s="116">
        <v>52794</v>
      </c>
      <c r="B101" s="117" t="s">
        <v>29</v>
      </c>
      <c r="C101" s="114">
        <v>44958</v>
      </c>
      <c r="D101" s="118">
        <v>1</v>
      </c>
      <c r="E101" s="119">
        <v>92568.78</v>
      </c>
      <c r="F101" s="119"/>
      <c r="G101" s="119"/>
      <c r="H101" s="119"/>
      <c r="I101" s="119"/>
      <c r="J101" s="119"/>
      <c r="K101" s="119"/>
      <c r="L101" s="119"/>
      <c r="M101" s="119"/>
      <c r="N101" s="176"/>
      <c r="O101" s="119">
        <f>E101</f>
        <v>92568.78</v>
      </c>
      <c r="P101" s="137"/>
      <c r="Q101" s="176"/>
      <c r="R101" s="119"/>
      <c r="S101" s="119">
        <v>29556</v>
      </c>
      <c r="T101" s="119">
        <v>29556</v>
      </c>
      <c r="U101" s="97" t="s">
        <v>67</v>
      </c>
      <c r="V101" s="119"/>
    </row>
    <row r="102" spans="1:22" ht="24.9" customHeight="1" x14ac:dyDescent="0.3">
      <c r="A102" s="116">
        <v>52794</v>
      </c>
      <c r="B102" s="117" t="s">
        <v>396</v>
      </c>
      <c r="C102" s="114">
        <v>45031</v>
      </c>
      <c r="D102" s="118">
        <v>10</v>
      </c>
      <c r="E102" s="119">
        <f>(4643324*20%)-E100</f>
        <v>112664.80000000005</v>
      </c>
      <c r="F102" s="119"/>
      <c r="G102" s="119">
        <f>ROUND(E102-F102,)</f>
        <v>112665</v>
      </c>
      <c r="H102" s="119">
        <f>ROUND(G102*$H$6,0)</f>
        <v>20280</v>
      </c>
      <c r="I102" s="119">
        <f>G102+H102</f>
        <v>132945</v>
      </c>
      <c r="J102" s="119">
        <f>ROUND(G102*$J$6,)</f>
        <v>1127</v>
      </c>
      <c r="K102" s="119">
        <f>ROUND(G102*$K$6,)</f>
        <v>5633</v>
      </c>
      <c r="L102" s="119">
        <f>ROUND(G102*$L$6,)</f>
        <v>0</v>
      </c>
      <c r="M102" s="119">
        <f>ROUND(G102*$M$6,)</f>
        <v>11267</v>
      </c>
      <c r="N102" s="174">
        <f>H102</f>
        <v>20280</v>
      </c>
      <c r="O102" s="119">
        <f>ROUND(I102-SUM(J102:N102),0)</f>
        <v>94638</v>
      </c>
      <c r="P102" s="137"/>
      <c r="Q102" s="176"/>
      <c r="R102" s="119"/>
      <c r="S102" s="119">
        <v>100000</v>
      </c>
      <c r="T102" s="119">
        <v>100000</v>
      </c>
      <c r="U102" s="97" t="s">
        <v>68</v>
      </c>
      <c r="V102" s="119"/>
    </row>
    <row r="103" spans="1:22" ht="24.9" customHeight="1" x14ac:dyDescent="0.3">
      <c r="A103" s="116">
        <v>52794</v>
      </c>
      <c r="B103" s="117" t="s">
        <v>396</v>
      </c>
      <c r="C103" s="114">
        <v>45142</v>
      </c>
      <c r="D103" s="118" t="s">
        <v>230</v>
      </c>
      <c r="E103" s="119">
        <f>968000-626935</f>
        <v>341065</v>
      </c>
      <c r="F103" s="119">
        <v>301729</v>
      </c>
      <c r="G103" s="119">
        <f t="shared" ref="G103" si="42">ROUND(E103-F103,)</f>
        <v>39336</v>
      </c>
      <c r="H103" s="119">
        <f t="shared" ref="H103" si="43">ROUND(G103*$H$6,0)</f>
        <v>7080</v>
      </c>
      <c r="I103" s="119">
        <f t="shared" ref="I103" si="44">G103+H103</f>
        <v>46416</v>
      </c>
      <c r="J103" s="119">
        <f t="shared" ref="J103" si="45">ROUND(G103*$J$6,)</f>
        <v>393</v>
      </c>
      <c r="K103" s="119">
        <f t="shared" ref="K103" si="46">ROUND(G103*$K$6,)</f>
        <v>1967</v>
      </c>
      <c r="L103" s="119">
        <f t="shared" ref="L103" si="47">ROUND(G103*$L$6,)</f>
        <v>0</v>
      </c>
      <c r="M103" s="119">
        <f>ROUND(G103*$M$6,)</f>
        <v>3934</v>
      </c>
      <c r="N103" s="174">
        <f t="shared" ref="N103" si="48">H103</f>
        <v>7080</v>
      </c>
      <c r="O103" s="119">
        <f t="shared" ref="O103" si="49">ROUND(I103-SUM(J103:N103),0)</f>
        <v>33042</v>
      </c>
      <c r="P103" s="137"/>
      <c r="Q103" s="176"/>
      <c r="R103" s="119"/>
      <c r="S103" s="119">
        <v>200000</v>
      </c>
      <c r="T103" s="119">
        <f>S103-1%*S103</f>
        <v>198000</v>
      </c>
      <c r="U103" s="119" t="s">
        <v>110</v>
      </c>
      <c r="V103" s="119"/>
    </row>
    <row r="104" spans="1:22" ht="24.9" customHeight="1" x14ac:dyDescent="0.3">
      <c r="A104" s="116">
        <v>52794</v>
      </c>
      <c r="B104" s="117" t="s">
        <v>29</v>
      </c>
      <c r="C104" s="114">
        <v>45172</v>
      </c>
      <c r="D104" s="118">
        <v>10</v>
      </c>
      <c r="E104" s="119">
        <v>20280</v>
      </c>
      <c r="F104" s="119"/>
      <c r="G104" s="119"/>
      <c r="H104" s="119"/>
      <c r="I104" s="119"/>
      <c r="J104" s="119"/>
      <c r="K104" s="119"/>
      <c r="L104" s="119"/>
      <c r="M104" s="119"/>
      <c r="N104" s="176"/>
      <c r="O104" s="169">
        <f>E104</f>
        <v>20280</v>
      </c>
      <c r="P104" s="137"/>
      <c r="Q104" s="176"/>
      <c r="R104" s="119"/>
      <c r="S104" s="119">
        <v>200000</v>
      </c>
      <c r="T104" s="119">
        <v>198000</v>
      </c>
      <c r="U104" s="119" t="s">
        <v>121</v>
      </c>
      <c r="V104" s="119"/>
    </row>
    <row r="105" spans="1:22" ht="24.9" customHeight="1" x14ac:dyDescent="0.3">
      <c r="A105" s="116">
        <v>52794</v>
      </c>
      <c r="B105" s="117" t="s">
        <v>29</v>
      </c>
      <c r="C105" s="114">
        <v>45255</v>
      </c>
      <c r="D105" s="118" t="s">
        <v>230</v>
      </c>
      <c r="E105" s="119">
        <v>7080</v>
      </c>
      <c r="F105" s="119"/>
      <c r="G105" s="119"/>
      <c r="H105" s="119"/>
      <c r="I105" s="119"/>
      <c r="J105" s="119"/>
      <c r="K105" s="119"/>
      <c r="L105" s="119"/>
      <c r="M105" s="119"/>
      <c r="N105" s="176"/>
      <c r="O105" s="169">
        <f>E105</f>
        <v>7080</v>
      </c>
      <c r="P105" s="137"/>
      <c r="Q105" s="176"/>
      <c r="R105" s="119"/>
      <c r="S105" s="119">
        <v>1000000</v>
      </c>
      <c r="T105" s="119">
        <v>990000</v>
      </c>
      <c r="U105" s="119" t="s">
        <v>282</v>
      </c>
      <c r="V105" s="119"/>
    </row>
    <row r="106" spans="1:22" ht="24.9" customHeight="1" x14ac:dyDescent="0.3">
      <c r="A106" s="116">
        <v>52794</v>
      </c>
      <c r="B106" s="117"/>
      <c r="C106" s="114"/>
      <c r="D106" s="118"/>
      <c r="E106" s="119"/>
      <c r="F106" s="119"/>
      <c r="G106" s="119"/>
      <c r="H106" s="119"/>
      <c r="I106" s="119"/>
      <c r="J106" s="119"/>
      <c r="K106" s="119"/>
      <c r="L106" s="119"/>
      <c r="M106" s="119"/>
      <c r="N106" s="176"/>
      <c r="O106" s="176"/>
      <c r="P106" s="137"/>
      <c r="Q106" s="176"/>
      <c r="R106" s="119"/>
      <c r="S106" s="119">
        <v>500000</v>
      </c>
      <c r="T106" s="184">
        <v>495000</v>
      </c>
      <c r="U106" s="126" t="s">
        <v>292</v>
      </c>
      <c r="V106" s="119"/>
    </row>
    <row r="107" spans="1:22" ht="24.9" customHeight="1" x14ac:dyDescent="0.3">
      <c r="A107" s="116">
        <v>52794</v>
      </c>
      <c r="B107" s="117"/>
      <c r="C107" s="114"/>
      <c r="D107" s="118"/>
      <c r="E107" s="119"/>
      <c r="F107" s="119"/>
      <c r="G107" s="119"/>
      <c r="H107" s="119"/>
      <c r="I107" s="119"/>
      <c r="J107" s="119"/>
      <c r="K107" s="119"/>
      <c r="L107" s="119"/>
      <c r="M107" s="119"/>
      <c r="N107" s="176"/>
      <c r="O107" s="176"/>
      <c r="P107" s="137"/>
      <c r="Q107" s="176"/>
      <c r="R107" s="119"/>
      <c r="S107" s="119">
        <v>300000</v>
      </c>
      <c r="T107" s="184">
        <v>297000</v>
      </c>
      <c r="U107" s="126" t="s">
        <v>315</v>
      </c>
      <c r="V107" s="119"/>
    </row>
    <row r="108" spans="1:22" ht="24.9" customHeight="1" x14ac:dyDescent="0.3">
      <c r="A108" s="116">
        <v>52794</v>
      </c>
      <c r="B108" s="117"/>
      <c r="C108" s="114"/>
      <c r="D108" s="118"/>
      <c r="E108" s="119"/>
      <c r="F108" s="119"/>
      <c r="G108" s="119"/>
      <c r="H108" s="119"/>
      <c r="I108" s="119"/>
      <c r="J108" s="119"/>
      <c r="K108" s="119"/>
      <c r="L108" s="119"/>
      <c r="M108" s="119"/>
      <c r="N108" s="176"/>
      <c r="O108" s="176"/>
      <c r="P108" s="137"/>
      <c r="Q108" s="176"/>
      <c r="R108" s="119"/>
      <c r="S108" s="119">
        <v>500000</v>
      </c>
      <c r="T108" s="184">
        <v>495000</v>
      </c>
      <c r="U108" s="126" t="s">
        <v>324</v>
      </c>
      <c r="V108" s="119"/>
    </row>
    <row r="109" spans="1:22" ht="24.9" customHeight="1" x14ac:dyDescent="0.3">
      <c r="A109" s="116">
        <v>52794</v>
      </c>
      <c r="B109" s="117"/>
      <c r="C109" s="114"/>
      <c r="D109" s="118"/>
      <c r="E109" s="119"/>
      <c r="F109" s="119"/>
      <c r="G109" s="119"/>
      <c r="H109" s="119"/>
      <c r="I109" s="119"/>
      <c r="J109" s="119"/>
      <c r="K109" s="119"/>
      <c r="L109" s="119"/>
      <c r="M109" s="119"/>
      <c r="N109" s="176"/>
      <c r="O109" s="176"/>
      <c r="P109" s="137"/>
      <c r="Q109" s="176"/>
      <c r="R109" s="119"/>
      <c r="S109" s="119">
        <v>500000</v>
      </c>
      <c r="T109" s="184">
        <v>495000</v>
      </c>
      <c r="U109" s="126" t="s">
        <v>344</v>
      </c>
      <c r="V109" s="119"/>
    </row>
    <row r="110" spans="1:22" ht="24.9" customHeight="1" x14ac:dyDescent="0.3">
      <c r="A110" s="116">
        <v>52794</v>
      </c>
      <c r="B110" s="117"/>
      <c r="C110" s="114"/>
      <c r="D110" s="118"/>
      <c r="E110" s="119"/>
      <c r="F110" s="119"/>
      <c r="G110" s="119"/>
      <c r="H110" s="119"/>
      <c r="I110" s="119"/>
      <c r="J110" s="119"/>
      <c r="K110" s="119"/>
      <c r="L110" s="119"/>
      <c r="M110" s="119"/>
      <c r="N110" s="176"/>
      <c r="O110" s="176"/>
      <c r="P110" s="137"/>
      <c r="Q110" s="176"/>
      <c r="R110" s="119"/>
      <c r="S110" s="119">
        <v>400000</v>
      </c>
      <c r="T110" s="184">
        <v>396000</v>
      </c>
      <c r="U110" s="126" t="s">
        <v>345</v>
      </c>
      <c r="V110" s="119"/>
    </row>
    <row r="111" spans="1:22" ht="24.9" customHeight="1" x14ac:dyDescent="0.3">
      <c r="A111" s="116">
        <v>52794</v>
      </c>
      <c r="B111" s="117"/>
      <c r="C111" s="114"/>
      <c r="D111" s="118"/>
      <c r="E111" s="119"/>
      <c r="F111" s="119"/>
      <c r="G111" s="119"/>
      <c r="H111" s="119"/>
      <c r="I111" s="119"/>
      <c r="J111" s="119"/>
      <c r="K111" s="119"/>
      <c r="L111" s="119"/>
      <c r="M111" s="119"/>
      <c r="N111" s="176"/>
      <c r="O111" s="176"/>
      <c r="P111" s="137"/>
      <c r="Q111" s="176"/>
      <c r="R111" s="119"/>
      <c r="S111" s="119">
        <v>400000</v>
      </c>
      <c r="T111" s="184">
        <v>396000</v>
      </c>
      <c r="U111" s="126" t="s">
        <v>349</v>
      </c>
      <c r="V111" s="119"/>
    </row>
    <row r="112" spans="1:22" ht="24.9" customHeight="1" x14ac:dyDescent="0.3">
      <c r="A112" s="116">
        <v>52794</v>
      </c>
      <c r="B112" s="117"/>
      <c r="C112" s="114"/>
      <c r="D112" s="118"/>
      <c r="E112" s="119"/>
      <c r="F112" s="119"/>
      <c r="G112" s="119"/>
      <c r="H112" s="119"/>
      <c r="I112" s="119"/>
      <c r="J112" s="119"/>
      <c r="K112" s="119"/>
      <c r="L112" s="119"/>
      <c r="M112" s="119"/>
      <c r="N112" s="176"/>
      <c r="O112" s="176"/>
      <c r="P112" s="137"/>
      <c r="Q112" s="176"/>
      <c r="R112" s="119"/>
      <c r="S112" s="119">
        <v>300000</v>
      </c>
      <c r="T112" s="184">
        <v>297000</v>
      </c>
      <c r="U112" s="126" t="s">
        <v>356</v>
      </c>
      <c r="V112" s="119"/>
    </row>
    <row r="113" spans="1:22" ht="24.9" customHeight="1" x14ac:dyDescent="0.3">
      <c r="A113" s="149">
        <v>52796</v>
      </c>
      <c r="B113" s="123"/>
      <c r="C113" s="120"/>
      <c r="D113" s="144"/>
      <c r="E113" s="121"/>
      <c r="F113" s="121"/>
      <c r="G113" s="121"/>
      <c r="H113" s="121"/>
      <c r="I113" s="121"/>
      <c r="J113" s="121"/>
      <c r="K113" s="121"/>
      <c r="L113" s="121"/>
      <c r="M113" s="121"/>
      <c r="N113" s="177"/>
      <c r="O113" s="121"/>
      <c r="P113" s="143">
        <f>A113</f>
        <v>52796</v>
      </c>
      <c r="Q113" s="177"/>
      <c r="R113" s="121"/>
      <c r="S113" s="121"/>
      <c r="T113" s="121"/>
      <c r="U113" s="127"/>
      <c r="V113" s="121"/>
    </row>
    <row r="114" spans="1:22" ht="24.9" customHeight="1" x14ac:dyDescent="0.3">
      <c r="A114" s="149">
        <v>52796</v>
      </c>
      <c r="B114" s="119" t="s">
        <v>397</v>
      </c>
      <c r="C114" s="119"/>
      <c r="D114" s="146"/>
      <c r="E114" s="119"/>
      <c r="F114" s="119"/>
      <c r="G114" s="119"/>
      <c r="H114" s="119"/>
      <c r="I114" s="119"/>
      <c r="J114" s="119"/>
      <c r="K114" s="119"/>
      <c r="L114" s="119"/>
      <c r="M114" s="119"/>
      <c r="N114" s="176"/>
      <c r="O114" s="119"/>
      <c r="P114" s="137"/>
      <c r="Q114" s="176"/>
      <c r="R114" s="119">
        <f>Q114-SUM(S114:S116)</f>
        <v>-1000000</v>
      </c>
      <c r="S114" s="119">
        <v>500000</v>
      </c>
      <c r="T114" s="119">
        <v>495000</v>
      </c>
      <c r="U114" s="97" t="s">
        <v>22</v>
      </c>
      <c r="V114" s="119">
        <f>SUM(O114:O116)-SUM(T114:T116)</f>
        <v>-990000</v>
      </c>
    </row>
    <row r="115" spans="1:22" ht="24.9" customHeight="1" x14ac:dyDescent="0.3">
      <c r="A115" s="149">
        <v>52796</v>
      </c>
      <c r="B115" s="119"/>
      <c r="C115" s="119"/>
      <c r="D115" s="146"/>
      <c r="E115" s="119"/>
      <c r="F115" s="119"/>
      <c r="G115" s="119"/>
      <c r="H115" s="119"/>
      <c r="I115" s="119"/>
      <c r="J115" s="119"/>
      <c r="K115" s="119"/>
      <c r="L115" s="119"/>
      <c r="M115" s="119"/>
      <c r="N115" s="176"/>
      <c r="O115" s="119"/>
      <c r="P115" s="137"/>
      <c r="Q115" s="176"/>
      <c r="R115" s="119"/>
      <c r="S115" s="119">
        <v>500000</v>
      </c>
      <c r="T115" s="184">
        <v>495000</v>
      </c>
      <c r="U115" s="97" t="s">
        <v>341</v>
      </c>
      <c r="V115" s="119"/>
    </row>
    <row r="116" spans="1:22" ht="24.9" customHeight="1" x14ac:dyDescent="0.3">
      <c r="A116" s="116"/>
      <c r="B116" s="119"/>
      <c r="C116" s="119"/>
      <c r="D116" s="146"/>
      <c r="E116" s="119"/>
      <c r="F116" s="119"/>
      <c r="G116" s="119"/>
      <c r="H116" s="119"/>
      <c r="I116" s="119"/>
      <c r="J116" s="119"/>
      <c r="K116" s="119"/>
      <c r="L116" s="119"/>
      <c r="M116" s="119"/>
      <c r="N116" s="176"/>
      <c r="O116" s="119"/>
      <c r="P116" s="137"/>
      <c r="Q116" s="176"/>
      <c r="R116" s="119"/>
      <c r="S116" s="119"/>
      <c r="T116" s="119"/>
      <c r="U116" s="97"/>
      <c r="V116" s="119"/>
    </row>
    <row r="117" spans="1:22" ht="24.9" customHeight="1" x14ac:dyDescent="0.3">
      <c r="A117" s="149"/>
      <c r="B117" s="123"/>
      <c r="C117" s="120"/>
      <c r="D117" s="144"/>
      <c r="E117" s="121"/>
      <c r="F117" s="121"/>
      <c r="G117" s="121"/>
      <c r="H117" s="121"/>
      <c r="I117" s="121"/>
      <c r="J117" s="121"/>
      <c r="K117" s="121"/>
      <c r="L117" s="121"/>
      <c r="M117" s="121"/>
      <c r="N117" s="177"/>
      <c r="O117" s="121"/>
      <c r="P117" s="143">
        <f>A117</f>
        <v>0</v>
      </c>
      <c r="Q117" s="177"/>
      <c r="R117" s="121"/>
      <c r="S117" s="121"/>
      <c r="T117" s="121"/>
      <c r="U117" s="127"/>
      <c r="V117" s="121"/>
    </row>
    <row r="118" spans="1:22" ht="24.9" customHeight="1" x14ac:dyDescent="0.3">
      <c r="A118" s="116">
        <v>53217</v>
      </c>
      <c r="B118" s="119" t="s">
        <v>398</v>
      </c>
      <c r="C118" s="131">
        <v>45126</v>
      </c>
      <c r="D118" s="164">
        <v>32188</v>
      </c>
      <c r="E118" s="119">
        <v>756000</v>
      </c>
      <c r="F118" s="119"/>
      <c r="G118" s="119">
        <v>756000</v>
      </c>
      <c r="H118" s="119">
        <f>G118*18%</f>
        <v>136080</v>
      </c>
      <c r="I118" s="119">
        <f>G118+H118</f>
        <v>892080</v>
      </c>
      <c r="J118" s="119">
        <f>G118*1%</f>
        <v>7560</v>
      </c>
      <c r="K118" s="119">
        <f>G118*5%</f>
        <v>37800</v>
      </c>
      <c r="L118" s="119"/>
      <c r="M118" s="119">
        <f>G118*10%</f>
        <v>75600</v>
      </c>
      <c r="N118" s="174">
        <f>G118*18%</f>
        <v>136080</v>
      </c>
      <c r="O118" s="119">
        <f>I118-SUM(J118:N118)</f>
        <v>635040</v>
      </c>
      <c r="P118" s="137"/>
      <c r="Q118" s="176">
        <v>3780000</v>
      </c>
      <c r="R118" s="119">
        <f>Q118-SUM(S118:S127)</f>
        <v>80000</v>
      </c>
      <c r="S118" s="119">
        <v>500000</v>
      </c>
      <c r="T118" s="119">
        <f>S118-1%*S118</f>
        <v>495000</v>
      </c>
      <c r="U118" s="119" t="s">
        <v>70</v>
      </c>
      <c r="V118" s="119">
        <f>SUM(O118:O127)-SUM(T118:T127)</f>
        <v>-2205724.2016000003</v>
      </c>
    </row>
    <row r="119" spans="1:22" ht="24.9" customHeight="1" x14ac:dyDescent="0.3">
      <c r="A119" s="116">
        <v>53217</v>
      </c>
      <c r="B119" s="119" t="s">
        <v>398</v>
      </c>
      <c r="C119" s="131">
        <v>45213</v>
      </c>
      <c r="D119" s="146" t="s">
        <v>231</v>
      </c>
      <c r="E119" s="119">
        <f>378000</f>
        <v>378000</v>
      </c>
      <c r="F119" s="119">
        <f>166456.36+9240</f>
        <v>175696.36</v>
      </c>
      <c r="G119" s="119">
        <f>E119-F119</f>
        <v>202303.64</v>
      </c>
      <c r="H119" s="119">
        <f>G119*18%</f>
        <v>36414.655200000001</v>
      </c>
      <c r="I119" s="119">
        <f>G119+H119</f>
        <v>238718.29520000002</v>
      </c>
      <c r="J119" s="119">
        <f>G119*1%</f>
        <v>2023.0364000000002</v>
      </c>
      <c r="K119" s="119">
        <f>G119*5%</f>
        <v>10115.182000000001</v>
      </c>
      <c r="L119" s="119"/>
      <c r="M119" s="119">
        <f>G119*10%</f>
        <v>20230.364000000001</v>
      </c>
      <c r="N119" s="174">
        <f>G119*18%</f>
        <v>36414.655200000001</v>
      </c>
      <c r="O119" s="119">
        <f>I119-SUM(J119:N119)</f>
        <v>169935.0576</v>
      </c>
      <c r="P119" s="137"/>
      <c r="Q119" s="176"/>
      <c r="R119" s="119"/>
      <c r="S119" s="119">
        <v>150000</v>
      </c>
      <c r="T119" s="119">
        <f t="shared" ref="T119:T121" si="50">S119-1%*S119</f>
        <v>148500</v>
      </c>
      <c r="U119" s="119" t="s">
        <v>147</v>
      </c>
      <c r="V119" s="119"/>
    </row>
    <row r="120" spans="1:22" ht="24.9" customHeight="1" x14ac:dyDescent="0.3">
      <c r="A120" s="116">
        <v>53217</v>
      </c>
      <c r="B120" s="117" t="s">
        <v>398</v>
      </c>
      <c r="C120" s="131">
        <v>45268</v>
      </c>
      <c r="D120" s="146" t="s">
        <v>232</v>
      </c>
      <c r="E120" s="119">
        <v>378000</v>
      </c>
      <c r="F120" s="119">
        <v>96375.92</v>
      </c>
      <c r="G120" s="119">
        <f>E120-F120</f>
        <v>281624.08</v>
      </c>
      <c r="H120" s="119">
        <f>G120*18%</f>
        <v>50692.3344</v>
      </c>
      <c r="I120" s="119">
        <f>G120+H120</f>
        <v>332316.41440000001</v>
      </c>
      <c r="J120" s="119">
        <f>G120*1%</f>
        <v>2816.2408</v>
      </c>
      <c r="K120" s="119">
        <f>G120*5%</f>
        <v>14081.204000000002</v>
      </c>
      <c r="L120" s="119"/>
      <c r="M120" s="119">
        <f>G120*10%</f>
        <v>28162.408000000003</v>
      </c>
      <c r="N120" s="174">
        <f>G120*18%</f>
        <v>50692.3344</v>
      </c>
      <c r="O120" s="119">
        <f t="shared" ref="O120" si="51">I120-SUM(J120:N120)</f>
        <v>236564.22719999999</v>
      </c>
      <c r="P120" s="137"/>
      <c r="Q120" s="176"/>
      <c r="R120" s="119"/>
      <c r="S120" s="119">
        <v>250000</v>
      </c>
      <c r="T120" s="119">
        <f t="shared" si="50"/>
        <v>247500</v>
      </c>
      <c r="U120" s="119" t="s">
        <v>152</v>
      </c>
      <c r="V120" s="119"/>
    </row>
    <row r="121" spans="1:22" ht="24.9" customHeight="1" x14ac:dyDescent="0.3">
      <c r="A121" s="116">
        <v>53217</v>
      </c>
      <c r="B121" s="117" t="s">
        <v>29</v>
      </c>
      <c r="C121" s="131"/>
      <c r="D121" s="146" t="s">
        <v>267</v>
      </c>
      <c r="E121" s="119">
        <f>N118+N119+N120</f>
        <v>223186.9896</v>
      </c>
      <c r="F121" s="119"/>
      <c r="G121" s="119"/>
      <c r="H121" s="119"/>
      <c r="I121" s="119"/>
      <c r="J121" s="119"/>
      <c r="K121" s="119"/>
      <c r="L121" s="119"/>
      <c r="M121" s="119"/>
      <c r="N121" s="176"/>
      <c r="O121" s="169">
        <f>E121</f>
        <v>223186.9896</v>
      </c>
      <c r="P121" s="137"/>
      <c r="Q121" s="176"/>
      <c r="R121" s="119"/>
      <c r="S121" s="119">
        <v>100000</v>
      </c>
      <c r="T121" s="119">
        <f t="shared" si="50"/>
        <v>99000</v>
      </c>
      <c r="U121" s="125" t="s">
        <v>160</v>
      </c>
      <c r="V121" s="119"/>
    </row>
    <row r="122" spans="1:22" ht="24.9" customHeight="1" x14ac:dyDescent="0.3">
      <c r="A122" s="116">
        <v>53217</v>
      </c>
      <c r="B122" s="117" t="s">
        <v>264</v>
      </c>
      <c r="C122" s="131">
        <v>45307</v>
      </c>
      <c r="D122" s="146">
        <v>167</v>
      </c>
      <c r="E122" s="119">
        <v>169166.2</v>
      </c>
      <c r="F122" s="119"/>
      <c r="G122" s="119">
        <f>E122-F122</f>
        <v>169166.2</v>
      </c>
      <c r="H122" s="119">
        <f>G122*18%</f>
        <v>30449.916000000001</v>
      </c>
      <c r="I122" s="119">
        <f>G122+H122</f>
        <v>199616.11600000001</v>
      </c>
      <c r="J122" s="119">
        <f>G122*1%</f>
        <v>1691.6620000000003</v>
      </c>
      <c r="K122" s="119">
        <f>G122*5%</f>
        <v>8458.3100000000013</v>
      </c>
      <c r="L122" s="119"/>
      <c r="M122" s="119">
        <f>G122*10%</f>
        <v>16916.620000000003</v>
      </c>
      <c r="N122" s="174">
        <f>G122*18%</f>
        <v>30449.916000000001</v>
      </c>
      <c r="O122" s="119">
        <f t="shared" ref="O122" si="52">I122-SUM(J122:N122)</f>
        <v>142099.60800000001</v>
      </c>
      <c r="P122" s="137"/>
      <c r="Q122" s="176"/>
      <c r="R122" s="119"/>
      <c r="S122" s="119">
        <v>500000</v>
      </c>
      <c r="T122" s="119">
        <v>475000</v>
      </c>
      <c r="U122" s="125" t="s">
        <v>210</v>
      </c>
      <c r="V122" s="119"/>
    </row>
    <row r="123" spans="1:22" ht="24.9" customHeight="1" x14ac:dyDescent="0.3">
      <c r="A123" s="116">
        <v>53217</v>
      </c>
      <c r="B123" s="117" t="s">
        <v>29</v>
      </c>
      <c r="C123" s="119"/>
      <c r="D123" s="146">
        <v>167</v>
      </c>
      <c r="E123" s="119">
        <f>N122</f>
        <v>30449.916000000001</v>
      </c>
      <c r="F123" s="119"/>
      <c r="G123" s="119"/>
      <c r="H123" s="119"/>
      <c r="I123" s="119"/>
      <c r="J123" s="119"/>
      <c r="K123" s="119"/>
      <c r="L123" s="119"/>
      <c r="M123" s="119"/>
      <c r="N123" s="176"/>
      <c r="O123" s="119">
        <f>E123</f>
        <v>30449.916000000001</v>
      </c>
      <c r="P123" s="137" t="s">
        <v>265</v>
      </c>
      <c r="Q123" s="176"/>
      <c r="R123" s="119"/>
      <c r="S123" s="119">
        <v>500000</v>
      </c>
      <c r="T123" s="119">
        <v>495000</v>
      </c>
      <c r="U123" s="125" t="s">
        <v>266</v>
      </c>
      <c r="V123" s="119"/>
    </row>
    <row r="124" spans="1:22" ht="24.9" customHeight="1" x14ac:dyDescent="0.3">
      <c r="A124" s="116">
        <v>53217</v>
      </c>
      <c r="B124" s="117"/>
      <c r="C124" s="119"/>
      <c r="D124" s="146"/>
      <c r="E124" s="119"/>
      <c r="F124" s="119"/>
      <c r="G124" s="119"/>
      <c r="H124" s="119"/>
      <c r="I124" s="119"/>
      <c r="J124" s="119"/>
      <c r="K124" s="119"/>
      <c r="L124" s="119"/>
      <c r="M124" s="119"/>
      <c r="N124" s="176"/>
      <c r="O124" s="119"/>
      <c r="P124" s="137"/>
      <c r="Q124" s="176"/>
      <c r="R124" s="119"/>
      <c r="S124" s="119">
        <v>300000</v>
      </c>
      <c r="T124" s="184">
        <v>297000</v>
      </c>
      <c r="U124" s="125" t="s">
        <v>285</v>
      </c>
      <c r="V124" s="119"/>
    </row>
    <row r="125" spans="1:22" ht="24.9" customHeight="1" x14ac:dyDescent="0.3">
      <c r="A125" s="116">
        <v>53217</v>
      </c>
      <c r="B125" s="117"/>
      <c r="C125" s="119"/>
      <c r="D125" s="146"/>
      <c r="E125" s="119"/>
      <c r="F125" s="119"/>
      <c r="G125" s="119"/>
      <c r="H125" s="119"/>
      <c r="I125" s="119"/>
      <c r="J125" s="119"/>
      <c r="K125" s="119"/>
      <c r="L125" s="119"/>
      <c r="M125" s="119"/>
      <c r="N125" s="176"/>
      <c r="O125" s="119"/>
      <c r="P125" s="137"/>
      <c r="Q125" s="176"/>
      <c r="R125" s="119"/>
      <c r="S125" s="119">
        <v>600000</v>
      </c>
      <c r="T125" s="184">
        <v>594000</v>
      </c>
      <c r="U125" s="125" t="s">
        <v>327</v>
      </c>
      <c r="V125" s="119"/>
    </row>
    <row r="126" spans="1:22" ht="24.9" customHeight="1" x14ac:dyDescent="0.3">
      <c r="A126" s="116">
        <v>53217</v>
      </c>
      <c r="B126" s="117"/>
      <c r="C126" s="119"/>
      <c r="D126" s="146"/>
      <c r="E126" s="119"/>
      <c r="F126" s="119"/>
      <c r="G126" s="119"/>
      <c r="H126" s="119"/>
      <c r="I126" s="119"/>
      <c r="J126" s="119"/>
      <c r="K126" s="119"/>
      <c r="L126" s="119"/>
      <c r="M126" s="119"/>
      <c r="N126" s="176"/>
      <c r="O126" s="119"/>
      <c r="P126" s="137"/>
      <c r="Q126" s="176"/>
      <c r="R126" s="119"/>
      <c r="S126" s="119">
        <v>500000</v>
      </c>
      <c r="T126" s="184">
        <v>495000</v>
      </c>
      <c r="U126" s="125" t="s">
        <v>340</v>
      </c>
      <c r="V126" s="119"/>
    </row>
    <row r="127" spans="1:22" ht="24.9" customHeight="1" x14ac:dyDescent="0.3">
      <c r="A127" s="116"/>
      <c r="B127" s="117"/>
      <c r="C127" s="119"/>
      <c r="D127" s="146"/>
      <c r="E127" s="119"/>
      <c r="F127" s="119"/>
      <c r="G127" s="119"/>
      <c r="H127" s="119"/>
      <c r="I127" s="119"/>
      <c r="J127" s="119"/>
      <c r="K127" s="119"/>
      <c r="L127" s="119"/>
      <c r="M127" s="119"/>
      <c r="N127" s="176"/>
      <c r="O127" s="119"/>
      <c r="P127" s="137"/>
      <c r="Q127" s="176"/>
      <c r="R127" s="119"/>
      <c r="S127" s="119">
        <v>300000</v>
      </c>
      <c r="T127" s="184">
        <v>297000</v>
      </c>
      <c r="U127" s="125" t="s">
        <v>369</v>
      </c>
      <c r="V127" s="119"/>
    </row>
    <row r="128" spans="1:22" ht="24.9" customHeight="1" x14ac:dyDescent="0.3">
      <c r="A128" s="149"/>
      <c r="B128" s="123"/>
      <c r="C128" s="120"/>
      <c r="D128" s="144"/>
      <c r="E128" s="121"/>
      <c r="F128" s="121"/>
      <c r="G128" s="121"/>
      <c r="H128" s="121"/>
      <c r="I128" s="121"/>
      <c r="J128" s="121"/>
      <c r="K128" s="121"/>
      <c r="L128" s="121"/>
      <c r="M128" s="121"/>
      <c r="N128" s="177"/>
      <c r="O128" s="121"/>
      <c r="P128" s="143">
        <f>A128</f>
        <v>0</v>
      </c>
      <c r="Q128" s="177"/>
      <c r="R128" s="121"/>
      <c r="S128" s="121"/>
      <c r="T128" s="121"/>
      <c r="U128" s="127"/>
      <c r="V128" s="121"/>
    </row>
    <row r="129" spans="1:22" ht="24.9" customHeight="1" x14ac:dyDescent="0.3">
      <c r="A129" s="116">
        <v>56007</v>
      </c>
      <c r="B129" s="117" t="s">
        <v>399</v>
      </c>
      <c r="C129" s="114">
        <v>45012</v>
      </c>
      <c r="D129" s="118">
        <v>28</v>
      </c>
      <c r="E129" s="119">
        <f>4251823*10%</f>
        <v>425182.30000000005</v>
      </c>
      <c r="F129" s="119">
        <v>168709.9</v>
      </c>
      <c r="G129" s="119">
        <f>ROUND(E129-F129,)</f>
        <v>256472</v>
      </c>
      <c r="H129" s="119">
        <f>ROUND(G129*$H$6,0)</f>
        <v>46165</v>
      </c>
      <c r="I129" s="119">
        <f>G129+H129</f>
        <v>302637</v>
      </c>
      <c r="J129" s="119">
        <f>ROUND(G129*$J$6,)</f>
        <v>2565</v>
      </c>
      <c r="K129" s="119">
        <f>ROUND(G129*$K$6,)</f>
        <v>12824</v>
      </c>
      <c r="L129" s="119">
        <f>ROUND(G129*$L$6,)</f>
        <v>0</v>
      </c>
      <c r="M129" s="119">
        <f>ROUND(G129*$M$6,)</f>
        <v>25647</v>
      </c>
      <c r="N129" s="174">
        <f>H129</f>
        <v>46165</v>
      </c>
      <c r="O129" s="119">
        <f>ROUND(I129-SUM(J129:N129),0)</f>
        <v>215436</v>
      </c>
      <c r="P129" s="137"/>
      <c r="Q129" s="176">
        <v>4251823</v>
      </c>
      <c r="R129" s="119">
        <f>Q129-SUM(S129:S141)</f>
        <v>79234</v>
      </c>
      <c r="S129" s="119">
        <v>215436</v>
      </c>
      <c r="T129" s="119">
        <v>215436</v>
      </c>
      <c r="U129" s="97" t="s">
        <v>73</v>
      </c>
      <c r="V129" s="119">
        <f>SUM(O129:O141)-SUM(T129:T141)</f>
        <v>-2939168</v>
      </c>
    </row>
    <row r="130" spans="1:22" ht="24.9" customHeight="1" x14ac:dyDescent="0.3">
      <c r="A130" s="116">
        <v>56007</v>
      </c>
      <c r="B130" s="117" t="s">
        <v>399</v>
      </c>
      <c r="C130" s="114">
        <v>45031</v>
      </c>
      <c r="D130" s="118">
        <v>11</v>
      </c>
      <c r="E130" s="119">
        <v>425182.3</v>
      </c>
      <c r="F130" s="119"/>
      <c r="G130" s="119">
        <f>ROUND(E130-F130,)</f>
        <v>425182</v>
      </c>
      <c r="H130" s="119">
        <f>ROUND(G130*$H$6,0)</f>
        <v>76533</v>
      </c>
      <c r="I130" s="119">
        <f>G130+H130</f>
        <v>501715</v>
      </c>
      <c r="J130" s="119">
        <f>ROUND(G130*$J$6,)</f>
        <v>4252</v>
      </c>
      <c r="K130" s="119">
        <f>ROUND(G130*$K$6,)</f>
        <v>21259</v>
      </c>
      <c r="L130" s="119">
        <f>ROUND(G130*$L$6,)</f>
        <v>0</v>
      </c>
      <c r="M130" s="119">
        <f>ROUND(G130*$M$6,)</f>
        <v>42518</v>
      </c>
      <c r="N130" s="174">
        <f>H130</f>
        <v>76533</v>
      </c>
      <c r="O130" s="119">
        <f>ROUND(I130-SUM(J130:N130),0)</f>
        <v>357153</v>
      </c>
      <c r="P130" s="137"/>
      <c r="Q130" s="176"/>
      <c r="R130" s="119"/>
      <c r="S130" s="119">
        <v>357153</v>
      </c>
      <c r="T130" s="119">
        <v>357153</v>
      </c>
      <c r="U130" s="97" t="s">
        <v>75</v>
      </c>
      <c r="V130" s="119"/>
    </row>
    <row r="131" spans="1:22" ht="24.9" customHeight="1" x14ac:dyDescent="0.3">
      <c r="A131" s="116">
        <v>56007</v>
      </c>
      <c r="B131" s="117" t="s">
        <v>29</v>
      </c>
      <c r="C131" s="114"/>
      <c r="D131" s="118">
        <v>28</v>
      </c>
      <c r="E131" s="119">
        <v>46165</v>
      </c>
      <c r="F131" s="119"/>
      <c r="G131" s="119">
        <v>0</v>
      </c>
      <c r="H131" s="119">
        <v>0</v>
      </c>
      <c r="I131" s="119">
        <v>0</v>
      </c>
      <c r="J131" s="119">
        <v>0</v>
      </c>
      <c r="K131" s="119">
        <v>0</v>
      </c>
      <c r="L131" s="119">
        <v>0</v>
      </c>
      <c r="M131" s="119">
        <v>0</v>
      </c>
      <c r="N131" s="176">
        <v>0</v>
      </c>
      <c r="O131" s="169">
        <f>E131</f>
        <v>46165</v>
      </c>
      <c r="P131" s="137"/>
      <c r="Q131" s="176"/>
      <c r="R131" s="119"/>
      <c r="S131" s="119">
        <v>200000</v>
      </c>
      <c r="T131" s="119">
        <v>198000</v>
      </c>
      <c r="U131" s="119" t="s">
        <v>109</v>
      </c>
      <c r="V131" s="119"/>
    </row>
    <row r="132" spans="1:22" ht="24.9" customHeight="1" x14ac:dyDescent="0.3">
      <c r="A132" s="116">
        <v>56007</v>
      </c>
      <c r="B132" s="117" t="s">
        <v>29</v>
      </c>
      <c r="C132" s="114"/>
      <c r="D132" s="118">
        <v>11</v>
      </c>
      <c r="E132" s="119">
        <v>76533</v>
      </c>
      <c r="F132" s="119"/>
      <c r="G132" s="119">
        <v>0</v>
      </c>
      <c r="H132" s="119">
        <v>0</v>
      </c>
      <c r="I132" s="119">
        <v>0</v>
      </c>
      <c r="J132" s="119">
        <v>0</v>
      </c>
      <c r="K132" s="119">
        <v>0</v>
      </c>
      <c r="L132" s="119">
        <v>0</v>
      </c>
      <c r="M132" s="119">
        <v>0</v>
      </c>
      <c r="N132" s="176">
        <v>0</v>
      </c>
      <c r="O132" s="169">
        <f>E132</f>
        <v>76533</v>
      </c>
      <c r="P132" s="137"/>
      <c r="Q132" s="176"/>
      <c r="R132" s="119"/>
      <c r="S132" s="119">
        <v>200000</v>
      </c>
      <c r="T132" s="119">
        <v>198000</v>
      </c>
      <c r="U132" s="119" t="s">
        <v>133</v>
      </c>
      <c r="V132" s="119"/>
    </row>
    <row r="133" spans="1:22" ht="24.9" customHeight="1" x14ac:dyDescent="0.3">
      <c r="A133" s="116">
        <v>56007</v>
      </c>
      <c r="B133" s="117" t="s">
        <v>399</v>
      </c>
      <c r="C133" s="114">
        <v>45182</v>
      </c>
      <c r="D133" s="118" t="s">
        <v>234</v>
      </c>
      <c r="E133" s="119">
        <v>850364</v>
      </c>
      <c r="F133" s="119">
        <f>364076+6270</f>
        <v>370346</v>
      </c>
      <c r="G133" s="119">
        <f>ROUND(E133-F133,)</f>
        <v>480018</v>
      </c>
      <c r="H133" s="119">
        <f>ROUND(G133*$H$6,0)</f>
        <v>86403</v>
      </c>
      <c r="I133" s="119">
        <f>G133+H133</f>
        <v>566421</v>
      </c>
      <c r="J133" s="119">
        <f>ROUND(G133*$J$6,)</f>
        <v>4800</v>
      </c>
      <c r="K133" s="119">
        <f>ROUND(G133*$K$6,)</f>
        <v>24001</v>
      </c>
      <c r="L133" s="119">
        <f>ROUND(G133*$L$6,)</f>
        <v>0</v>
      </c>
      <c r="M133" s="119">
        <f>ROUND(G133*$M$6,)</f>
        <v>48002</v>
      </c>
      <c r="N133" s="174">
        <f>H133</f>
        <v>86403</v>
      </c>
      <c r="O133" s="119">
        <f>ROUND(I133-SUM(J133:N133),0)</f>
        <v>403215</v>
      </c>
      <c r="P133" s="137"/>
      <c r="Q133" s="176"/>
      <c r="R133" s="119"/>
      <c r="S133" s="119">
        <v>100000</v>
      </c>
      <c r="T133" s="119">
        <v>99000</v>
      </c>
      <c r="U133" s="97" t="s">
        <v>122</v>
      </c>
      <c r="V133" s="119"/>
    </row>
    <row r="134" spans="1:22" ht="24.9" customHeight="1" x14ac:dyDescent="0.3">
      <c r="A134" s="116">
        <v>56007</v>
      </c>
      <c r="B134" s="117" t="s">
        <v>29</v>
      </c>
      <c r="C134" s="114"/>
      <c r="D134" s="118" t="s">
        <v>234</v>
      </c>
      <c r="E134" s="119">
        <v>86403</v>
      </c>
      <c r="F134" s="119"/>
      <c r="G134" s="119">
        <v>0</v>
      </c>
      <c r="H134" s="119">
        <v>0</v>
      </c>
      <c r="I134" s="119">
        <v>0</v>
      </c>
      <c r="J134" s="119">
        <v>0</v>
      </c>
      <c r="K134" s="119">
        <v>0</v>
      </c>
      <c r="L134" s="119">
        <v>0</v>
      </c>
      <c r="M134" s="119">
        <v>0</v>
      </c>
      <c r="N134" s="176">
        <v>0</v>
      </c>
      <c r="O134" s="169">
        <f>E134</f>
        <v>86403</v>
      </c>
      <c r="P134" s="137"/>
      <c r="Q134" s="176"/>
      <c r="R134" s="119"/>
      <c r="S134" s="119">
        <v>100000</v>
      </c>
      <c r="T134" s="119">
        <v>99000</v>
      </c>
      <c r="U134" s="97" t="s">
        <v>159</v>
      </c>
      <c r="V134" s="119"/>
    </row>
    <row r="135" spans="1:22" ht="24.9" customHeight="1" x14ac:dyDescent="0.3">
      <c r="A135" s="116">
        <v>56007</v>
      </c>
      <c r="B135" s="117" t="s">
        <v>399</v>
      </c>
      <c r="C135" s="114">
        <v>45307</v>
      </c>
      <c r="D135" s="118" t="s">
        <v>268</v>
      </c>
      <c r="E135" s="119">
        <v>425182</v>
      </c>
      <c r="F135" s="119">
        <v>412911</v>
      </c>
      <c r="G135" s="119">
        <f>ROUND(E135-F135,)</f>
        <v>12271</v>
      </c>
      <c r="H135" s="119">
        <f>ROUND(G135*$H$6,0)</f>
        <v>2209</v>
      </c>
      <c r="I135" s="119">
        <f>G135+H135</f>
        <v>14480</v>
      </c>
      <c r="J135" s="119">
        <f>ROUND(G135*$J$6,)</f>
        <v>123</v>
      </c>
      <c r="K135" s="119">
        <f>ROUND(G135*$K$6,)</f>
        <v>614</v>
      </c>
      <c r="L135" s="119">
        <f>ROUND(G135*$L$6,)</f>
        <v>0</v>
      </c>
      <c r="M135" s="119">
        <f>ROUND(G135*$M$6,)</f>
        <v>1227</v>
      </c>
      <c r="N135" s="174">
        <f>H135</f>
        <v>2209</v>
      </c>
      <c r="O135" s="119">
        <f>ROUND(I135-SUM(J135:N135),0)</f>
        <v>10307</v>
      </c>
      <c r="P135" s="137"/>
      <c r="Q135" s="176"/>
      <c r="R135" s="119"/>
      <c r="S135" s="119">
        <v>500000</v>
      </c>
      <c r="T135" s="119">
        <v>495000</v>
      </c>
      <c r="U135" s="97" t="s">
        <v>222</v>
      </c>
      <c r="V135" s="119"/>
    </row>
    <row r="136" spans="1:22" ht="24.9" customHeight="1" x14ac:dyDescent="0.3">
      <c r="A136" s="116">
        <v>56007</v>
      </c>
      <c r="B136" s="117" t="s">
        <v>29</v>
      </c>
      <c r="C136" s="114"/>
      <c r="D136" s="118" t="s">
        <v>268</v>
      </c>
      <c r="E136" s="119">
        <f>N135</f>
        <v>2209</v>
      </c>
      <c r="F136" s="119"/>
      <c r="G136" s="119"/>
      <c r="H136" s="119"/>
      <c r="I136" s="119"/>
      <c r="J136" s="119"/>
      <c r="K136" s="119"/>
      <c r="L136" s="119"/>
      <c r="M136" s="119"/>
      <c r="N136" s="176"/>
      <c r="O136" s="169">
        <f>E136</f>
        <v>2209</v>
      </c>
      <c r="P136" s="137"/>
      <c r="Q136" s="176"/>
      <c r="R136" s="119"/>
      <c r="S136" s="119">
        <v>400000</v>
      </c>
      <c r="T136" s="184">
        <v>396000</v>
      </c>
      <c r="U136" s="97" t="s">
        <v>316</v>
      </c>
      <c r="V136" s="119"/>
    </row>
    <row r="137" spans="1:22" ht="24.9" customHeight="1" x14ac:dyDescent="0.3">
      <c r="A137" s="116">
        <v>56007</v>
      </c>
      <c r="B137" s="117"/>
      <c r="C137" s="114"/>
      <c r="D137" s="118"/>
      <c r="E137" s="119"/>
      <c r="F137" s="119"/>
      <c r="G137" s="119"/>
      <c r="H137" s="119"/>
      <c r="I137" s="119"/>
      <c r="J137" s="119"/>
      <c r="K137" s="119"/>
      <c r="L137" s="119"/>
      <c r="M137" s="119"/>
      <c r="N137" s="176"/>
      <c r="O137" s="169"/>
      <c r="P137" s="137"/>
      <c r="Q137" s="176"/>
      <c r="R137" s="119"/>
      <c r="S137" s="119">
        <v>800000</v>
      </c>
      <c r="T137" s="184">
        <v>792000</v>
      </c>
      <c r="U137" s="97" t="s">
        <v>326</v>
      </c>
      <c r="V137" s="119"/>
    </row>
    <row r="138" spans="1:22" ht="24.9" customHeight="1" x14ac:dyDescent="0.3">
      <c r="A138" s="116">
        <v>56007</v>
      </c>
      <c r="B138" s="117"/>
      <c r="C138" s="114"/>
      <c r="D138" s="118"/>
      <c r="E138" s="119"/>
      <c r="F138" s="119"/>
      <c r="G138" s="119"/>
      <c r="H138" s="119"/>
      <c r="I138" s="119"/>
      <c r="J138" s="119"/>
      <c r="K138" s="119"/>
      <c r="L138" s="119"/>
      <c r="M138" s="119"/>
      <c r="N138" s="176"/>
      <c r="O138" s="169"/>
      <c r="P138" s="137"/>
      <c r="Q138" s="176"/>
      <c r="R138" s="119"/>
      <c r="S138" s="119">
        <v>500000</v>
      </c>
      <c r="T138" s="184">
        <v>495000</v>
      </c>
      <c r="U138" s="97" t="s">
        <v>333</v>
      </c>
      <c r="V138" s="119"/>
    </row>
    <row r="139" spans="1:22" ht="24.9" customHeight="1" x14ac:dyDescent="0.3">
      <c r="A139" s="116">
        <v>56007</v>
      </c>
      <c r="B139" s="117"/>
      <c r="C139" s="114"/>
      <c r="D139" s="118"/>
      <c r="E139" s="119"/>
      <c r="F139" s="119"/>
      <c r="G139" s="119"/>
      <c r="H139" s="119"/>
      <c r="I139" s="119"/>
      <c r="J139" s="119"/>
      <c r="K139" s="119"/>
      <c r="L139" s="119"/>
      <c r="M139" s="119"/>
      <c r="N139" s="176"/>
      <c r="O139" s="169"/>
      <c r="P139" s="137"/>
      <c r="Q139" s="176"/>
      <c r="R139" s="119"/>
      <c r="S139" s="119">
        <v>200000</v>
      </c>
      <c r="T139" s="184">
        <v>198000</v>
      </c>
      <c r="U139" s="97" t="s">
        <v>339</v>
      </c>
      <c r="V139" s="119"/>
    </row>
    <row r="140" spans="1:22" ht="24.9" customHeight="1" x14ac:dyDescent="0.3">
      <c r="A140" s="116">
        <v>56007</v>
      </c>
      <c r="B140" s="117"/>
      <c r="C140" s="114"/>
      <c r="D140" s="118"/>
      <c r="E140" s="119"/>
      <c r="F140" s="119"/>
      <c r="G140" s="119"/>
      <c r="H140" s="119"/>
      <c r="I140" s="119"/>
      <c r="J140" s="119"/>
      <c r="K140" s="119"/>
      <c r="L140" s="119"/>
      <c r="M140" s="119"/>
      <c r="N140" s="176"/>
      <c r="O140" s="169"/>
      <c r="P140" s="137"/>
      <c r="Q140" s="176"/>
      <c r="R140" s="119"/>
      <c r="S140" s="119">
        <v>300000</v>
      </c>
      <c r="T140" s="184">
        <v>297000</v>
      </c>
      <c r="U140" s="97" t="s">
        <v>346</v>
      </c>
      <c r="V140" s="119"/>
    </row>
    <row r="141" spans="1:22" ht="24.9" customHeight="1" x14ac:dyDescent="0.3">
      <c r="A141" s="116">
        <v>56007</v>
      </c>
      <c r="B141" s="117"/>
      <c r="C141" s="114"/>
      <c r="D141" s="118"/>
      <c r="E141" s="119"/>
      <c r="F141" s="119"/>
      <c r="G141" s="119"/>
      <c r="H141" s="119"/>
      <c r="I141" s="119"/>
      <c r="J141" s="119"/>
      <c r="K141" s="119"/>
      <c r="L141" s="119"/>
      <c r="M141" s="119"/>
      <c r="N141" s="176"/>
      <c r="O141" s="169"/>
      <c r="P141" s="137"/>
      <c r="Q141" s="176"/>
      <c r="R141" s="119"/>
      <c r="S141" s="119">
        <v>300000</v>
      </c>
      <c r="T141" s="184">
        <v>297000</v>
      </c>
      <c r="U141" s="97" t="s">
        <v>371</v>
      </c>
      <c r="V141" s="119"/>
    </row>
    <row r="142" spans="1:22" ht="24.9" customHeight="1" x14ac:dyDescent="0.3">
      <c r="A142" s="149"/>
      <c r="B142" s="123"/>
      <c r="C142" s="120"/>
      <c r="D142" s="144"/>
      <c r="E142" s="121"/>
      <c r="F142" s="121"/>
      <c r="G142" s="121"/>
      <c r="H142" s="121"/>
      <c r="I142" s="121"/>
      <c r="J142" s="121"/>
      <c r="K142" s="121"/>
      <c r="L142" s="121"/>
      <c r="M142" s="121"/>
      <c r="N142" s="177"/>
      <c r="O142" s="121"/>
      <c r="P142" s="143">
        <f>A142</f>
        <v>0</v>
      </c>
      <c r="Q142" s="177"/>
      <c r="R142" s="121"/>
      <c r="S142" s="121"/>
      <c r="T142" s="121"/>
      <c r="U142" s="127"/>
      <c r="V142" s="121"/>
    </row>
    <row r="143" spans="1:22" ht="33" customHeight="1" x14ac:dyDescent="0.3">
      <c r="A143" s="116">
        <v>56009</v>
      </c>
      <c r="B143" s="117" t="s">
        <v>400</v>
      </c>
      <c r="C143" s="114">
        <v>45012</v>
      </c>
      <c r="D143" s="118">
        <v>27</v>
      </c>
      <c r="E143" s="119">
        <f>3097314*10%</f>
        <v>309731.40000000002</v>
      </c>
      <c r="F143" s="119">
        <v>231489.49</v>
      </c>
      <c r="G143" s="119">
        <f>ROUND(E143-F143,)</f>
        <v>78242</v>
      </c>
      <c r="H143" s="119">
        <f>ROUND(G143*$H$6,0)</f>
        <v>14084</v>
      </c>
      <c r="I143" s="119">
        <f>G143+H143</f>
        <v>92326</v>
      </c>
      <c r="J143" s="119">
        <f>ROUND(G143*$J$6,)</f>
        <v>782</v>
      </c>
      <c r="K143" s="119">
        <f>ROUND(G143*$K$6,)</f>
        <v>3912</v>
      </c>
      <c r="L143" s="119">
        <f>ROUND(G143*$L$6,)</f>
        <v>0</v>
      </c>
      <c r="M143" s="119">
        <f>ROUND(G143*$M$6,)</f>
        <v>7824</v>
      </c>
      <c r="N143" s="174">
        <f>H143</f>
        <v>14084</v>
      </c>
      <c r="O143" s="119">
        <f>ROUND(I143-SUM(J143:N143),0)</f>
        <v>65724</v>
      </c>
      <c r="P143" s="137"/>
      <c r="Q143" s="176">
        <v>3412500</v>
      </c>
      <c r="R143" s="119">
        <f>Q143-SUM(S143:S156)</f>
        <v>212500</v>
      </c>
      <c r="S143" s="119">
        <v>100000</v>
      </c>
      <c r="T143" s="119">
        <f>S143-1%*S143</f>
        <v>99000</v>
      </c>
      <c r="U143" s="97" t="s">
        <v>24</v>
      </c>
      <c r="V143" s="119">
        <f>SUM(O143:O156)-SUM(T143:T156)</f>
        <v>-2255810</v>
      </c>
    </row>
    <row r="144" spans="1:22" ht="36" customHeight="1" x14ac:dyDescent="0.3">
      <c r="A144" s="116">
        <v>56009</v>
      </c>
      <c r="B144" s="117" t="s">
        <v>400</v>
      </c>
      <c r="C144" s="114">
        <v>45016</v>
      </c>
      <c r="D144" s="118">
        <v>35</v>
      </c>
      <c r="E144" s="119">
        <f>(3097314*20%)-E143</f>
        <v>309731.40000000002</v>
      </c>
      <c r="F144" s="119">
        <v>0</v>
      </c>
      <c r="G144" s="119">
        <f>ROUND(E144-F144,)</f>
        <v>309731</v>
      </c>
      <c r="H144" s="119">
        <f>ROUND(G144*$H$6,0)</f>
        <v>55752</v>
      </c>
      <c r="I144" s="119">
        <f>G144+H144</f>
        <v>365483</v>
      </c>
      <c r="J144" s="119">
        <f>ROUND(G144*$J$6,)</f>
        <v>3097</v>
      </c>
      <c r="K144" s="119">
        <f>ROUND(G144*$K$6,)</f>
        <v>15487</v>
      </c>
      <c r="L144" s="119">
        <f>ROUND(G144*$L$6,)</f>
        <v>0</v>
      </c>
      <c r="M144" s="119">
        <f>ROUND(G144*$M$6,)</f>
        <v>30973</v>
      </c>
      <c r="N144" s="174">
        <f>H144</f>
        <v>55752</v>
      </c>
      <c r="O144" s="119">
        <f>ROUND(I144-SUM(J144:N144),0)</f>
        <v>260174</v>
      </c>
      <c r="P144" s="138"/>
      <c r="Q144" s="176"/>
      <c r="R144" s="119"/>
      <c r="S144" s="119">
        <v>100000</v>
      </c>
      <c r="T144" s="119">
        <f t="shared" ref="T144:T146" si="53">S144-1%*S144</f>
        <v>99000</v>
      </c>
      <c r="U144" s="97" t="s">
        <v>26</v>
      </c>
      <c r="V144" s="119"/>
    </row>
    <row r="145" spans="1:22" ht="31.5" customHeight="1" x14ac:dyDescent="0.3">
      <c r="A145" s="116">
        <v>56009</v>
      </c>
      <c r="B145" s="117" t="s">
        <v>400</v>
      </c>
      <c r="C145" s="130">
        <v>45126</v>
      </c>
      <c r="D145" s="117" t="s">
        <v>236</v>
      </c>
      <c r="E145" s="117">
        <v>682500</v>
      </c>
      <c r="F145" s="117">
        <f>433586.02+10120-63037</f>
        <v>380669.02</v>
      </c>
      <c r="G145" s="117">
        <f>ROUND(E145-F145,)</f>
        <v>301831</v>
      </c>
      <c r="H145" s="117">
        <f>ROUND(G145*$H$6,0)</f>
        <v>54330</v>
      </c>
      <c r="I145" s="117">
        <f>G145+H145</f>
        <v>356161</v>
      </c>
      <c r="J145" s="117">
        <f>ROUND(G145*$J$6,)</f>
        <v>3018</v>
      </c>
      <c r="K145" s="117">
        <f>ROUND(G145*$K$6,)</f>
        <v>15092</v>
      </c>
      <c r="L145" s="117"/>
      <c r="M145" s="117">
        <f>ROUND(G145*$M$6,)</f>
        <v>30183</v>
      </c>
      <c r="N145" s="180">
        <f>H145</f>
        <v>54330</v>
      </c>
      <c r="O145" s="119">
        <f>ROUND(I145-SUM(J145:N145),0)</f>
        <v>253538</v>
      </c>
      <c r="P145" s="137"/>
      <c r="Q145" s="176"/>
      <c r="R145" s="119"/>
      <c r="S145" s="119">
        <v>200000</v>
      </c>
      <c r="T145" s="119">
        <f t="shared" si="53"/>
        <v>198000</v>
      </c>
      <c r="U145" s="119" t="s">
        <v>118</v>
      </c>
      <c r="V145" s="119"/>
    </row>
    <row r="146" spans="1:22" ht="24.9" customHeight="1" x14ac:dyDescent="0.3">
      <c r="A146" s="116">
        <v>56009</v>
      </c>
      <c r="B146" s="117" t="s">
        <v>29</v>
      </c>
      <c r="C146" s="130"/>
      <c r="D146" s="117">
        <v>27</v>
      </c>
      <c r="E146" s="117">
        <v>14084</v>
      </c>
      <c r="F146" s="117"/>
      <c r="G146" s="117"/>
      <c r="H146" s="117"/>
      <c r="I146" s="117"/>
      <c r="J146" s="117"/>
      <c r="K146" s="117"/>
      <c r="L146" s="117"/>
      <c r="M146" s="117"/>
      <c r="N146" s="178"/>
      <c r="O146" s="169">
        <v>14084</v>
      </c>
      <c r="P146" s="137"/>
      <c r="Q146" s="176"/>
      <c r="R146" s="119"/>
      <c r="S146" s="119">
        <v>300000</v>
      </c>
      <c r="T146" s="119">
        <f t="shared" si="53"/>
        <v>297000</v>
      </c>
      <c r="U146" s="119" t="s">
        <v>161</v>
      </c>
      <c r="V146" s="119"/>
    </row>
    <row r="147" spans="1:22" ht="24.9" customHeight="1" x14ac:dyDescent="0.3">
      <c r="A147" s="116">
        <v>56009</v>
      </c>
      <c r="B147" s="117" t="s">
        <v>29</v>
      </c>
      <c r="C147" s="130"/>
      <c r="D147" s="117">
        <v>35</v>
      </c>
      <c r="E147" s="117">
        <v>55752</v>
      </c>
      <c r="F147" s="117"/>
      <c r="G147" s="117"/>
      <c r="H147" s="117"/>
      <c r="I147" s="117"/>
      <c r="J147" s="117"/>
      <c r="K147" s="117"/>
      <c r="L147" s="117"/>
      <c r="M147" s="117"/>
      <c r="N147" s="178"/>
      <c r="O147" s="169">
        <v>55752</v>
      </c>
      <c r="P147" s="137"/>
      <c r="Q147" s="176"/>
      <c r="R147" s="119"/>
      <c r="S147" s="119">
        <v>1000000</v>
      </c>
      <c r="T147" s="119">
        <v>950000</v>
      </c>
      <c r="U147" s="119" t="s">
        <v>214</v>
      </c>
      <c r="V147" s="119"/>
    </row>
    <row r="148" spans="1:22" ht="24.9" customHeight="1" x14ac:dyDescent="0.3">
      <c r="A148" s="116">
        <v>56009</v>
      </c>
      <c r="B148" s="117" t="s">
        <v>29</v>
      </c>
      <c r="C148" s="130"/>
      <c r="D148" s="117" t="s">
        <v>236</v>
      </c>
      <c r="E148" s="117">
        <v>54330</v>
      </c>
      <c r="F148" s="117"/>
      <c r="G148" s="117"/>
      <c r="H148" s="117"/>
      <c r="I148" s="117"/>
      <c r="J148" s="117"/>
      <c r="K148" s="117"/>
      <c r="L148" s="117"/>
      <c r="M148" s="117"/>
      <c r="N148" s="178"/>
      <c r="O148" s="169">
        <f>E148</f>
        <v>54330</v>
      </c>
      <c r="P148" s="137"/>
      <c r="Q148" s="176"/>
      <c r="R148" s="119"/>
      <c r="S148" s="119">
        <v>200000</v>
      </c>
      <c r="T148" s="184">
        <v>198000</v>
      </c>
      <c r="U148" s="119" t="s">
        <v>308</v>
      </c>
      <c r="V148" s="119"/>
    </row>
    <row r="149" spans="1:22" ht="24.9" customHeight="1" x14ac:dyDescent="0.3">
      <c r="A149" s="116">
        <v>56009</v>
      </c>
      <c r="B149" s="117" t="s">
        <v>400</v>
      </c>
      <c r="C149" s="130">
        <v>45237</v>
      </c>
      <c r="D149" s="117" t="s">
        <v>235</v>
      </c>
      <c r="E149" s="117">
        <v>341250</v>
      </c>
      <c r="F149" s="117">
        <v>316350</v>
      </c>
      <c r="G149" s="117">
        <f>ROUND(E149-F149,)</f>
        <v>24900</v>
      </c>
      <c r="H149" s="117">
        <f>ROUND(G149*$H$6,0)</f>
        <v>4482</v>
      </c>
      <c r="I149" s="117">
        <f>G149+H149</f>
        <v>29382</v>
      </c>
      <c r="J149" s="117">
        <f>ROUND(G149*$J$6,)</f>
        <v>249</v>
      </c>
      <c r="K149" s="117">
        <f>ROUND(G149*$K$6,)</f>
        <v>1245</v>
      </c>
      <c r="L149" s="117"/>
      <c r="M149" s="117">
        <f>ROUND(G149*$M$6,)</f>
        <v>2490</v>
      </c>
      <c r="N149" s="180">
        <f>H149</f>
        <v>4482</v>
      </c>
      <c r="O149" s="119">
        <f>ROUND(I149-SUM(J149:N149),0)</f>
        <v>20916</v>
      </c>
      <c r="P149" s="137"/>
      <c r="Q149" s="176"/>
      <c r="R149" s="119"/>
      <c r="S149" s="119">
        <v>500000</v>
      </c>
      <c r="T149" s="184">
        <v>495000</v>
      </c>
      <c r="U149" s="119" t="s">
        <v>325</v>
      </c>
      <c r="V149" s="119"/>
    </row>
    <row r="150" spans="1:22" ht="24.9" customHeight="1" x14ac:dyDescent="0.3">
      <c r="A150" s="116">
        <v>56009</v>
      </c>
      <c r="B150" s="117" t="s">
        <v>400</v>
      </c>
      <c r="C150" s="130">
        <v>45307</v>
      </c>
      <c r="D150" s="117" t="s">
        <v>269</v>
      </c>
      <c r="E150" s="117">
        <v>511875</v>
      </c>
      <c r="F150" s="117">
        <v>510547</v>
      </c>
      <c r="G150" s="117">
        <f>ROUND(E150-F150,)</f>
        <v>1328</v>
      </c>
      <c r="H150" s="117">
        <f>ROUND(G150*$H$6,0)</f>
        <v>239</v>
      </c>
      <c r="I150" s="117">
        <f>G150+H150</f>
        <v>1567</v>
      </c>
      <c r="J150" s="117">
        <f>ROUND(G150*$J$6,)</f>
        <v>13</v>
      </c>
      <c r="K150" s="117">
        <f>ROUND(G150*$K$6,)</f>
        <v>66</v>
      </c>
      <c r="L150" s="117"/>
      <c r="M150" s="117">
        <f>ROUND(G150*$M$6,)</f>
        <v>133</v>
      </c>
      <c r="N150" s="180">
        <f>H150</f>
        <v>239</v>
      </c>
      <c r="O150" s="119">
        <f>ROUND(I150-SUM(J150:N150),0)</f>
        <v>1116</v>
      </c>
      <c r="P150" s="137"/>
      <c r="Q150" s="176"/>
      <c r="R150" s="119"/>
      <c r="S150" s="119">
        <v>500000</v>
      </c>
      <c r="T150" s="184">
        <v>495000</v>
      </c>
      <c r="U150" s="119" t="s">
        <v>338</v>
      </c>
      <c r="V150" s="119"/>
    </row>
    <row r="151" spans="1:22" ht="24.9" customHeight="1" x14ac:dyDescent="0.3">
      <c r="A151" s="116">
        <v>56009</v>
      </c>
      <c r="B151" s="117" t="s">
        <v>264</v>
      </c>
      <c r="C151" s="130">
        <v>45307</v>
      </c>
      <c r="D151" s="117">
        <v>157</v>
      </c>
      <c r="E151" s="117">
        <v>139054.6</v>
      </c>
      <c r="F151" s="117"/>
      <c r="G151" s="117">
        <f>ROUND(E151-F151,)</f>
        <v>139055</v>
      </c>
      <c r="H151" s="117">
        <f>ROUND(G151*$H$6,0)</f>
        <v>25030</v>
      </c>
      <c r="I151" s="117">
        <f>G151+H151</f>
        <v>164085</v>
      </c>
      <c r="J151" s="117">
        <f>ROUND(G151*$J$6,)</f>
        <v>1391</v>
      </c>
      <c r="K151" s="117">
        <f>ROUND(G151*$K$6,)</f>
        <v>6953</v>
      </c>
      <c r="L151" s="117"/>
      <c r="M151" s="117">
        <f>ROUND(G151*$M$6,)</f>
        <v>13906</v>
      </c>
      <c r="N151" s="180">
        <f>H151</f>
        <v>25030</v>
      </c>
      <c r="O151" s="119">
        <f>ROUND(I151-SUM(J151:N151),0)</f>
        <v>116805</v>
      </c>
      <c r="P151" s="137"/>
      <c r="Q151" s="176"/>
      <c r="R151" s="119"/>
      <c r="S151" s="119">
        <v>300000</v>
      </c>
      <c r="T151" s="184">
        <v>297000</v>
      </c>
      <c r="U151" s="119" t="s">
        <v>347</v>
      </c>
      <c r="V151" s="119"/>
    </row>
    <row r="152" spans="1:22" ht="24.9" customHeight="1" x14ac:dyDescent="0.3">
      <c r="A152" s="116">
        <v>56009</v>
      </c>
      <c r="B152" s="117" t="s">
        <v>29</v>
      </c>
      <c r="C152" s="130"/>
      <c r="D152" s="117">
        <v>157</v>
      </c>
      <c r="E152" s="182">
        <f>N151</f>
        <v>25030</v>
      </c>
      <c r="F152" s="117"/>
      <c r="G152" s="117"/>
      <c r="H152" s="117"/>
      <c r="I152" s="117"/>
      <c r="J152" s="117"/>
      <c r="K152" s="117"/>
      <c r="L152" s="117"/>
      <c r="M152" s="117"/>
      <c r="N152" s="178"/>
      <c r="O152" s="169">
        <f>E152</f>
        <v>25030</v>
      </c>
      <c r="P152" s="137" t="s">
        <v>265</v>
      </c>
      <c r="Q152" s="176"/>
      <c r="R152" s="119"/>
      <c r="S152" s="119"/>
      <c r="T152" s="119"/>
      <c r="U152" s="119"/>
      <c r="V152" s="119"/>
    </row>
    <row r="153" spans="1:22" ht="24.9" customHeight="1" x14ac:dyDescent="0.3">
      <c r="A153" s="116">
        <v>56009</v>
      </c>
      <c r="B153" s="117" t="s">
        <v>29</v>
      </c>
      <c r="C153" s="130"/>
      <c r="D153" s="117">
        <v>11</v>
      </c>
      <c r="E153" s="182">
        <f>N149</f>
        <v>4482</v>
      </c>
      <c r="F153" s="117"/>
      <c r="G153" s="117"/>
      <c r="H153" s="117"/>
      <c r="I153" s="117"/>
      <c r="J153" s="117"/>
      <c r="K153" s="117"/>
      <c r="L153" s="117"/>
      <c r="M153" s="117"/>
      <c r="N153" s="178"/>
      <c r="O153" s="169">
        <f>E153</f>
        <v>4482</v>
      </c>
      <c r="P153" s="137"/>
      <c r="Q153" s="176"/>
      <c r="R153" s="119"/>
      <c r="S153" s="119"/>
      <c r="T153" s="119"/>
      <c r="U153" s="119"/>
      <c r="V153" s="119"/>
    </row>
    <row r="154" spans="1:22" ht="24.9" customHeight="1" x14ac:dyDescent="0.3">
      <c r="A154" s="116">
        <v>56009</v>
      </c>
      <c r="B154" s="117" t="s">
        <v>29</v>
      </c>
      <c r="C154" s="130"/>
      <c r="D154" s="117" t="s">
        <v>269</v>
      </c>
      <c r="E154" s="182">
        <f>N150</f>
        <v>239</v>
      </c>
      <c r="F154" s="117"/>
      <c r="G154" s="117"/>
      <c r="H154" s="117"/>
      <c r="I154" s="117"/>
      <c r="J154" s="117"/>
      <c r="K154" s="117"/>
      <c r="L154" s="117"/>
      <c r="M154" s="117"/>
      <c r="N154" s="178"/>
      <c r="O154" s="169">
        <f>E154</f>
        <v>239</v>
      </c>
      <c r="P154" s="137"/>
      <c r="Q154" s="176"/>
      <c r="R154" s="119"/>
      <c r="S154" s="119"/>
      <c r="T154" s="119"/>
      <c r="U154" s="119"/>
      <c r="V154" s="119"/>
    </row>
    <row r="155" spans="1:22" ht="24.9" customHeight="1" x14ac:dyDescent="0.3">
      <c r="A155" s="116"/>
      <c r="B155" s="117"/>
      <c r="C155" s="130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78"/>
      <c r="O155" s="119"/>
      <c r="P155" s="137"/>
      <c r="Q155" s="176"/>
      <c r="R155" s="119"/>
      <c r="S155" s="119"/>
      <c r="T155" s="119"/>
      <c r="U155" s="119"/>
      <c r="V155" s="119"/>
    </row>
    <row r="156" spans="1:22" ht="24.9" customHeight="1" x14ac:dyDescent="0.3">
      <c r="A156" s="116"/>
      <c r="B156" s="117"/>
      <c r="C156" s="130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78"/>
      <c r="O156" s="119"/>
      <c r="P156" s="137"/>
      <c r="Q156" s="176"/>
      <c r="R156" s="119"/>
      <c r="S156" s="119"/>
      <c r="T156" s="119"/>
      <c r="U156" s="119"/>
      <c r="V156" s="119"/>
    </row>
    <row r="157" spans="1:22" ht="24.9" customHeight="1" x14ac:dyDescent="0.3">
      <c r="A157" s="149"/>
      <c r="B157" s="123"/>
      <c r="C157" s="120"/>
      <c r="D157" s="144"/>
      <c r="E157" s="121"/>
      <c r="F157" s="121"/>
      <c r="G157" s="121"/>
      <c r="H157" s="121"/>
      <c r="I157" s="121"/>
      <c r="J157" s="121"/>
      <c r="K157" s="121"/>
      <c r="L157" s="121"/>
      <c r="M157" s="121"/>
      <c r="N157" s="177"/>
      <c r="O157" s="121"/>
      <c r="P157" s="143">
        <f>A157</f>
        <v>0</v>
      </c>
      <c r="Q157" s="177"/>
      <c r="R157" s="121"/>
      <c r="S157" s="121"/>
      <c r="T157" s="121"/>
      <c r="U157" s="127"/>
      <c r="V157" s="121"/>
    </row>
    <row r="158" spans="1:22" ht="24.9" customHeight="1" x14ac:dyDescent="0.3">
      <c r="A158" s="116">
        <v>59284</v>
      </c>
      <c r="B158" s="117" t="s">
        <v>401</v>
      </c>
      <c r="C158" s="114">
        <v>45183</v>
      </c>
      <c r="D158" s="168">
        <v>88230</v>
      </c>
      <c r="E158" s="119">
        <v>130500</v>
      </c>
      <c r="F158" s="119">
        <v>0</v>
      </c>
      <c r="G158" s="119">
        <f>ROUND(E158-F158,)</f>
        <v>130500</v>
      </c>
      <c r="H158" s="119">
        <f>ROUND(G158*$H$6,0)</f>
        <v>23490</v>
      </c>
      <c r="I158" s="119">
        <f>G158+H158</f>
        <v>153990</v>
      </c>
      <c r="J158" s="119">
        <f>ROUND(G158*$J$6,)</f>
        <v>1305</v>
      </c>
      <c r="K158" s="119">
        <f>ROUND(G158*$K$6,)</f>
        <v>6525</v>
      </c>
      <c r="L158" s="119">
        <f>ROUND(G158*$L$6,)</f>
        <v>0</v>
      </c>
      <c r="M158" s="119"/>
      <c r="N158" s="174">
        <f>H158</f>
        <v>23490</v>
      </c>
      <c r="O158" s="119">
        <f>ROUND(I158-SUM(J158:N158),0)</f>
        <v>122670</v>
      </c>
      <c r="P158" s="137"/>
      <c r="Q158" s="176">
        <v>2610000</v>
      </c>
      <c r="R158" s="119">
        <f>Q158-SUM(S158:S168)</f>
        <v>210000</v>
      </c>
      <c r="S158" s="119">
        <v>150000</v>
      </c>
      <c r="T158" s="119">
        <f>S158-1%*S158</f>
        <v>148500</v>
      </c>
      <c r="U158" s="126" t="s">
        <v>143</v>
      </c>
      <c r="V158" s="119">
        <f>SUM(O158:O168)-SUM(T158:T168)</f>
        <v>-1356999</v>
      </c>
    </row>
    <row r="159" spans="1:22" ht="24.9" customHeight="1" x14ac:dyDescent="0.3">
      <c r="A159" s="116">
        <v>59284</v>
      </c>
      <c r="B159" s="117" t="s">
        <v>401</v>
      </c>
      <c r="C159" s="114">
        <v>45222</v>
      </c>
      <c r="D159" s="118" t="s">
        <v>239</v>
      </c>
      <c r="E159" s="119">
        <v>261000</v>
      </c>
      <c r="F159" s="119">
        <v>148437</v>
      </c>
      <c r="G159" s="119">
        <f>ROUND(E159-F159,)</f>
        <v>112563</v>
      </c>
      <c r="H159" s="119">
        <f>ROUND(G159*$H$6,0)</f>
        <v>20261</v>
      </c>
      <c r="I159" s="119">
        <f>G159+H159</f>
        <v>132824</v>
      </c>
      <c r="J159" s="119">
        <f>ROUND(G159*$J$6,)</f>
        <v>1126</v>
      </c>
      <c r="K159" s="119">
        <f>ROUND(G159*$K$6,)</f>
        <v>5628</v>
      </c>
      <c r="L159" s="119">
        <f>ROUND(G159*$L$6,)</f>
        <v>0</v>
      </c>
      <c r="M159" s="119">
        <v>0</v>
      </c>
      <c r="N159" s="174">
        <f>H159</f>
        <v>20261</v>
      </c>
      <c r="O159" s="119">
        <f>ROUND(I159-SUM(J159:N159),0)</f>
        <v>105809</v>
      </c>
      <c r="P159" s="137"/>
      <c r="Q159" s="176"/>
      <c r="R159" s="119"/>
      <c r="S159" s="119">
        <v>150000</v>
      </c>
      <c r="T159" s="119">
        <f>S159-1%*S159</f>
        <v>148500</v>
      </c>
      <c r="U159" s="126" t="s">
        <v>157</v>
      </c>
      <c r="V159" s="119"/>
    </row>
    <row r="160" spans="1:22" ht="24.9" customHeight="1" x14ac:dyDescent="0.3">
      <c r="A160" s="116">
        <v>59284</v>
      </c>
      <c r="B160" s="117" t="s">
        <v>401</v>
      </c>
      <c r="C160" s="114">
        <v>45222</v>
      </c>
      <c r="D160" s="118" t="s">
        <v>238</v>
      </c>
      <c r="E160" s="119">
        <f>652500</f>
        <v>652500</v>
      </c>
      <c r="F160" s="119">
        <f>154644.168+19030</f>
        <v>173674.16800000001</v>
      </c>
      <c r="G160" s="119">
        <f>ROUND(E160-F160,)</f>
        <v>478826</v>
      </c>
      <c r="H160" s="119">
        <f>ROUND(G160*$H$6,0)</f>
        <v>86189</v>
      </c>
      <c r="I160" s="119">
        <f>G160+H160</f>
        <v>565015</v>
      </c>
      <c r="J160" s="119">
        <f>ROUND(G160*$J$6,)</f>
        <v>4788</v>
      </c>
      <c r="K160" s="119">
        <f>ROUND(G160*$K$6,)</f>
        <v>23941</v>
      </c>
      <c r="L160" s="119">
        <f>ROUND(G160*$L$6,)</f>
        <v>0</v>
      </c>
      <c r="M160" s="119">
        <v>0</v>
      </c>
      <c r="N160" s="174">
        <f>H160</f>
        <v>86189</v>
      </c>
      <c r="O160" s="119">
        <f>ROUND(I160-SUM(J160:N160),0)</f>
        <v>450097</v>
      </c>
      <c r="P160" s="137"/>
      <c r="Q160" s="176"/>
      <c r="R160" s="119"/>
      <c r="S160" s="119">
        <v>500000</v>
      </c>
      <c r="T160" s="119">
        <v>475000</v>
      </c>
      <c r="U160" s="126" t="s">
        <v>198</v>
      </c>
      <c r="V160" s="119"/>
    </row>
    <row r="161" spans="1:22" ht="24.9" customHeight="1" x14ac:dyDescent="0.3">
      <c r="A161" s="116">
        <v>59284</v>
      </c>
      <c r="B161" s="117" t="s">
        <v>29</v>
      </c>
      <c r="C161" s="114"/>
      <c r="D161" s="118" t="s">
        <v>238</v>
      </c>
      <c r="E161" s="119">
        <f>N160</f>
        <v>86189</v>
      </c>
      <c r="F161" s="119"/>
      <c r="G161" s="119"/>
      <c r="H161" s="119"/>
      <c r="I161" s="119"/>
      <c r="J161" s="119"/>
      <c r="K161" s="119"/>
      <c r="L161" s="119"/>
      <c r="M161" s="119"/>
      <c r="N161" s="176"/>
      <c r="O161" s="169">
        <f>E161</f>
        <v>86189</v>
      </c>
      <c r="P161" s="137"/>
      <c r="Q161" s="176"/>
      <c r="R161" s="119"/>
      <c r="S161" s="119">
        <v>500000</v>
      </c>
      <c r="T161" s="119">
        <v>475000</v>
      </c>
      <c r="U161" s="126" t="s">
        <v>209</v>
      </c>
      <c r="V161" s="119"/>
    </row>
    <row r="162" spans="1:22" ht="24.9" customHeight="1" x14ac:dyDescent="0.3">
      <c r="A162" s="116">
        <v>59284</v>
      </c>
      <c r="B162" s="117" t="s">
        <v>29</v>
      </c>
      <c r="C162" s="114"/>
      <c r="D162" s="118" t="s">
        <v>239</v>
      </c>
      <c r="E162" s="119">
        <f>N159</f>
        <v>20261</v>
      </c>
      <c r="F162" s="119"/>
      <c r="G162" s="119"/>
      <c r="H162" s="119"/>
      <c r="I162" s="119"/>
      <c r="J162" s="119"/>
      <c r="K162" s="119"/>
      <c r="L162" s="119"/>
      <c r="M162" s="119"/>
      <c r="N162" s="176"/>
      <c r="O162" s="169">
        <f>E162</f>
        <v>20261</v>
      </c>
      <c r="P162" s="137"/>
      <c r="Q162" s="176"/>
      <c r="R162" s="119"/>
      <c r="S162" s="119">
        <v>500000</v>
      </c>
      <c r="T162" s="119">
        <v>495000</v>
      </c>
      <c r="U162" s="126" t="s">
        <v>237</v>
      </c>
      <c r="V162" s="119"/>
    </row>
    <row r="163" spans="1:22" ht="24.9" customHeight="1" x14ac:dyDescent="0.3">
      <c r="A163" s="116">
        <v>59284</v>
      </c>
      <c r="B163" s="117" t="s">
        <v>29</v>
      </c>
      <c r="C163" s="114"/>
      <c r="D163" s="168">
        <v>88230</v>
      </c>
      <c r="E163" s="119">
        <f>N158</f>
        <v>23490</v>
      </c>
      <c r="F163" s="119"/>
      <c r="G163" s="119"/>
      <c r="H163" s="119"/>
      <c r="I163" s="119"/>
      <c r="J163" s="119"/>
      <c r="K163" s="119"/>
      <c r="L163" s="119"/>
      <c r="M163" s="119"/>
      <c r="N163" s="176"/>
      <c r="O163" s="169">
        <f>E163</f>
        <v>23490</v>
      </c>
      <c r="P163" s="137"/>
      <c r="Q163" s="176"/>
      <c r="R163" s="119"/>
      <c r="S163" s="119">
        <v>400000</v>
      </c>
      <c r="T163" s="119">
        <v>396000</v>
      </c>
      <c r="U163" s="126" t="s">
        <v>270</v>
      </c>
      <c r="V163" s="119"/>
    </row>
    <row r="164" spans="1:22" ht="24.9" customHeight="1" x14ac:dyDescent="0.3">
      <c r="A164" s="116">
        <v>59284</v>
      </c>
      <c r="B164" s="117" t="s">
        <v>264</v>
      </c>
      <c r="C164" s="114">
        <v>45307</v>
      </c>
      <c r="D164" s="118">
        <v>166</v>
      </c>
      <c r="E164" s="119">
        <v>152219.4</v>
      </c>
      <c r="F164" s="119"/>
      <c r="G164" s="119">
        <f>ROUND(E164-F164,)</f>
        <v>152219</v>
      </c>
      <c r="H164" s="119">
        <f>ROUND(G164*$H$6,0)</f>
        <v>27399</v>
      </c>
      <c r="I164" s="119">
        <f>G164+H164</f>
        <v>179618</v>
      </c>
      <c r="J164" s="119">
        <f>ROUND(G164*$J$6,)</f>
        <v>1522</v>
      </c>
      <c r="K164" s="119">
        <f>ROUND(G164*$K$6,)</f>
        <v>7611</v>
      </c>
      <c r="L164" s="119">
        <f>ROUND(G164*$L$6,)</f>
        <v>0</v>
      </c>
      <c r="M164" s="119">
        <v>0</v>
      </c>
      <c r="N164" s="174">
        <f>H164</f>
        <v>27399</v>
      </c>
      <c r="O164" s="119">
        <f>ROUND(I164-SUM(J164:N164),0)</f>
        <v>143086</v>
      </c>
      <c r="P164" s="137"/>
      <c r="Q164" s="176"/>
      <c r="R164" s="119"/>
      <c r="S164" s="119">
        <v>200000</v>
      </c>
      <c r="T164" s="184">
        <v>198000</v>
      </c>
      <c r="U164" s="126" t="s">
        <v>416</v>
      </c>
      <c r="V164" s="119"/>
    </row>
    <row r="165" spans="1:22" ht="24.9" customHeight="1" x14ac:dyDescent="0.3">
      <c r="A165" s="116">
        <v>59284</v>
      </c>
      <c r="B165" s="117" t="s">
        <v>29</v>
      </c>
      <c r="C165" s="114"/>
      <c r="D165" s="118">
        <v>166</v>
      </c>
      <c r="E165" s="119">
        <f>N164</f>
        <v>27399</v>
      </c>
      <c r="F165" s="119"/>
      <c r="G165" s="119"/>
      <c r="H165" s="119"/>
      <c r="I165" s="119"/>
      <c r="J165" s="119"/>
      <c r="K165" s="119"/>
      <c r="L165" s="119"/>
      <c r="M165" s="119"/>
      <c r="N165" s="176"/>
      <c r="O165" s="169">
        <f>E165</f>
        <v>27399</v>
      </c>
      <c r="P165" s="137" t="s">
        <v>265</v>
      </c>
      <c r="Q165" s="176"/>
      <c r="R165" s="119"/>
      <c r="S165" s="119"/>
      <c r="T165" s="119"/>
      <c r="U165" s="126"/>
      <c r="V165" s="119"/>
    </row>
    <row r="166" spans="1:22" ht="24.9" customHeight="1" x14ac:dyDescent="0.3">
      <c r="A166" s="116"/>
      <c r="B166" s="117"/>
      <c r="C166" s="114"/>
      <c r="D166" s="118"/>
      <c r="E166" s="119"/>
      <c r="F166" s="119"/>
      <c r="G166" s="119"/>
      <c r="H166" s="119"/>
      <c r="I166" s="119"/>
      <c r="J166" s="119"/>
      <c r="K166" s="119"/>
      <c r="L166" s="119"/>
      <c r="M166" s="119"/>
      <c r="N166" s="176"/>
      <c r="O166" s="119"/>
      <c r="P166" s="137"/>
      <c r="Q166" s="176"/>
      <c r="R166" s="119"/>
      <c r="S166" s="119"/>
      <c r="T166" s="119"/>
      <c r="U166" s="126"/>
      <c r="V166" s="119"/>
    </row>
    <row r="167" spans="1:22" ht="24.9" customHeight="1" x14ac:dyDescent="0.3">
      <c r="A167" s="116"/>
      <c r="B167" s="117"/>
      <c r="C167" s="114"/>
      <c r="D167" s="118"/>
      <c r="E167" s="119"/>
      <c r="F167" s="119"/>
      <c r="G167" s="119"/>
      <c r="H167" s="119"/>
      <c r="I167" s="119"/>
      <c r="J167" s="119"/>
      <c r="K167" s="119"/>
      <c r="L167" s="119"/>
      <c r="M167" s="119"/>
      <c r="N167" s="176"/>
      <c r="O167" s="119"/>
      <c r="P167" s="137"/>
      <c r="Q167" s="176"/>
      <c r="R167" s="119"/>
      <c r="S167" s="119"/>
      <c r="T167" s="119"/>
      <c r="U167" s="126"/>
      <c r="V167" s="119"/>
    </row>
    <row r="168" spans="1:22" ht="24.9" customHeight="1" x14ac:dyDescent="0.3">
      <c r="A168" s="116"/>
      <c r="B168" s="117"/>
      <c r="C168" s="114"/>
      <c r="D168" s="118"/>
      <c r="E168" s="119"/>
      <c r="F168" s="119"/>
      <c r="G168" s="119"/>
      <c r="H168" s="119"/>
      <c r="I168" s="119"/>
      <c r="J168" s="119"/>
      <c r="K168" s="119"/>
      <c r="L168" s="119"/>
      <c r="M168" s="119"/>
      <c r="N168" s="176"/>
      <c r="O168" s="119"/>
      <c r="P168" s="137"/>
      <c r="Q168" s="176"/>
      <c r="R168" s="119"/>
      <c r="S168" s="119"/>
      <c r="T168" s="119"/>
      <c r="U168" s="126"/>
      <c r="V168" s="119"/>
    </row>
    <row r="169" spans="1:22" ht="24.9" customHeight="1" x14ac:dyDescent="0.3">
      <c r="A169" s="149"/>
      <c r="B169" s="123"/>
      <c r="C169" s="120"/>
      <c r="D169" s="144"/>
      <c r="E169" s="121"/>
      <c r="F169" s="121"/>
      <c r="G169" s="121"/>
      <c r="H169" s="121"/>
      <c r="I169" s="121"/>
      <c r="J169" s="121"/>
      <c r="K169" s="121"/>
      <c r="L169" s="121"/>
      <c r="M169" s="121"/>
      <c r="N169" s="177"/>
      <c r="O169" s="121"/>
      <c r="P169" s="143">
        <f>A169</f>
        <v>0</v>
      </c>
      <c r="Q169" s="177"/>
      <c r="R169" s="121"/>
      <c r="S169" s="121"/>
      <c r="T169" s="121"/>
      <c r="U169" s="127"/>
      <c r="V169" s="121"/>
    </row>
    <row r="170" spans="1:22" ht="24.9" customHeight="1" x14ac:dyDescent="0.3">
      <c r="A170" s="116">
        <v>59285</v>
      </c>
      <c r="B170" s="117" t="s">
        <v>402</v>
      </c>
      <c r="C170" s="114">
        <v>45183</v>
      </c>
      <c r="D170" s="146" t="s">
        <v>242</v>
      </c>
      <c r="E170" s="119">
        <v>166500</v>
      </c>
      <c r="F170" s="119">
        <v>0</v>
      </c>
      <c r="G170" s="119">
        <f>ROUND(E170-F170,)</f>
        <v>166500</v>
      </c>
      <c r="H170" s="119">
        <f>ROUND(G170*$H$6,0)</f>
        <v>29970</v>
      </c>
      <c r="I170" s="119">
        <f>G170+H170</f>
        <v>196470</v>
      </c>
      <c r="J170" s="119">
        <f>ROUND(G170*$J$6,)</f>
        <v>1665</v>
      </c>
      <c r="K170" s="119">
        <f>ROUND(G170*$K$6,)</f>
        <v>8325</v>
      </c>
      <c r="L170" s="119">
        <f>ROUND(G170*$L$6,)</f>
        <v>0</v>
      </c>
      <c r="M170" s="119">
        <f>ROUND(G170*$M$6,)</f>
        <v>16650</v>
      </c>
      <c r="N170" s="174">
        <f>H170</f>
        <v>29970</v>
      </c>
      <c r="O170" s="119">
        <f>ROUND(I170-SUM(J170:N170),0)</f>
        <v>139860</v>
      </c>
      <c r="P170" s="137"/>
      <c r="Q170" s="176">
        <v>3330000</v>
      </c>
      <c r="R170" s="119">
        <f>Q170-SUM(S170:S179)</f>
        <v>230000</v>
      </c>
      <c r="S170" s="119">
        <v>200000</v>
      </c>
      <c r="T170" s="119">
        <f>S170-1%*S170</f>
        <v>198000</v>
      </c>
      <c r="U170" s="126" t="s">
        <v>144</v>
      </c>
      <c r="V170" s="119">
        <f>SUM(O170:O178)-SUM(T170:T179)</f>
        <v>-2462190</v>
      </c>
    </row>
    <row r="171" spans="1:22" ht="24.9" customHeight="1" x14ac:dyDescent="0.3">
      <c r="A171" s="116">
        <v>59285</v>
      </c>
      <c r="B171" s="117" t="s">
        <v>402</v>
      </c>
      <c r="C171" s="114">
        <v>45222</v>
      </c>
      <c r="D171" s="146" t="s">
        <v>241</v>
      </c>
      <c r="E171" s="119">
        <v>333000</v>
      </c>
      <c r="F171" s="119">
        <v>152205</v>
      </c>
      <c r="G171" s="119">
        <v>180795</v>
      </c>
      <c r="H171" s="119">
        <v>32543</v>
      </c>
      <c r="I171" s="119">
        <v>213338</v>
      </c>
      <c r="J171" s="119">
        <v>1808</v>
      </c>
      <c r="K171" s="119">
        <v>9040</v>
      </c>
      <c r="L171" s="119">
        <f>ROUND(G171*$L$6,)</f>
        <v>0</v>
      </c>
      <c r="M171" s="119"/>
      <c r="N171" s="174">
        <v>32543</v>
      </c>
      <c r="O171" s="119">
        <f>ROUND(I171-SUM(J171:N171),0)</f>
        <v>169947</v>
      </c>
      <c r="P171" s="137"/>
      <c r="Q171" s="176"/>
      <c r="R171" s="119"/>
      <c r="S171" s="119">
        <v>200000</v>
      </c>
      <c r="T171" s="119">
        <f>S171-1%*S171</f>
        <v>198000</v>
      </c>
      <c r="U171" s="126" t="s">
        <v>153</v>
      </c>
      <c r="V171" s="119"/>
    </row>
    <row r="172" spans="1:22" ht="24.9" customHeight="1" x14ac:dyDescent="0.3">
      <c r="A172" s="116">
        <v>59285</v>
      </c>
      <c r="B172" s="117" t="s">
        <v>97</v>
      </c>
      <c r="C172" s="114"/>
      <c r="D172" s="118" t="s">
        <v>242</v>
      </c>
      <c r="E172" s="119">
        <f>N170</f>
        <v>29970</v>
      </c>
      <c r="F172" s="119"/>
      <c r="G172" s="119"/>
      <c r="H172" s="119"/>
      <c r="I172" s="119"/>
      <c r="J172" s="119">
        <v>0</v>
      </c>
      <c r="K172" s="119">
        <v>0</v>
      </c>
      <c r="L172" s="119">
        <f t="shared" ref="L172" si="54">ROUND(G172*$L$6,)</f>
        <v>0</v>
      </c>
      <c r="M172" s="119">
        <v>0</v>
      </c>
      <c r="N172" s="176"/>
      <c r="O172" s="169">
        <f>E172</f>
        <v>29970</v>
      </c>
      <c r="P172" s="139"/>
      <c r="Q172" s="176"/>
      <c r="R172" s="119"/>
      <c r="S172" s="119">
        <v>200000</v>
      </c>
      <c r="T172" s="119">
        <v>198000</v>
      </c>
      <c r="U172" s="126" t="s">
        <v>194</v>
      </c>
      <c r="V172" s="119"/>
    </row>
    <row r="173" spans="1:22" ht="24.9" customHeight="1" x14ac:dyDescent="0.3">
      <c r="A173" s="116">
        <v>59285</v>
      </c>
      <c r="B173" s="117" t="s">
        <v>97</v>
      </c>
      <c r="C173" s="114"/>
      <c r="D173" s="146" t="s">
        <v>241</v>
      </c>
      <c r="E173" s="119">
        <f>N171</f>
        <v>32543</v>
      </c>
      <c r="F173" s="119"/>
      <c r="G173" s="119"/>
      <c r="H173" s="119"/>
      <c r="I173" s="119"/>
      <c r="J173" s="119"/>
      <c r="K173" s="119"/>
      <c r="L173" s="119"/>
      <c r="M173" s="119"/>
      <c r="N173" s="176"/>
      <c r="O173" s="169">
        <f>E173</f>
        <v>32543</v>
      </c>
      <c r="P173" s="139"/>
      <c r="Q173" s="176"/>
      <c r="R173" s="119"/>
      <c r="S173" s="119">
        <v>200000</v>
      </c>
      <c r="T173" s="119">
        <v>190000</v>
      </c>
      <c r="U173" s="126" t="s">
        <v>204</v>
      </c>
      <c r="V173" s="119"/>
    </row>
    <row r="174" spans="1:22" ht="24.9" customHeight="1" x14ac:dyDescent="0.3">
      <c r="A174" s="116">
        <v>59285</v>
      </c>
      <c r="B174" s="117" t="s">
        <v>264</v>
      </c>
      <c r="C174" s="114">
        <v>45307</v>
      </c>
      <c r="D174" s="118">
        <v>165</v>
      </c>
      <c r="E174" s="119">
        <v>181004.3</v>
      </c>
      <c r="F174" s="119"/>
      <c r="G174" s="119">
        <v>180795</v>
      </c>
      <c r="H174" s="119">
        <v>32543</v>
      </c>
      <c r="I174" s="119">
        <v>213338</v>
      </c>
      <c r="J174" s="119">
        <v>1808</v>
      </c>
      <c r="K174" s="119">
        <v>9040</v>
      </c>
      <c r="L174" s="119">
        <f>ROUND(G174*$L$6,)</f>
        <v>0</v>
      </c>
      <c r="M174" s="119"/>
      <c r="N174" s="174">
        <v>32543</v>
      </c>
      <c r="O174" s="119">
        <f>ROUND(I174-SUM(J174:N174),0)</f>
        <v>169947</v>
      </c>
      <c r="P174" s="139"/>
      <c r="Q174" s="176"/>
      <c r="R174" s="119"/>
      <c r="S174" s="119">
        <v>600000</v>
      </c>
      <c r="T174" s="119">
        <v>570000</v>
      </c>
      <c r="U174" s="126" t="s">
        <v>221</v>
      </c>
      <c r="V174" s="119"/>
    </row>
    <row r="175" spans="1:22" ht="24.9" customHeight="1" x14ac:dyDescent="0.3">
      <c r="A175" s="116">
        <v>59285</v>
      </c>
      <c r="B175" s="117" t="s">
        <v>97</v>
      </c>
      <c r="C175" s="114"/>
      <c r="D175" s="118">
        <v>165</v>
      </c>
      <c r="E175" s="119">
        <f>N174</f>
        <v>32543</v>
      </c>
      <c r="F175" s="119"/>
      <c r="G175" s="119"/>
      <c r="H175" s="119"/>
      <c r="I175" s="119"/>
      <c r="J175" s="119"/>
      <c r="K175" s="119"/>
      <c r="L175" s="119"/>
      <c r="M175" s="119"/>
      <c r="N175" s="176"/>
      <c r="O175" s="169">
        <f>E175</f>
        <v>32543</v>
      </c>
      <c r="P175" s="139" t="s">
        <v>265</v>
      </c>
      <c r="Q175" s="176"/>
      <c r="R175" s="119"/>
      <c r="S175" s="119">
        <v>500000</v>
      </c>
      <c r="T175" s="119">
        <v>495000</v>
      </c>
      <c r="U175" s="126" t="s">
        <v>240</v>
      </c>
      <c r="V175" s="119"/>
    </row>
    <row r="176" spans="1:22" ht="24.9" customHeight="1" x14ac:dyDescent="0.3">
      <c r="A176" s="116">
        <v>59285</v>
      </c>
      <c r="B176" s="117"/>
      <c r="C176" s="114"/>
      <c r="D176" s="118"/>
      <c r="E176" s="119"/>
      <c r="F176" s="119"/>
      <c r="G176" s="119"/>
      <c r="H176" s="119"/>
      <c r="I176" s="119"/>
      <c r="J176" s="119"/>
      <c r="K176" s="119"/>
      <c r="L176" s="119"/>
      <c r="M176" s="119"/>
      <c r="N176" s="176"/>
      <c r="O176" s="119"/>
      <c r="P176" s="139"/>
      <c r="Q176" s="176"/>
      <c r="R176" s="119"/>
      <c r="S176" s="119">
        <v>200000</v>
      </c>
      <c r="T176" s="119">
        <v>198000</v>
      </c>
      <c r="U176" s="126" t="s">
        <v>260</v>
      </c>
      <c r="V176" s="119"/>
    </row>
    <row r="177" spans="1:22" ht="24.9" customHeight="1" x14ac:dyDescent="0.3">
      <c r="A177" s="116">
        <v>59285</v>
      </c>
      <c r="B177" s="117"/>
      <c r="C177" s="114"/>
      <c r="D177" s="118"/>
      <c r="E177" s="119"/>
      <c r="F177" s="119"/>
      <c r="G177" s="119"/>
      <c r="H177" s="119"/>
      <c r="I177" s="119"/>
      <c r="J177" s="119"/>
      <c r="K177" s="119"/>
      <c r="L177" s="119"/>
      <c r="M177" s="119"/>
      <c r="N177" s="176"/>
      <c r="O177" s="119"/>
      <c r="P177" s="139"/>
      <c r="Q177" s="176"/>
      <c r="R177" s="119"/>
      <c r="S177" s="119">
        <v>500000</v>
      </c>
      <c r="T177" s="119">
        <v>495000</v>
      </c>
      <c r="U177" s="126" t="s">
        <v>286</v>
      </c>
      <c r="V177" s="119"/>
    </row>
    <row r="178" spans="1:22" ht="24.9" customHeight="1" x14ac:dyDescent="0.3">
      <c r="A178" s="116">
        <v>59285</v>
      </c>
      <c r="B178" s="117"/>
      <c r="C178" s="114"/>
      <c r="D178" s="118"/>
      <c r="E178" s="119"/>
      <c r="F178" s="119"/>
      <c r="G178" s="119"/>
      <c r="H178" s="119"/>
      <c r="I178" s="119"/>
      <c r="J178" s="119"/>
      <c r="K178" s="119"/>
      <c r="L178" s="119"/>
      <c r="M178" s="119"/>
      <c r="N178" s="176"/>
      <c r="O178" s="119"/>
      <c r="P178" s="139"/>
      <c r="Q178" s="176"/>
      <c r="R178" s="119"/>
      <c r="S178" s="119">
        <v>300000</v>
      </c>
      <c r="T178" s="184">
        <v>297000</v>
      </c>
      <c r="U178" s="126" t="s">
        <v>304</v>
      </c>
      <c r="V178" s="119"/>
    </row>
    <row r="179" spans="1:22" ht="24.9" customHeight="1" x14ac:dyDescent="0.3">
      <c r="A179" s="116">
        <v>59285</v>
      </c>
      <c r="B179" s="117"/>
      <c r="C179" s="114"/>
      <c r="D179" s="118"/>
      <c r="E179" s="119"/>
      <c r="F179" s="119"/>
      <c r="G179" s="119"/>
      <c r="H179" s="119"/>
      <c r="I179" s="119"/>
      <c r="J179" s="119"/>
      <c r="K179" s="119"/>
      <c r="L179" s="119"/>
      <c r="M179" s="119"/>
      <c r="N179" s="176"/>
      <c r="O179" s="119"/>
      <c r="P179" s="139"/>
      <c r="Q179" s="176"/>
      <c r="R179" s="119"/>
      <c r="S179" s="119">
        <v>200000</v>
      </c>
      <c r="T179" s="184">
        <v>198000</v>
      </c>
      <c r="U179" s="126" t="s">
        <v>332</v>
      </c>
      <c r="V179" s="119"/>
    </row>
    <row r="180" spans="1:22" ht="24.9" customHeight="1" x14ac:dyDescent="0.3">
      <c r="A180" s="149"/>
      <c r="B180" s="123"/>
      <c r="C180" s="120"/>
      <c r="D180" s="144"/>
      <c r="E180" s="121"/>
      <c r="F180" s="121"/>
      <c r="G180" s="121"/>
      <c r="H180" s="121"/>
      <c r="I180" s="121"/>
      <c r="J180" s="121"/>
      <c r="K180" s="121"/>
      <c r="L180" s="121"/>
      <c r="M180" s="121"/>
      <c r="N180" s="177"/>
      <c r="O180" s="121"/>
      <c r="P180" s="143">
        <f>A180</f>
        <v>0</v>
      </c>
      <c r="Q180" s="177"/>
      <c r="R180" s="121"/>
      <c r="S180" s="121"/>
      <c r="T180" s="121"/>
      <c r="U180" s="127"/>
      <c r="V180" s="121"/>
    </row>
    <row r="181" spans="1:22" ht="24.9" customHeight="1" x14ac:dyDescent="0.3">
      <c r="A181" s="116">
        <v>59286</v>
      </c>
      <c r="B181" s="117" t="s">
        <v>403</v>
      </c>
      <c r="C181" s="114">
        <v>45183</v>
      </c>
      <c r="D181" s="146" t="s">
        <v>246</v>
      </c>
      <c r="E181" s="119">
        <v>162000</v>
      </c>
      <c r="F181" s="119">
        <v>0</v>
      </c>
      <c r="G181" s="119">
        <f>ROUND(E181-F181,)</f>
        <v>162000</v>
      </c>
      <c r="H181" s="119">
        <f>ROUND(G181*$H$6,0)</f>
        <v>29160</v>
      </c>
      <c r="I181" s="119">
        <f>G181+H181</f>
        <v>191160</v>
      </c>
      <c r="J181" s="119">
        <f>ROUND(G181*$J$6,)</f>
        <v>1620</v>
      </c>
      <c r="K181" s="119">
        <f>ROUND(G181*$K$6,)</f>
        <v>8100</v>
      </c>
      <c r="L181" s="119">
        <f>ROUND(G181*$L$6,)</f>
        <v>0</v>
      </c>
      <c r="M181" s="119"/>
      <c r="N181" s="174">
        <f>H181</f>
        <v>29160</v>
      </c>
      <c r="O181" s="119">
        <f>ROUND(I181-SUM(J181:N181),0)</f>
        <v>152280</v>
      </c>
      <c r="P181" s="137"/>
      <c r="Q181" s="176">
        <v>3240000</v>
      </c>
      <c r="R181" s="119">
        <f>Q181-SUM(S181:S189)</f>
        <v>40000</v>
      </c>
      <c r="S181" s="119">
        <v>150000</v>
      </c>
      <c r="T181" s="119">
        <f>S181-1%*S181</f>
        <v>148500</v>
      </c>
      <c r="U181" s="126" t="s">
        <v>145</v>
      </c>
      <c r="V181" s="119">
        <f>SUM(O181:O189)-SUM(T181:T189)</f>
        <v>-1845149</v>
      </c>
    </row>
    <row r="182" spans="1:22" ht="24.9" customHeight="1" x14ac:dyDescent="0.3">
      <c r="A182" s="116">
        <v>59286</v>
      </c>
      <c r="B182" s="117" t="s">
        <v>403</v>
      </c>
      <c r="C182" s="114">
        <v>45204</v>
      </c>
      <c r="D182" s="146" t="s">
        <v>245</v>
      </c>
      <c r="E182" s="119">
        <v>324000</v>
      </c>
      <c r="F182" s="119">
        <v>111576</v>
      </c>
      <c r="G182" s="119">
        <f>ROUND(E182-F182,)</f>
        <v>212424</v>
      </c>
      <c r="H182" s="119">
        <f>ROUND(G182*$H$6,0)</f>
        <v>38236</v>
      </c>
      <c r="I182" s="119">
        <f>G182+H182</f>
        <v>250660</v>
      </c>
      <c r="J182" s="119">
        <f>ROUND(G182*$J$6,)</f>
        <v>2124</v>
      </c>
      <c r="K182" s="119">
        <f>ROUND(G182*$K$6,)</f>
        <v>10621</v>
      </c>
      <c r="L182" s="119">
        <f>ROUND(G182*$L$6,)</f>
        <v>0</v>
      </c>
      <c r="M182" s="119"/>
      <c r="N182" s="174">
        <f>H182</f>
        <v>38236</v>
      </c>
      <c r="O182" s="119">
        <f>ROUND(I182-SUM(J182:N182),0)</f>
        <v>199679</v>
      </c>
      <c r="P182" s="137"/>
      <c r="Q182" s="176"/>
      <c r="R182" s="119"/>
      <c r="S182" s="119">
        <v>300000</v>
      </c>
      <c r="T182" s="119">
        <f t="shared" ref="T182:T184" si="55">S182-1%*S182</f>
        <v>297000</v>
      </c>
      <c r="U182" s="126" t="s">
        <v>148</v>
      </c>
      <c r="V182" s="119"/>
    </row>
    <row r="183" spans="1:22" ht="24.9" customHeight="1" x14ac:dyDescent="0.3">
      <c r="A183" s="116">
        <v>59286</v>
      </c>
      <c r="B183" s="117" t="s">
        <v>97</v>
      </c>
      <c r="C183" s="114"/>
      <c r="D183" s="118">
        <v>90</v>
      </c>
      <c r="E183" s="119">
        <f>N181</f>
        <v>29160</v>
      </c>
      <c r="F183" s="119"/>
      <c r="G183" s="119"/>
      <c r="H183" s="119"/>
      <c r="I183" s="119"/>
      <c r="J183" s="119"/>
      <c r="K183" s="119"/>
      <c r="L183" s="119"/>
      <c r="M183" s="119"/>
      <c r="N183" s="176"/>
      <c r="O183" s="169">
        <f>E183</f>
        <v>29160</v>
      </c>
      <c r="P183" s="139"/>
      <c r="Q183" s="176"/>
      <c r="R183" s="119"/>
      <c r="S183" s="119">
        <v>200000</v>
      </c>
      <c r="T183" s="119">
        <f t="shared" si="55"/>
        <v>198000</v>
      </c>
      <c r="U183" s="126" t="s">
        <v>149</v>
      </c>
      <c r="V183" s="119"/>
    </row>
    <row r="184" spans="1:22" ht="24.9" customHeight="1" x14ac:dyDescent="0.3">
      <c r="A184" s="116">
        <v>59286</v>
      </c>
      <c r="B184" s="117" t="s">
        <v>403</v>
      </c>
      <c r="C184" s="114">
        <v>45288</v>
      </c>
      <c r="D184" s="146" t="s">
        <v>244</v>
      </c>
      <c r="E184" s="119">
        <v>810000</v>
      </c>
      <c r="F184" s="119">
        <v>154255</v>
      </c>
      <c r="G184" s="119">
        <f>ROUND(E184-F184,)</f>
        <v>655745</v>
      </c>
      <c r="H184" s="119">
        <f>ROUND(G184*$H$6,0)</f>
        <v>118034</v>
      </c>
      <c r="I184" s="119">
        <f>G184+H184</f>
        <v>773779</v>
      </c>
      <c r="J184" s="119">
        <f>ROUND(G184*$J$6,)</f>
        <v>6557</v>
      </c>
      <c r="K184" s="119">
        <f>ROUND(G184*$K$6,)</f>
        <v>32787</v>
      </c>
      <c r="L184" s="119">
        <f>ROUND(G184*$L$6,)</f>
        <v>0</v>
      </c>
      <c r="M184" s="119"/>
      <c r="N184" s="174">
        <f>H184</f>
        <v>118034</v>
      </c>
      <c r="O184" s="119">
        <f>ROUND(I184-SUM(J184:N184),0)</f>
        <v>616401</v>
      </c>
      <c r="P184" s="139"/>
      <c r="Q184" s="176"/>
      <c r="R184" s="119"/>
      <c r="S184" s="119">
        <v>250000</v>
      </c>
      <c r="T184" s="119">
        <f t="shared" si="55"/>
        <v>247500</v>
      </c>
      <c r="U184" s="126" t="s">
        <v>167</v>
      </c>
      <c r="V184" s="119"/>
    </row>
    <row r="185" spans="1:22" ht="24.9" customHeight="1" x14ac:dyDescent="0.3">
      <c r="A185" s="116">
        <v>59286</v>
      </c>
      <c r="B185" s="117" t="s">
        <v>97</v>
      </c>
      <c r="C185" s="131"/>
      <c r="D185" s="146" t="s">
        <v>245</v>
      </c>
      <c r="E185" s="119">
        <f>N182</f>
        <v>38236</v>
      </c>
      <c r="F185" s="119"/>
      <c r="G185" s="119"/>
      <c r="H185" s="119"/>
      <c r="I185" s="119"/>
      <c r="J185" s="119"/>
      <c r="K185" s="119"/>
      <c r="L185" s="119"/>
      <c r="M185" s="119"/>
      <c r="N185" s="176"/>
      <c r="O185" s="169">
        <f t="shared" ref="O185:O186" si="56">E185</f>
        <v>38236</v>
      </c>
      <c r="P185" s="139"/>
      <c r="Q185" s="176"/>
      <c r="R185" s="119"/>
      <c r="S185" s="119">
        <v>500000</v>
      </c>
      <c r="T185" s="119">
        <f t="shared" ref="T185" si="57">S185-1%*S185</f>
        <v>495000</v>
      </c>
      <c r="U185" s="126" t="s">
        <v>169</v>
      </c>
      <c r="V185" s="119"/>
    </row>
    <row r="186" spans="1:22" ht="24.9" customHeight="1" x14ac:dyDescent="0.3">
      <c r="A186" s="116">
        <v>59286</v>
      </c>
      <c r="B186" s="117" t="s">
        <v>97</v>
      </c>
      <c r="C186" s="131"/>
      <c r="D186" s="146" t="s">
        <v>244</v>
      </c>
      <c r="E186" s="119">
        <f>N184</f>
        <v>118034</v>
      </c>
      <c r="F186" s="119"/>
      <c r="G186" s="119"/>
      <c r="H186" s="119"/>
      <c r="I186" s="119"/>
      <c r="J186" s="119"/>
      <c r="K186" s="119"/>
      <c r="L186" s="119"/>
      <c r="M186" s="119"/>
      <c r="N186" s="176"/>
      <c r="O186" s="169">
        <f t="shared" si="56"/>
        <v>118034</v>
      </c>
      <c r="P186" s="139"/>
      <c r="Q186" s="176"/>
      <c r="R186" s="119"/>
      <c r="S186" s="119">
        <v>500000</v>
      </c>
      <c r="T186" s="119">
        <v>475000</v>
      </c>
      <c r="U186" s="126" t="s">
        <v>213</v>
      </c>
      <c r="V186" s="119"/>
    </row>
    <row r="187" spans="1:22" ht="24.9" customHeight="1" x14ac:dyDescent="0.3">
      <c r="A187" s="116">
        <v>59286</v>
      </c>
      <c r="B187" s="117" t="s">
        <v>264</v>
      </c>
      <c r="C187" s="131">
        <v>45307</v>
      </c>
      <c r="D187" s="146">
        <v>168</v>
      </c>
      <c r="E187" s="119">
        <v>133090.5</v>
      </c>
      <c r="F187" s="119"/>
      <c r="G187" s="119">
        <f>ROUND(E187-F187,)</f>
        <v>133091</v>
      </c>
      <c r="H187" s="119">
        <f>ROUND(G187*$H$6,0)</f>
        <v>23956</v>
      </c>
      <c r="I187" s="119">
        <f>G187+H187</f>
        <v>157047</v>
      </c>
      <c r="J187" s="119">
        <f>ROUND(G187*$J$6,)</f>
        <v>1331</v>
      </c>
      <c r="K187" s="119">
        <f>ROUND(G187*$K$6,)</f>
        <v>6655</v>
      </c>
      <c r="L187" s="119">
        <f>ROUND(G187*$L$6,)</f>
        <v>0</v>
      </c>
      <c r="M187" s="119"/>
      <c r="N187" s="174">
        <f>H187</f>
        <v>23956</v>
      </c>
      <c r="O187" s="119">
        <f>ROUND(I187-SUM(J187:N187),0)</f>
        <v>125105</v>
      </c>
      <c r="P187" s="139"/>
      <c r="Q187" s="176"/>
      <c r="R187" s="119"/>
      <c r="S187" s="119">
        <v>500000</v>
      </c>
      <c r="T187" s="119">
        <v>495000</v>
      </c>
      <c r="U187" s="126" t="s">
        <v>243</v>
      </c>
      <c r="V187" s="119"/>
    </row>
    <row r="188" spans="1:22" ht="24.9" customHeight="1" x14ac:dyDescent="0.3">
      <c r="A188" s="116">
        <v>59286</v>
      </c>
      <c r="B188" s="117" t="s">
        <v>97</v>
      </c>
      <c r="C188" s="131"/>
      <c r="D188" s="146">
        <v>168</v>
      </c>
      <c r="E188" s="119">
        <f>N187</f>
        <v>23956</v>
      </c>
      <c r="F188" s="119"/>
      <c r="G188" s="119"/>
      <c r="H188" s="119"/>
      <c r="I188" s="119"/>
      <c r="J188" s="119"/>
      <c r="K188" s="119"/>
      <c r="L188" s="119"/>
      <c r="M188" s="119"/>
      <c r="N188" s="176"/>
      <c r="O188" s="169">
        <f>E188</f>
        <v>23956</v>
      </c>
      <c r="P188" s="139" t="s">
        <v>265</v>
      </c>
      <c r="Q188" s="176"/>
      <c r="R188" s="119"/>
      <c r="S188" s="119">
        <v>500000</v>
      </c>
      <c r="T188" s="119">
        <v>495000</v>
      </c>
      <c r="U188" s="126" t="s">
        <v>271</v>
      </c>
      <c r="V188" s="119"/>
    </row>
    <row r="189" spans="1:22" ht="24.9" customHeight="1" x14ac:dyDescent="0.3">
      <c r="A189" s="116">
        <v>59286</v>
      </c>
      <c r="B189" s="117"/>
      <c r="C189" s="131"/>
      <c r="D189" s="146"/>
      <c r="E189" s="119"/>
      <c r="F189" s="119"/>
      <c r="G189" s="119"/>
      <c r="H189" s="119"/>
      <c r="I189" s="119"/>
      <c r="J189" s="119"/>
      <c r="K189" s="119"/>
      <c r="L189" s="119"/>
      <c r="M189" s="119"/>
      <c r="N189" s="176"/>
      <c r="O189" s="119"/>
      <c r="P189" s="139"/>
      <c r="Q189" s="176"/>
      <c r="R189" s="119"/>
      <c r="S189" s="119">
        <v>300000</v>
      </c>
      <c r="T189" s="184">
        <v>297000</v>
      </c>
      <c r="U189" s="126" t="s">
        <v>370</v>
      </c>
      <c r="V189" s="119"/>
    </row>
    <row r="190" spans="1:22" ht="24.9" customHeight="1" x14ac:dyDescent="0.3">
      <c r="A190" s="149"/>
      <c r="B190" s="123"/>
      <c r="C190" s="120"/>
      <c r="D190" s="144"/>
      <c r="E190" s="121"/>
      <c r="F190" s="121"/>
      <c r="G190" s="121"/>
      <c r="H190" s="121"/>
      <c r="I190" s="121"/>
      <c r="J190" s="121"/>
      <c r="K190" s="121"/>
      <c r="L190" s="121"/>
      <c r="M190" s="121"/>
      <c r="N190" s="177"/>
      <c r="O190" s="121"/>
      <c r="P190" s="143">
        <f>A190</f>
        <v>0</v>
      </c>
      <c r="Q190" s="177"/>
      <c r="R190" s="121"/>
      <c r="S190" s="121"/>
      <c r="T190" s="121"/>
      <c r="U190" s="127"/>
      <c r="V190" s="121"/>
    </row>
    <row r="191" spans="1:22" ht="24.9" customHeight="1" x14ac:dyDescent="0.3">
      <c r="A191" s="116">
        <v>59784</v>
      </c>
      <c r="B191" s="117" t="s">
        <v>404</v>
      </c>
      <c r="C191" s="114">
        <v>45213</v>
      </c>
      <c r="D191" s="118" t="s">
        <v>247</v>
      </c>
      <c r="E191" s="119">
        <v>579562</v>
      </c>
      <c r="F191" s="119">
        <v>313299</v>
      </c>
      <c r="G191" s="119">
        <f>ROUND(E191-F191,)</f>
        <v>266263</v>
      </c>
      <c r="H191" s="119">
        <f>G191*18%</f>
        <v>47927.34</v>
      </c>
      <c r="I191" s="119">
        <f>G191+H191</f>
        <v>314190.33999999997</v>
      </c>
      <c r="J191" s="119">
        <f>ROUND(G191*$J$6,)</f>
        <v>2663</v>
      </c>
      <c r="K191" s="119">
        <f>ROUND(G191*$K$6,)</f>
        <v>13313</v>
      </c>
      <c r="L191" s="119">
        <f>ROUND(G191*$L$6,)</f>
        <v>0</v>
      </c>
      <c r="M191" s="119">
        <f>ROUND(G191*$M$6,)</f>
        <v>26626</v>
      </c>
      <c r="N191" s="174">
        <f>H191</f>
        <v>47927.34</v>
      </c>
      <c r="O191" s="119">
        <f>ROUND(I191-SUM(J191:N191),0)</f>
        <v>223661</v>
      </c>
      <c r="P191" s="137"/>
      <c r="Q191" s="176">
        <v>3863750</v>
      </c>
      <c r="R191" s="119">
        <f>Q192-SUM(S191:S198)</f>
        <v>220562.5</v>
      </c>
      <c r="S191" s="119">
        <v>250000</v>
      </c>
      <c r="T191" s="119">
        <f>S191-1%*S191</f>
        <v>247500</v>
      </c>
      <c r="U191" s="126" t="s">
        <v>146</v>
      </c>
      <c r="V191" s="119">
        <f>SUM(O191:O198)-SUM(T191:T198)</f>
        <v>-3123911.66</v>
      </c>
    </row>
    <row r="192" spans="1:22" ht="24.9" customHeight="1" x14ac:dyDescent="0.3">
      <c r="A192" s="116">
        <v>59784</v>
      </c>
      <c r="B192" s="117" t="s">
        <v>97</v>
      </c>
      <c r="C192" s="114"/>
      <c r="D192" s="146" t="s">
        <v>247</v>
      </c>
      <c r="E192" s="119">
        <f>N191</f>
        <v>47927.34</v>
      </c>
      <c r="F192" s="119"/>
      <c r="G192" s="119"/>
      <c r="H192" s="119"/>
      <c r="I192" s="119"/>
      <c r="J192" s="119"/>
      <c r="K192" s="119"/>
      <c r="L192" s="119"/>
      <c r="M192" s="119"/>
      <c r="N192" s="176"/>
      <c r="O192" s="169">
        <f>E192</f>
        <v>47927.34</v>
      </c>
      <c r="P192" s="137"/>
      <c r="Q192" s="176">
        <f>Q191*95%</f>
        <v>3670562.5</v>
      </c>
      <c r="R192" s="119"/>
      <c r="S192" s="119">
        <v>500000</v>
      </c>
      <c r="T192" s="119">
        <f>S192-1%*S192</f>
        <v>495000</v>
      </c>
      <c r="U192" s="126" t="s">
        <v>168</v>
      </c>
      <c r="V192" s="119"/>
    </row>
    <row r="193" spans="1:22" ht="24.9" customHeight="1" x14ac:dyDescent="0.3">
      <c r="A193" s="116">
        <v>59784</v>
      </c>
      <c r="B193" s="117"/>
      <c r="C193" s="114"/>
      <c r="D193" s="146"/>
      <c r="E193" s="119"/>
      <c r="F193" s="119"/>
      <c r="G193" s="119"/>
      <c r="H193" s="119"/>
      <c r="I193" s="119"/>
      <c r="J193" s="119"/>
      <c r="K193" s="119"/>
      <c r="L193" s="119"/>
      <c r="M193" s="119"/>
      <c r="N193" s="176"/>
      <c r="O193" s="119"/>
      <c r="P193" s="137"/>
      <c r="Q193" s="176"/>
      <c r="R193" s="119"/>
      <c r="S193" s="119">
        <v>500000</v>
      </c>
      <c r="T193" s="119">
        <v>475000</v>
      </c>
      <c r="U193" s="126" t="s">
        <v>208</v>
      </c>
      <c r="V193" s="119"/>
    </row>
    <row r="194" spans="1:22" ht="24.9" customHeight="1" x14ac:dyDescent="0.3">
      <c r="A194" s="116">
        <v>59784</v>
      </c>
      <c r="B194" s="117"/>
      <c r="C194" s="114"/>
      <c r="D194" s="146"/>
      <c r="E194" s="119"/>
      <c r="F194" s="119"/>
      <c r="G194" s="119"/>
      <c r="H194" s="119"/>
      <c r="I194" s="119"/>
      <c r="J194" s="119"/>
      <c r="K194" s="119"/>
      <c r="L194" s="119"/>
      <c r="M194" s="119"/>
      <c r="N194" s="176"/>
      <c r="O194" s="119"/>
      <c r="P194" s="137"/>
      <c r="Q194" s="176"/>
      <c r="R194" s="119"/>
      <c r="S194" s="119">
        <v>1000000</v>
      </c>
      <c r="T194" s="119">
        <v>990000</v>
      </c>
      <c r="U194" s="126" t="s">
        <v>219</v>
      </c>
      <c r="V194" s="119"/>
    </row>
    <row r="195" spans="1:22" ht="24.9" customHeight="1" x14ac:dyDescent="0.3">
      <c r="A195" s="116">
        <v>59784</v>
      </c>
      <c r="B195" s="117"/>
      <c r="C195" s="114"/>
      <c r="D195" s="146"/>
      <c r="E195" s="119"/>
      <c r="F195" s="119"/>
      <c r="G195" s="119"/>
      <c r="H195" s="119"/>
      <c r="I195" s="119"/>
      <c r="J195" s="119"/>
      <c r="K195" s="119"/>
      <c r="L195" s="119"/>
      <c r="M195" s="119"/>
      <c r="N195" s="176"/>
      <c r="O195" s="119"/>
      <c r="P195" s="137"/>
      <c r="Q195" s="176"/>
      <c r="R195" s="119"/>
      <c r="S195" s="119">
        <v>500000</v>
      </c>
      <c r="T195" s="119">
        <v>495000</v>
      </c>
      <c r="U195" s="126" t="s">
        <v>272</v>
      </c>
      <c r="V195" s="119"/>
    </row>
    <row r="196" spans="1:22" ht="24.9" customHeight="1" x14ac:dyDescent="0.3">
      <c r="A196" s="116">
        <v>59784</v>
      </c>
      <c r="B196" s="117"/>
      <c r="C196" s="114"/>
      <c r="D196" s="146"/>
      <c r="E196" s="119"/>
      <c r="F196" s="119"/>
      <c r="G196" s="119"/>
      <c r="H196" s="119"/>
      <c r="I196" s="119"/>
      <c r="J196" s="119"/>
      <c r="K196" s="119"/>
      <c r="L196" s="119"/>
      <c r="M196" s="119"/>
      <c r="N196" s="176"/>
      <c r="O196" s="119"/>
      <c r="P196" s="137"/>
      <c r="Q196" s="176"/>
      <c r="R196" s="119"/>
      <c r="S196" s="119">
        <v>200000</v>
      </c>
      <c r="T196" s="119">
        <v>198000</v>
      </c>
      <c r="U196" s="2" t="s">
        <v>300</v>
      </c>
      <c r="V196" s="119"/>
    </row>
    <row r="197" spans="1:22" ht="24.9" customHeight="1" x14ac:dyDescent="0.3">
      <c r="A197" s="116">
        <v>59784</v>
      </c>
      <c r="B197" s="117"/>
      <c r="C197" s="114"/>
      <c r="D197" s="146"/>
      <c r="E197" s="119"/>
      <c r="F197" s="119"/>
      <c r="G197" s="119"/>
      <c r="H197" s="119"/>
      <c r="I197" s="119"/>
      <c r="J197" s="119"/>
      <c r="K197" s="119"/>
      <c r="L197" s="119"/>
      <c r="M197" s="119"/>
      <c r="N197" s="176"/>
      <c r="O197" s="119"/>
      <c r="P197" s="137"/>
      <c r="Q197" s="176"/>
      <c r="R197" s="119"/>
      <c r="S197" s="119">
        <v>300000</v>
      </c>
      <c r="T197" s="184">
        <v>297000</v>
      </c>
      <c r="U197" s="126" t="s">
        <v>303</v>
      </c>
      <c r="V197" s="119"/>
    </row>
    <row r="198" spans="1:22" ht="24.9" customHeight="1" x14ac:dyDescent="0.3">
      <c r="A198" s="116">
        <v>59784</v>
      </c>
      <c r="B198" s="117"/>
      <c r="C198" s="114"/>
      <c r="D198" s="146"/>
      <c r="E198" s="119"/>
      <c r="F198" s="119"/>
      <c r="G198" s="119"/>
      <c r="H198" s="119"/>
      <c r="I198" s="119"/>
      <c r="J198" s="119"/>
      <c r="K198" s="119"/>
      <c r="L198" s="119"/>
      <c r="M198" s="119"/>
      <c r="N198" s="176"/>
      <c r="O198" s="119"/>
      <c r="P198" s="137"/>
      <c r="Q198" s="176"/>
      <c r="R198" s="119"/>
      <c r="S198" s="119">
        <v>200000</v>
      </c>
      <c r="T198" s="184">
        <v>198000</v>
      </c>
      <c r="U198" s="126" t="s">
        <v>307</v>
      </c>
      <c r="V198" s="119"/>
    </row>
    <row r="199" spans="1:22" ht="24.9" customHeight="1" x14ac:dyDescent="0.3">
      <c r="A199" s="149"/>
      <c r="B199" s="123"/>
      <c r="C199" s="120"/>
      <c r="D199" s="144"/>
      <c r="E199" s="121"/>
      <c r="F199" s="121"/>
      <c r="G199" s="121"/>
      <c r="H199" s="121"/>
      <c r="I199" s="121"/>
      <c r="J199" s="121"/>
      <c r="K199" s="121"/>
      <c r="L199" s="121"/>
      <c r="M199" s="121"/>
      <c r="N199" s="177"/>
      <c r="O199" s="121"/>
      <c r="P199" s="143">
        <f>A199</f>
        <v>0</v>
      </c>
      <c r="Q199" s="177"/>
      <c r="R199" s="121"/>
      <c r="S199" s="121"/>
      <c r="T199" s="121"/>
      <c r="U199" s="127"/>
      <c r="V199" s="121"/>
    </row>
    <row r="200" spans="1:22" ht="24.9" customHeight="1" x14ac:dyDescent="0.3">
      <c r="A200" s="116">
        <v>59987</v>
      </c>
      <c r="B200" s="117" t="s">
        <v>405</v>
      </c>
      <c r="C200" s="114">
        <v>45222</v>
      </c>
      <c r="D200" s="118" t="s">
        <v>249</v>
      </c>
      <c r="E200" s="119">
        <v>628875</v>
      </c>
      <c r="F200" s="119">
        <v>297324</v>
      </c>
      <c r="G200" s="119">
        <f>ROUND(E200-F200,)</f>
        <v>331551</v>
      </c>
      <c r="H200" s="119">
        <f>G200*18%</f>
        <v>59679.18</v>
      </c>
      <c r="I200" s="119">
        <f>G200+H200</f>
        <v>391230.18</v>
      </c>
      <c r="J200" s="119">
        <f>ROUND(G200*$J$6,)</f>
        <v>3316</v>
      </c>
      <c r="K200" s="119">
        <f>ROUND(G200*$K$6,)</f>
        <v>16578</v>
      </c>
      <c r="L200" s="119">
        <f>ROUND(G200*$L$6,)</f>
        <v>0</v>
      </c>
      <c r="M200" s="119">
        <v>0</v>
      </c>
      <c r="N200" s="174">
        <f>H200</f>
        <v>59679.18</v>
      </c>
      <c r="O200" s="119">
        <f>G200-J200-K200</f>
        <v>311657</v>
      </c>
      <c r="P200" s="137"/>
      <c r="Q200" s="176">
        <v>4192500</v>
      </c>
      <c r="R200" s="119">
        <f>Q200-SUM(S200:S210)</f>
        <v>192500</v>
      </c>
      <c r="S200" s="119">
        <v>300000</v>
      </c>
      <c r="T200" s="119">
        <f>S200-1%*S200</f>
        <v>297000</v>
      </c>
      <c r="U200" s="126" t="s">
        <v>154</v>
      </c>
      <c r="V200" s="119">
        <f>SUM(O200:O210)-SUM(T200:T210)</f>
        <v>-3568663.82</v>
      </c>
    </row>
    <row r="201" spans="1:22" ht="24.9" customHeight="1" x14ac:dyDescent="0.3">
      <c r="A201" s="116">
        <v>59987</v>
      </c>
      <c r="B201" s="117" t="s">
        <v>97</v>
      </c>
      <c r="C201" s="114"/>
      <c r="D201" s="118" t="s">
        <v>249</v>
      </c>
      <c r="E201" s="119">
        <f>N200</f>
        <v>59679.18</v>
      </c>
      <c r="F201" s="119"/>
      <c r="G201" s="119"/>
      <c r="H201" s="119"/>
      <c r="I201" s="119"/>
      <c r="J201" s="119"/>
      <c r="K201" s="119"/>
      <c r="L201" s="119"/>
      <c r="M201" s="119"/>
      <c r="N201" s="176"/>
      <c r="O201" s="169">
        <f>E201</f>
        <v>59679.18</v>
      </c>
      <c r="P201" s="137"/>
      <c r="Q201" s="176"/>
      <c r="R201" s="119"/>
      <c r="S201" s="119">
        <v>300000</v>
      </c>
      <c r="T201" s="119">
        <f>S201-1%*S201</f>
        <v>297000</v>
      </c>
      <c r="U201" s="126" t="s">
        <v>155</v>
      </c>
      <c r="V201" s="119"/>
    </row>
    <row r="202" spans="1:22" ht="24.9" customHeight="1" x14ac:dyDescent="0.3">
      <c r="A202" s="116">
        <v>59987</v>
      </c>
      <c r="B202" s="117"/>
      <c r="C202" s="114"/>
      <c r="D202" s="118"/>
      <c r="E202" s="119"/>
      <c r="F202" s="119"/>
      <c r="G202" s="119"/>
      <c r="H202" s="119"/>
      <c r="I202" s="119"/>
      <c r="J202" s="119"/>
      <c r="K202" s="119"/>
      <c r="L202" s="119"/>
      <c r="M202" s="119"/>
      <c r="N202" s="176"/>
      <c r="O202" s="119"/>
      <c r="P202" s="137"/>
      <c r="Q202" s="176"/>
      <c r="R202" s="119"/>
      <c r="S202" s="119">
        <v>200000</v>
      </c>
      <c r="T202" s="119">
        <v>198000</v>
      </c>
      <c r="U202" s="126" t="s">
        <v>193</v>
      </c>
      <c r="V202" s="119"/>
    </row>
    <row r="203" spans="1:22" ht="24.9" customHeight="1" x14ac:dyDescent="0.3">
      <c r="A203" s="116">
        <v>59987</v>
      </c>
      <c r="B203" s="117"/>
      <c r="C203" s="114"/>
      <c r="D203" s="118"/>
      <c r="E203" s="119"/>
      <c r="F203" s="119"/>
      <c r="G203" s="119"/>
      <c r="H203" s="119"/>
      <c r="I203" s="119"/>
      <c r="J203" s="119"/>
      <c r="K203" s="119"/>
      <c r="L203" s="119">
        <f>ROUND(G44*$L$6,)</f>
        <v>0</v>
      </c>
      <c r="M203" s="119"/>
      <c r="N203" s="176"/>
      <c r="O203" s="119"/>
      <c r="P203" s="137"/>
      <c r="Q203" s="176"/>
      <c r="R203" s="119"/>
      <c r="S203" s="119">
        <v>500000</v>
      </c>
      <c r="T203" s="119">
        <v>475000</v>
      </c>
      <c r="U203" s="126" t="s">
        <v>202</v>
      </c>
      <c r="V203" s="119"/>
    </row>
    <row r="204" spans="1:22" ht="24.9" customHeight="1" x14ac:dyDescent="0.3">
      <c r="A204" s="116">
        <v>59987</v>
      </c>
      <c r="B204" s="117"/>
      <c r="C204" s="114"/>
      <c r="D204" s="118"/>
      <c r="E204" s="119"/>
      <c r="F204" s="119"/>
      <c r="G204" s="119"/>
      <c r="H204" s="119"/>
      <c r="I204" s="119"/>
      <c r="J204" s="119"/>
      <c r="K204" s="119"/>
      <c r="L204" s="119"/>
      <c r="M204" s="119"/>
      <c r="N204" s="176"/>
      <c r="O204" s="119"/>
      <c r="P204" s="137"/>
      <c r="Q204" s="176"/>
      <c r="R204" s="119"/>
      <c r="S204" s="119">
        <v>500000</v>
      </c>
      <c r="T204" s="119">
        <v>495000</v>
      </c>
      <c r="U204" s="126" t="s">
        <v>248</v>
      </c>
      <c r="V204" s="119"/>
    </row>
    <row r="205" spans="1:22" ht="24.9" customHeight="1" x14ac:dyDescent="0.3">
      <c r="A205" s="116">
        <v>59987</v>
      </c>
      <c r="B205" s="117"/>
      <c r="C205" s="114"/>
      <c r="D205" s="118"/>
      <c r="E205" s="119"/>
      <c r="F205" s="119"/>
      <c r="G205" s="119"/>
      <c r="H205" s="119"/>
      <c r="I205" s="119"/>
      <c r="J205" s="119"/>
      <c r="K205" s="119"/>
      <c r="L205" s="119"/>
      <c r="M205" s="119"/>
      <c r="N205" s="176"/>
      <c r="O205" s="119"/>
      <c r="P205" s="137"/>
      <c r="Q205" s="176"/>
      <c r="R205" s="119"/>
      <c r="S205" s="119">
        <v>300000</v>
      </c>
      <c r="T205" s="119">
        <v>297000</v>
      </c>
      <c r="U205" s="126" t="s">
        <v>259</v>
      </c>
      <c r="V205" s="119"/>
    </row>
    <row r="206" spans="1:22" ht="24.9" customHeight="1" x14ac:dyDescent="0.3">
      <c r="A206" s="116">
        <v>59987</v>
      </c>
      <c r="B206" s="117"/>
      <c r="C206" s="114"/>
      <c r="D206" s="118"/>
      <c r="E206" s="119"/>
      <c r="F206" s="119"/>
      <c r="G206" s="119"/>
      <c r="H206" s="119"/>
      <c r="I206" s="119"/>
      <c r="J206" s="119"/>
      <c r="K206" s="119"/>
      <c r="L206" s="119"/>
      <c r="M206" s="119"/>
      <c r="N206" s="176"/>
      <c r="O206" s="119"/>
      <c r="P206" s="137"/>
      <c r="Q206" s="176"/>
      <c r="R206" s="119"/>
      <c r="S206" s="119">
        <v>500000</v>
      </c>
      <c r="T206" s="119">
        <v>495000</v>
      </c>
      <c r="U206" s="126" t="s">
        <v>287</v>
      </c>
      <c r="V206" s="119"/>
    </row>
    <row r="207" spans="1:22" ht="24.9" customHeight="1" x14ac:dyDescent="0.3">
      <c r="A207" s="116">
        <v>59987</v>
      </c>
      <c r="B207" s="117"/>
      <c r="C207" s="114"/>
      <c r="D207" s="118"/>
      <c r="E207" s="119"/>
      <c r="F207" s="119"/>
      <c r="G207" s="119"/>
      <c r="H207" s="119"/>
      <c r="I207" s="119"/>
      <c r="J207" s="119"/>
      <c r="K207" s="119"/>
      <c r="L207" s="119"/>
      <c r="M207" s="119"/>
      <c r="N207" s="176"/>
      <c r="O207" s="119"/>
      <c r="P207" s="137"/>
      <c r="Q207" s="176"/>
      <c r="R207" s="119"/>
      <c r="S207" s="119">
        <v>500000</v>
      </c>
      <c r="T207" s="184">
        <v>495000</v>
      </c>
      <c r="U207" s="126" t="s">
        <v>294</v>
      </c>
      <c r="V207" s="119"/>
    </row>
    <row r="208" spans="1:22" ht="24.9" customHeight="1" x14ac:dyDescent="0.3">
      <c r="A208" s="116">
        <v>59987</v>
      </c>
      <c r="B208" s="117"/>
      <c r="C208" s="114"/>
      <c r="D208" s="118"/>
      <c r="E208" s="119"/>
      <c r="F208" s="119"/>
      <c r="G208" s="119"/>
      <c r="H208" s="119"/>
      <c r="I208" s="119"/>
      <c r="J208" s="119"/>
      <c r="K208" s="119"/>
      <c r="L208" s="119"/>
      <c r="M208" s="119"/>
      <c r="N208" s="176"/>
      <c r="O208" s="119"/>
      <c r="P208" s="137"/>
      <c r="Q208" s="176"/>
      <c r="R208" s="119"/>
      <c r="S208" s="119">
        <v>200000</v>
      </c>
      <c r="T208" s="184">
        <v>198000</v>
      </c>
      <c r="U208" s="126" t="s">
        <v>317</v>
      </c>
      <c r="V208" s="119"/>
    </row>
    <row r="209" spans="1:22" ht="24.9" customHeight="1" x14ac:dyDescent="0.3">
      <c r="A209" s="116">
        <v>59987</v>
      </c>
      <c r="B209" s="117"/>
      <c r="C209" s="114"/>
      <c r="D209" s="118"/>
      <c r="E209" s="119"/>
      <c r="F209" s="119"/>
      <c r="G209" s="119"/>
      <c r="H209" s="119"/>
      <c r="I209" s="119"/>
      <c r="J209" s="119"/>
      <c r="K209" s="119"/>
      <c r="L209" s="119"/>
      <c r="M209" s="119"/>
      <c r="N209" s="176"/>
      <c r="O209" s="119"/>
      <c r="P209" s="137"/>
      <c r="Q209" s="176"/>
      <c r="R209" s="119"/>
      <c r="S209" s="119">
        <v>500000</v>
      </c>
      <c r="T209" s="184">
        <v>495000</v>
      </c>
      <c r="U209" s="126" t="s">
        <v>331</v>
      </c>
      <c r="V209" s="119"/>
    </row>
    <row r="210" spans="1:22" ht="24.9" customHeight="1" x14ac:dyDescent="0.3">
      <c r="A210" s="116">
        <v>59987</v>
      </c>
      <c r="B210" s="117"/>
      <c r="C210" s="114"/>
      <c r="D210" s="118"/>
      <c r="E210" s="119"/>
      <c r="F210" s="119"/>
      <c r="G210" s="119"/>
      <c r="H210" s="119"/>
      <c r="I210" s="119"/>
      <c r="J210" s="119"/>
      <c r="K210" s="119"/>
      <c r="L210" s="119"/>
      <c r="M210" s="119"/>
      <c r="N210" s="176"/>
      <c r="O210" s="119"/>
      <c r="P210" s="137"/>
      <c r="Q210" s="176"/>
      <c r="R210" s="119"/>
      <c r="S210" s="119">
        <v>200000</v>
      </c>
      <c r="T210" s="184">
        <v>198000</v>
      </c>
      <c r="U210" s="126" t="s">
        <v>334</v>
      </c>
      <c r="V210" s="119"/>
    </row>
    <row r="211" spans="1:22" ht="24.9" customHeight="1" x14ac:dyDescent="0.3">
      <c r="A211" s="149"/>
      <c r="B211" s="123"/>
      <c r="C211" s="120"/>
      <c r="D211" s="144"/>
      <c r="E211" s="121"/>
      <c r="F211" s="121"/>
      <c r="G211" s="121"/>
      <c r="H211" s="121"/>
      <c r="I211" s="121"/>
      <c r="J211" s="121"/>
      <c r="K211" s="121"/>
      <c r="L211" s="121"/>
      <c r="M211" s="121"/>
      <c r="N211" s="177"/>
      <c r="O211" s="121"/>
      <c r="P211" s="143">
        <f>A211</f>
        <v>0</v>
      </c>
      <c r="Q211" s="177"/>
      <c r="R211" s="121"/>
      <c r="S211" s="121"/>
      <c r="T211" s="121"/>
      <c r="U211" s="127"/>
      <c r="V211" s="121"/>
    </row>
    <row r="212" spans="1:22" ht="24.9" customHeight="1" x14ac:dyDescent="0.3">
      <c r="A212" s="116">
        <v>60117</v>
      </c>
      <c r="B212" s="117" t="s">
        <v>406</v>
      </c>
      <c r="C212" s="114">
        <v>45237</v>
      </c>
      <c r="D212" s="118" t="s">
        <v>226</v>
      </c>
      <c r="E212" s="119">
        <v>472500</v>
      </c>
      <c r="F212" s="119">
        <v>241465</v>
      </c>
      <c r="G212" s="119">
        <f>E212-F212</f>
        <v>231035</v>
      </c>
      <c r="H212" s="119">
        <f>G212*18%</f>
        <v>41586.299999999996</v>
      </c>
      <c r="I212" s="119">
        <f>G212+H212</f>
        <v>272621.3</v>
      </c>
      <c r="J212" s="119">
        <f>G212*1%</f>
        <v>2310.35</v>
      </c>
      <c r="K212" s="119">
        <f>G212*5%</f>
        <v>11551.75</v>
      </c>
      <c r="L212" s="119"/>
      <c r="M212" s="119">
        <f>G212*10%</f>
        <v>23103.5</v>
      </c>
      <c r="N212" s="174">
        <f>G212*18%</f>
        <v>41586.299999999996</v>
      </c>
      <c r="O212" s="119">
        <f>G212-J212-K212-M212</f>
        <v>194069.4</v>
      </c>
      <c r="P212" s="137"/>
      <c r="Q212" s="176">
        <v>3150000</v>
      </c>
      <c r="R212" s="119">
        <f>Q212-SUM(S212:S222)</f>
        <v>150000</v>
      </c>
      <c r="S212" s="119">
        <v>100000</v>
      </c>
      <c r="T212" s="119">
        <f>S212-1%*S212</f>
        <v>99000</v>
      </c>
      <c r="U212" s="126" t="s">
        <v>156</v>
      </c>
      <c r="V212" s="119">
        <f>SUM(O211:O222)-SUM(T211:T222)</f>
        <v>-2576312.5</v>
      </c>
    </row>
    <row r="213" spans="1:22" ht="24.9" customHeight="1" x14ac:dyDescent="0.3">
      <c r="A213" s="116">
        <v>60117</v>
      </c>
      <c r="B213" s="117" t="s">
        <v>97</v>
      </c>
      <c r="C213" s="114"/>
      <c r="D213" s="118" t="s">
        <v>226</v>
      </c>
      <c r="E213" s="119">
        <f>N212</f>
        <v>41586.299999999996</v>
      </c>
      <c r="F213" s="119"/>
      <c r="G213" s="119"/>
      <c r="H213" s="119"/>
      <c r="I213" s="119"/>
      <c r="J213" s="119"/>
      <c r="K213" s="119"/>
      <c r="L213" s="119"/>
      <c r="M213" s="119"/>
      <c r="N213" s="176"/>
      <c r="O213" s="169">
        <f>E213</f>
        <v>41586.299999999996</v>
      </c>
      <c r="P213" s="137"/>
      <c r="Q213" s="176"/>
      <c r="R213" s="119"/>
      <c r="S213" s="119">
        <v>100000</v>
      </c>
      <c r="T213" s="119">
        <f>S213-1%*S213</f>
        <v>99000</v>
      </c>
      <c r="U213" s="126" t="s">
        <v>158</v>
      </c>
      <c r="V213" s="119"/>
    </row>
    <row r="214" spans="1:22" ht="24.9" customHeight="1" x14ac:dyDescent="0.3">
      <c r="A214" s="116">
        <v>60117</v>
      </c>
      <c r="B214" s="117" t="s">
        <v>264</v>
      </c>
      <c r="C214" s="114">
        <v>45307</v>
      </c>
      <c r="D214" s="118">
        <v>170</v>
      </c>
      <c r="E214" s="119">
        <v>147090</v>
      </c>
      <c r="F214" s="119"/>
      <c r="G214" s="119">
        <f>E214-F214</f>
        <v>147090</v>
      </c>
      <c r="H214" s="119">
        <f>G214*18%</f>
        <v>26476.2</v>
      </c>
      <c r="I214" s="119">
        <f>G214+H214</f>
        <v>173566.2</v>
      </c>
      <c r="J214" s="119">
        <f>G214*1%</f>
        <v>1470.9</v>
      </c>
      <c r="K214" s="119">
        <f>G214*5%</f>
        <v>7354.5</v>
      </c>
      <c r="L214" s="119"/>
      <c r="M214" s="119">
        <f>G214*10%</f>
        <v>14709</v>
      </c>
      <c r="N214" s="174">
        <f>G214*18%</f>
        <v>26476.2</v>
      </c>
      <c r="O214" s="119">
        <f>G214-J214-K214-M214</f>
        <v>123555.6</v>
      </c>
      <c r="P214" s="137"/>
      <c r="Q214" s="176"/>
      <c r="R214" s="119"/>
      <c r="S214" s="119">
        <v>500000</v>
      </c>
      <c r="T214" s="119">
        <f>S214-1%*S214</f>
        <v>495000</v>
      </c>
      <c r="U214" s="126" t="s">
        <v>177</v>
      </c>
      <c r="V214" s="119"/>
    </row>
    <row r="215" spans="1:22" ht="24.9" customHeight="1" x14ac:dyDescent="0.3">
      <c r="A215" s="116">
        <v>60117</v>
      </c>
      <c r="B215" s="117" t="s">
        <v>97</v>
      </c>
      <c r="C215" s="114"/>
      <c r="D215" s="118">
        <v>170</v>
      </c>
      <c r="E215" s="119">
        <f>N214</f>
        <v>26476.2</v>
      </c>
      <c r="F215" s="119"/>
      <c r="G215" s="119"/>
      <c r="H215" s="119"/>
      <c r="I215" s="119"/>
      <c r="J215" s="119"/>
      <c r="K215" s="119"/>
      <c r="L215" s="119"/>
      <c r="M215" s="119"/>
      <c r="N215" s="176"/>
      <c r="O215" s="169">
        <f>E215</f>
        <v>26476.2</v>
      </c>
      <c r="P215" s="137" t="s">
        <v>265</v>
      </c>
      <c r="Q215" s="176"/>
      <c r="R215" s="119"/>
      <c r="S215" s="119">
        <v>300000</v>
      </c>
      <c r="T215" s="119">
        <v>297000</v>
      </c>
      <c r="U215" s="126" t="s">
        <v>185</v>
      </c>
      <c r="V215" s="119"/>
    </row>
    <row r="216" spans="1:22" ht="24.9" customHeight="1" x14ac:dyDescent="0.3">
      <c r="A216" s="116">
        <v>60117</v>
      </c>
      <c r="B216" s="117"/>
      <c r="C216" s="114"/>
      <c r="D216" s="118"/>
      <c r="E216" s="119"/>
      <c r="F216" s="119"/>
      <c r="G216" s="119"/>
      <c r="H216" s="119"/>
      <c r="I216" s="119"/>
      <c r="J216" s="119"/>
      <c r="K216" s="119"/>
      <c r="L216" s="119"/>
      <c r="M216" s="119"/>
      <c r="N216" s="176"/>
      <c r="O216" s="119"/>
      <c r="P216" s="137"/>
      <c r="Q216" s="176"/>
      <c r="R216" s="119"/>
      <c r="S216" s="119">
        <v>200000</v>
      </c>
      <c r="T216" s="119">
        <v>190000</v>
      </c>
      <c r="U216" s="126" t="s">
        <v>207</v>
      </c>
      <c r="V216" s="119"/>
    </row>
    <row r="217" spans="1:22" ht="24.9" customHeight="1" x14ac:dyDescent="0.3">
      <c r="A217" s="116">
        <v>60117</v>
      </c>
      <c r="B217" s="117"/>
      <c r="C217" s="114"/>
      <c r="D217" s="118"/>
      <c r="E217" s="119"/>
      <c r="F217" s="119"/>
      <c r="G217" s="119"/>
      <c r="H217" s="119"/>
      <c r="I217" s="119"/>
      <c r="J217" s="119"/>
      <c r="K217" s="119"/>
      <c r="L217" s="119"/>
      <c r="M217" s="119"/>
      <c r="N217" s="176"/>
      <c r="O217" s="119"/>
      <c r="P217" s="137"/>
      <c r="Q217" s="176"/>
      <c r="R217" s="119"/>
      <c r="S217" s="119">
        <v>500000</v>
      </c>
      <c r="T217" s="119">
        <v>495000</v>
      </c>
      <c r="U217" s="126" t="s">
        <v>225</v>
      </c>
      <c r="V217" s="119"/>
    </row>
    <row r="218" spans="1:22" ht="24.9" customHeight="1" x14ac:dyDescent="0.3">
      <c r="A218" s="116">
        <v>60117</v>
      </c>
      <c r="B218" s="117"/>
      <c r="C218" s="114"/>
      <c r="D218" s="118"/>
      <c r="E218" s="119"/>
      <c r="F218" s="119"/>
      <c r="G218" s="119"/>
      <c r="H218" s="119"/>
      <c r="I218" s="119"/>
      <c r="J218" s="119"/>
      <c r="K218" s="119"/>
      <c r="L218" s="119"/>
      <c r="M218" s="119"/>
      <c r="N218" s="176"/>
      <c r="O218" s="119"/>
      <c r="P218" s="137"/>
      <c r="Q218" s="176"/>
      <c r="R218" s="119"/>
      <c r="S218" s="119">
        <v>300000</v>
      </c>
      <c r="T218" s="119">
        <v>297000</v>
      </c>
      <c r="U218" s="126" t="s">
        <v>258</v>
      </c>
      <c r="V218" s="119"/>
    </row>
    <row r="219" spans="1:22" ht="24.9" customHeight="1" x14ac:dyDescent="0.3">
      <c r="A219" s="116">
        <v>60117</v>
      </c>
      <c r="B219" s="117"/>
      <c r="C219" s="114"/>
      <c r="D219" s="118"/>
      <c r="E219" s="119"/>
      <c r="F219" s="119"/>
      <c r="G219" s="119"/>
      <c r="H219" s="119"/>
      <c r="I219" s="119"/>
      <c r="J219" s="119"/>
      <c r="K219" s="119"/>
      <c r="L219" s="119"/>
      <c r="M219" s="119"/>
      <c r="N219" s="176"/>
      <c r="O219" s="119"/>
      <c r="P219" s="137"/>
      <c r="Q219" s="176"/>
      <c r="R219" s="119"/>
      <c r="S219" s="119">
        <v>200000</v>
      </c>
      <c r="T219" s="184">
        <v>198000</v>
      </c>
      <c r="U219" s="126" t="s">
        <v>289</v>
      </c>
      <c r="V219" s="119"/>
    </row>
    <row r="220" spans="1:22" ht="24.9" customHeight="1" x14ac:dyDescent="0.3">
      <c r="A220" s="116">
        <v>60117</v>
      </c>
      <c r="B220" s="117"/>
      <c r="C220" s="114"/>
      <c r="D220" s="118"/>
      <c r="E220" s="119"/>
      <c r="F220" s="119"/>
      <c r="G220" s="119"/>
      <c r="H220" s="119"/>
      <c r="I220" s="119"/>
      <c r="J220" s="119"/>
      <c r="K220" s="119"/>
      <c r="L220" s="119"/>
      <c r="M220" s="119"/>
      <c r="N220" s="176"/>
      <c r="O220" s="119"/>
      <c r="P220" s="137"/>
      <c r="Q220" s="176"/>
      <c r="R220" s="119"/>
      <c r="S220" s="119">
        <v>300000</v>
      </c>
      <c r="T220" s="184">
        <v>297000</v>
      </c>
      <c r="U220" s="126" t="s">
        <v>329</v>
      </c>
      <c r="V220" s="119"/>
    </row>
    <row r="221" spans="1:22" ht="24.9" customHeight="1" x14ac:dyDescent="0.3">
      <c r="A221" s="116">
        <v>60117</v>
      </c>
      <c r="B221" s="117"/>
      <c r="C221" s="114"/>
      <c r="D221" s="118"/>
      <c r="E221" s="119"/>
      <c r="F221" s="119"/>
      <c r="G221" s="119"/>
      <c r="H221" s="119"/>
      <c r="I221" s="119"/>
      <c r="J221" s="119"/>
      <c r="K221" s="119"/>
      <c r="L221" s="119"/>
      <c r="M221" s="119"/>
      <c r="N221" s="176"/>
      <c r="O221" s="119"/>
      <c r="P221" s="137"/>
      <c r="Q221" s="176"/>
      <c r="R221" s="119"/>
      <c r="S221" s="119">
        <v>300000</v>
      </c>
      <c r="T221" s="184">
        <v>297000</v>
      </c>
      <c r="U221" s="126" t="s">
        <v>330</v>
      </c>
      <c r="V221" s="119"/>
    </row>
    <row r="222" spans="1:22" ht="24.9" customHeight="1" x14ac:dyDescent="0.3">
      <c r="A222" s="116">
        <v>60117</v>
      </c>
      <c r="B222" s="117"/>
      <c r="C222" s="114"/>
      <c r="D222" s="118"/>
      <c r="E222" s="119"/>
      <c r="F222" s="119"/>
      <c r="G222" s="119"/>
      <c r="H222" s="119"/>
      <c r="I222" s="119"/>
      <c r="J222" s="119"/>
      <c r="K222" s="119"/>
      <c r="L222" s="119"/>
      <c r="M222" s="119"/>
      <c r="N222" s="176"/>
      <c r="O222" s="119"/>
      <c r="P222" s="137"/>
      <c r="Q222" s="176"/>
      <c r="R222" s="119"/>
      <c r="S222" s="119">
        <v>200000</v>
      </c>
      <c r="T222" s="184">
        <v>198000</v>
      </c>
      <c r="U222" s="126" t="s">
        <v>335</v>
      </c>
      <c r="V222" s="119"/>
    </row>
    <row r="223" spans="1:22" ht="24.9" customHeight="1" x14ac:dyDescent="0.3">
      <c r="A223" s="149"/>
      <c r="B223" s="123"/>
      <c r="C223" s="120"/>
      <c r="D223" s="144"/>
      <c r="E223" s="121"/>
      <c r="F223" s="121"/>
      <c r="G223" s="121"/>
      <c r="H223" s="121"/>
      <c r="I223" s="121"/>
      <c r="J223" s="121"/>
      <c r="K223" s="121"/>
      <c r="L223" s="121"/>
      <c r="M223" s="121"/>
      <c r="N223" s="177"/>
      <c r="O223" s="121"/>
      <c r="P223" s="143">
        <f>A223</f>
        <v>0</v>
      </c>
      <c r="Q223" s="177"/>
      <c r="R223" s="121"/>
      <c r="S223" s="121"/>
      <c r="T223" s="121"/>
      <c r="U223" s="127"/>
      <c r="V223" s="121"/>
    </row>
    <row r="224" spans="1:22" ht="24.9" customHeight="1" x14ac:dyDescent="0.3">
      <c r="A224" s="116">
        <v>60810</v>
      </c>
      <c r="B224" s="117" t="s">
        <v>407</v>
      </c>
      <c r="C224" s="114">
        <v>45268</v>
      </c>
      <c r="D224" s="118" t="s">
        <v>250</v>
      </c>
      <c r="E224" s="119">
        <v>472500</v>
      </c>
      <c r="F224" s="119">
        <v>277584</v>
      </c>
      <c r="G224" s="119">
        <f>E224-F224</f>
        <v>194916</v>
      </c>
      <c r="H224" s="119">
        <f>G224*18%</f>
        <v>35084.879999999997</v>
      </c>
      <c r="I224" s="119">
        <f>G224+H224</f>
        <v>230000.88</v>
      </c>
      <c r="J224" s="119">
        <f>G224*1%</f>
        <v>1949.16</v>
      </c>
      <c r="K224" s="119">
        <f>G224*5%</f>
        <v>9745.8000000000011</v>
      </c>
      <c r="L224" s="119"/>
      <c r="M224" s="119">
        <f>G224*10%</f>
        <v>19491.600000000002</v>
      </c>
      <c r="N224" s="174">
        <f>G224*18%</f>
        <v>35084.879999999997</v>
      </c>
      <c r="O224" s="119">
        <f>G224-J224-K224-M224</f>
        <v>163729.44</v>
      </c>
      <c r="P224" s="137"/>
      <c r="Q224" s="176">
        <v>3150000</v>
      </c>
      <c r="R224" s="119">
        <f>Q224-SUM(S224:S231)</f>
        <v>100000</v>
      </c>
      <c r="S224" s="119">
        <v>150000</v>
      </c>
      <c r="T224" s="119">
        <f>S224-1%*S224</f>
        <v>148500</v>
      </c>
      <c r="U224" s="126" t="s">
        <v>166</v>
      </c>
      <c r="V224" s="119">
        <f>SUM(O224:O231)-SUM(T224:T231)</f>
        <v>-2625583.81</v>
      </c>
    </row>
    <row r="225" spans="1:22" ht="24.9" customHeight="1" x14ac:dyDescent="0.3">
      <c r="A225" s="116">
        <v>60810</v>
      </c>
      <c r="B225" s="117" t="s">
        <v>407</v>
      </c>
      <c r="C225" s="114">
        <v>45307</v>
      </c>
      <c r="D225" s="118" t="s">
        <v>273</v>
      </c>
      <c r="E225" s="119">
        <v>787500</v>
      </c>
      <c r="F225" s="119">
        <v>786996</v>
      </c>
      <c r="G225" s="119">
        <f>E225-F225</f>
        <v>504</v>
      </c>
      <c r="H225" s="119">
        <f>G225*18%</f>
        <v>90.72</v>
      </c>
      <c r="I225" s="119">
        <f>G225+H225</f>
        <v>594.72</v>
      </c>
      <c r="J225" s="119">
        <f>G225*1%</f>
        <v>5.04</v>
      </c>
      <c r="K225" s="119">
        <f>G225*5%</f>
        <v>25.200000000000003</v>
      </c>
      <c r="L225" s="119"/>
      <c r="M225" s="119">
        <f>G225*10%</f>
        <v>50.400000000000006</v>
      </c>
      <c r="N225" s="174">
        <f>G225*18%</f>
        <v>90.72</v>
      </c>
      <c r="O225" s="119">
        <f>G225-J225-K225-M225</f>
        <v>423.36</v>
      </c>
      <c r="P225" s="137"/>
      <c r="Q225" s="176"/>
      <c r="R225" s="119"/>
      <c r="S225" s="119">
        <v>500000</v>
      </c>
      <c r="T225" s="119">
        <f>S225-1%*S225</f>
        <v>495000</v>
      </c>
      <c r="U225" s="126" t="s">
        <v>172</v>
      </c>
      <c r="V225" s="119"/>
    </row>
    <row r="226" spans="1:22" ht="24.9" customHeight="1" x14ac:dyDescent="0.3">
      <c r="A226" s="116">
        <v>60810</v>
      </c>
      <c r="B226" s="117" t="s">
        <v>97</v>
      </c>
      <c r="C226" s="114"/>
      <c r="D226" s="118" t="s">
        <v>250</v>
      </c>
      <c r="E226" s="119">
        <f>N224</f>
        <v>35084.879999999997</v>
      </c>
      <c r="F226" s="119"/>
      <c r="G226" s="119"/>
      <c r="H226" s="119"/>
      <c r="I226" s="119"/>
      <c r="J226" s="119"/>
      <c r="K226" s="119"/>
      <c r="L226" s="119"/>
      <c r="M226" s="119"/>
      <c r="N226" s="176"/>
      <c r="O226" s="169">
        <f>E226</f>
        <v>35084.879999999997</v>
      </c>
      <c r="P226" s="137"/>
      <c r="Q226" s="176"/>
      <c r="R226" s="119"/>
      <c r="S226" s="119">
        <v>1000000</v>
      </c>
      <c r="T226" s="119">
        <f>S226-1%*S226</f>
        <v>990000</v>
      </c>
      <c r="U226" s="126" t="s">
        <v>175</v>
      </c>
      <c r="V226" s="119"/>
    </row>
    <row r="227" spans="1:22" ht="24.9" customHeight="1" x14ac:dyDescent="0.3">
      <c r="A227" s="116">
        <v>60810</v>
      </c>
      <c r="B227" s="117" t="s">
        <v>264</v>
      </c>
      <c r="C227" s="114">
        <v>45307</v>
      </c>
      <c r="D227" s="118">
        <v>171</v>
      </c>
      <c r="E227" s="119">
        <v>171164.5</v>
      </c>
      <c r="F227" s="119"/>
      <c r="G227" s="119">
        <f>E227-F227</f>
        <v>171164.5</v>
      </c>
      <c r="H227" s="119">
        <f>G227*18%</f>
        <v>30809.61</v>
      </c>
      <c r="I227" s="119">
        <f>G227+H227</f>
        <v>201974.11</v>
      </c>
      <c r="J227" s="119">
        <f>G227*1%</f>
        <v>1711.645</v>
      </c>
      <c r="K227" s="119">
        <f>G227*5%</f>
        <v>8558.2250000000004</v>
      </c>
      <c r="L227" s="119"/>
      <c r="M227" s="119">
        <f>G227*10%</f>
        <v>17116.45</v>
      </c>
      <c r="N227" s="174">
        <f>G227*18%</f>
        <v>30809.61</v>
      </c>
      <c r="O227" s="119">
        <f>G227-J227-K227-M227</f>
        <v>143778.18</v>
      </c>
      <c r="P227" s="137"/>
      <c r="Q227" s="176"/>
      <c r="R227" s="119"/>
      <c r="S227" s="119">
        <v>400000</v>
      </c>
      <c r="T227" s="119">
        <f>S227-1%*S227</f>
        <v>396000</v>
      </c>
      <c r="U227" s="126" t="s">
        <v>189</v>
      </c>
      <c r="V227" s="119"/>
    </row>
    <row r="228" spans="1:22" ht="24.9" customHeight="1" x14ac:dyDescent="0.3">
      <c r="A228" s="116">
        <v>60810</v>
      </c>
      <c r="B228" s="117" t="s">
        <v>97</v>
      </c>
      <c r="C228" s="114"/>
      <c r="D228" s="118">
        <v>171</v>
      </c>
      <c r="E228" s="119">
        <f>N227</f>
        <v>30809.61</v>
      </c>
      <c r="F228" s="119"/>
      <c r="G228" s="119"/>
      <c r="H228" s="119"/>
      <c r="I228" s="119"/>
      <c r="J228" s="119"/>
      <c r="K228" s="119"/>
      <c r="L228" s="119"/>
      <c r="M228" s="119"/>
      <c r="N228" s="176"/>
      <c r="O228" s="169">
        <f>E228</f>
        <v>30809.61</v>
      </c>
      <c r="P228" s="137" t="s">
        <v>265</v>
      </c>
      <c r="Q228" s="176"/>
      <c r="R228" s="119"/>
      <c r="S228" s="119">
        <v>500000</v>
      </c>
      <c r="T228" s="119">
        <v>475000</v>
      </c>
      <c r="U228" s="126" t="s">
        <v>199</v>
      </c>
      <c r="V228" s="119"/>
    </row>
    <row r="229" spans="1:22" ht="24.9" customHeight="1" x14ac:dyDescent="0.3">
      <c r="A229" s="116">
        <v>60810</v>
      </c>
      <c r="B229" s="117" t="s">
        <v>97</v>
      </c>
      <c r="C229" s="114"/>
      <c r="D229" s="118" t="s">
        <v>273</v>
      </c>
      <c r="E229" s="119">
        <f>N225</f>
        <v>90.72</v>
      </c>
      <c r="F229" s="119"/>
      <c r="G229" s="119"/>
      <c r="H229" s="119"/>
      <c r="I229" s="119"/>
      <c r="J229" s="119"/>
      <c r="K229" s="119"/>
      <c r="L229" s="119"/>
      <c r="M229" s="119"/>
      <c r="N229" s="176"/>
      <c r="O229" s="169">
        <f>E229</f>
        <v>90.72</v>
      </c>
      <c r="P229" s="137"/>
      <c r="Q229" s="176"/>
      <c r="R229" s="119"/>
      <c r="S229" s="119">
        <v>200000</v>
      </c>
      <c r="T229" s="119">
        <v>198000</v>
      </c>
      <c r="U229" s="126" t="s">
        <v>274</v>
      </c>
      <c r="V229" s="119"/>
    </row>
    <row r="230" spans="1:22" ht="24.9" customHeight="1" x14ac:dyDescent="0.3">
      <c r="A230" s="116">
        <v>60810</v>
      </c>
      <c r="B230" s="117"/>
      <c r="C230" s="114"/>
      <c r="D230" s="118"/>
      <c r="E230" s="119"/>
      <c r="F230" s="119"/>
      <c r="G230" s="119"/>
      <c r="H230" s="119"/>
      <c r="I230" s="119"/>
      <c r="J230" s="119"/>
      <c r="K230" s="119"/>
      <c r="L230" s="119"/>
      <c r="M230" s="119"/>
      <c r="N230" s="176"/>
      <c r="O230" s="119"/>
      <c r="P230" s="137"/>
      <c r="Q230" s="176"/>
      <c r="R230" s="119"/>
      <c r="S230" s="119">
        <v>200000</v>
      </c>
      <c r="T230" s="184">
        <v>198000</v>
      </c>
      <c r="U230" s="126" t="s">
        <v>301</v>
      </c>
      <c r="V230" s="119"/>
    </row>
    <row r="231" spans="1:22" ht="24.9" customHeight="1" x14ac:dyDescent="0.3">
      <c r="A231" s="116">
        <v>60810</v>
      </c>
      <c r="B231" s="117"/>
      <c r="C231" s="114"/>
      <c r="D231" s="118"/>
      <c r="E231" s="119"/>
      <c r="F231" s="119"/>
      <c r="G231" s="119"/>
      <c r="H231" s="119"/>
      <c r="I231" s="119"/>
      <c r="J231" s="119"/>
      <c r="K231" s="119"/>
      <c r="L231" s="119"/>
      <c r="M231" s="119"/>
      <c r="N231" s="176"/>
      <c r="O231" s="119"/>
      <c r="P231" s="137"/>
      <c r="Q231" s="176"/>
      <c r="R231" s="119"/>
      <c r="S231" s="119">
        <v>100000</v>
      </c>
      <c r="T231" s="184">
        <v>99000</v>
      </c>
      <c r="U231" s="126" t="s">
        <v>306</v>
      </c>
      <c r="V231" s="119"/>
    </row>
    <row r="232" spans="1:22" ht="24.9" customHeight="1" x14ac:dyDescent="0.3">
      <c r="A232" s="149"/>
      <c r="B232" s="123"/>
      <c r="C232" s="120"/>
      <c r="D232" s="144"/>
      <c r="E232" s="121"/>
      <c r="F232" s="121"/>
      <c r="G232" s="121"/>
      <c r="H232" s="121"/>
      <c r="I232" s="121"/>
      <c r="J232" s="121"/>
      <c r="K232" s="121"/>
      <c r="L232" s="121"/>
      <c r="M232" s="121"/>
      <c r="N232" s="177"/>
      <c r="O232" s="121"/>
      <c r="P232" s="143">
        <f>A232</f>
        <v>0</v>
      </c>
      <c r="Q232" s="177"/>
      <c r="R232" s="121"/>
      <c r="S232" s="121"/>
      <c r="T232" s="121"/>
      <c r="U232" s="127"/>
      <c r="V232" s="121"/>
    </row>
    <row r="233" spans="1:22" ht="24.9" customHeight="1" x14ac:dyDescent="0.3">
      <c r="A233" s="116">
        <v>60811</v>
      </c>
      <c r="B233" s="117" t="s">
        <v>408</v>
      </c>
      <c r="C233" s="114">
        <v>45268</v>
      </c>
      <c r="D233" s="118" t="s">
        <v>251</v>
      </c>
      <c r="E233" s="119">
        <v>472500</v>
      </c>
      <c r="F233" s="119">
        <v>276596</v>
      </c>
      <c r="G233" s="119">
        <f>E233-F233</f>
        <v>195904</v>
      </c>
      <c r="H233" s="119">
        <f>G233*18%</f>
        <v>35262.720000000001</v>
      </c>
      <c r="I233" s="119">
        <f>G233+H233</f>
        <v>231166.72</v>
      </c>
      <c r="J233" s="119">
        <f>G233*1%</f>
        <v>1959.04</v>
      </c>
      <c r="K233" s="119">
        <f>G233*5%</f>
        <v>9795.2000000000007</v>
      </c>
      <c r="L233" s="119"/>
      <c r="M233" s="119">
        <f>G233*10%</f>
        <v>19590.400000000001</v>
      </c>
      <c r="N233" s="174">
        <f>G233*18%</f>
        <v>35262.720000000001</v>
      </c>
      <c r="O233" s="119">
        <f>I233-SUM(J233:N233)</f>
        <v>164559.35999999999</v>
      </c>
      <c r="P233" s="137"/>
      <c r="Q233" s="176">
        <v>3150000</v>
      </c>
      <c r="R233" s="119">
        <f>Q233-SUM(S233:S239)</f>
        <v>100000</v>
      </c>
      <c r="S233" s="119">
        <v>150000</v>
      </c>
      <c r="T233" s="119">
        <f>S233-1%*S233</f>
        <v>148500</v>
      </c>
      <c r="U233" s="126" t="s">
        <v>165</v>
      </c>
      <c r="V233" s="119">
        <f>SUM(O233:O239)-SUM(T233:T239)</f>
        <v>-2660684.2540000002</v>
      </c>
    </row>
    <row r="234" spans="1:22" ht="24.9" customHeight="1" x14ac:dyDescent="0.3">
      <c r="A234" s="116">
        <v>60811</v>
      </c>
      <c r="B234" s="117" t="s">
        <v>97</v>
      </c>
      <c r="C234" s="114"/>
      <c r="D234" s="118" t="s">
        <v>251</v>
      </c>
      <c r="E234" s="119">
        <f>N233</f>
        <v>35262.720000000001</v>
      </c>
      <c r="F234" s="119"/>
      <c r="G234" s="119"/>
      <c r="H234" s="119"/>
      <c r="I234" s="119"/>
      <c r="J234" s="119"/>
      <c r="K234" s="119"/>
      <c r="L234" s="119"/>
      <c r="M234" s="119"/>
      <c r="N234" s="176"/>
      <c r="O234" s="169">
        <f>E234</f>
        <v>35262.720000000001</v>
      </c>
      <c r="P234" s="137"/>
      <c r="Q234" s="176"/>
      <c r="R234" s="119"/>
      <c r="S234" s="119">
        <v>500000</v>
      </c>
      <c r="T234" s="119">
        <f>S234-1%*S234</f>
        <v>495000</v>
      </c>
      <c r="U234" s="126" t="s">
        <v>170</v>
      </c>
      <c r="V234" s="119"/>
    </row>
    <row r="235" spans="1:22" ht="24.9" customHeight="1" x14ac:dyDescent="0.3">
      <c r="A235" s="116">
        <v>60811</v>
      </c>
      <c r="B235" s="117" t="s">
        <v>264</v>
      </c>
      <c r="C235" s="114">
        <v>45307</v>
      </c>
      <c r="D235" s="118">
        <v>16</v>
      </c>
      <c r="E235" s="119">
        <v>136268.29999999999</v>
      </c>
      <c r="F235" s="119"/>
      <c r="G235" s="119">
        <f>E235-F235</f>
        <v>136268.29999999999</v>
      </c>
      <c r="H235" s="119">
        <f>G235*18%</f>
        <v>24528.293999999998</v>
      </c>
      <c r="I235" s="119">
        <f>G235+H235</f>
        <v>160796.59399999998</v>
      </c>
      <c r="J235" s="119">
        <f>G235*1%</f>
        <v>1362.683</v>
      </c>
      <c r="K235" s="119">
        <f>G235*5%</f>
        <v>6813.415</v>
      </c>
      <c r="L235" s="119"/>
      <c r="M235" s="119">
        <f>G235*10%</f>
        <v>13626.83</v>
      </c>
      <c r="N235" s="174">
        <f>G235*18%</f>
        <v>24528.293999999998</v>
      </c>
      <c r="O235" s="119">
        <f>I235-SUM(J235:N235)</f>
        <v>114465.37199999999</v>
      </c>
      <c r="P235" s="137"/>
      <c r="Q235" s="176"/>
      <c r="R235" s="119"/>
      <c r="S235" s="119">
        <v>500000</v>
      </c>
      <c r="T235" s="119">
        <f>S235-1%*S235</f>
        <v>495000</v>
      </c>
      <c r="U235" s="126" t="s">
        <v>174</v>
      </c>
      <c r="V235" s="119"/>
    </row>
    <row r="236" spans="1:22" ht="24.9" customHeight="1" x14ac:dyDescent="0.3">
      <c r="A236" s="116">
        <v>60811</v>
      </c>
      <c r="B236" s="117" t="s">
        <v>97</v>
      </c>
      <c r="C236" s="114"/>
      <c r="D236" s="118">
        <v>16</v>
      </c>
      <c r="E236" s="119">
        <f>N235</f>
        <v>24528.293999999998</v>
      </c>
      <c r="F236" s="119"/>
      <c r="G236" s="119"/>
      <c r="H236" s="119"/>
      <c r="I236" s="119"/>
      <c r="J236" s="119"/>
      <c r="K236" s="119"/>
      <c r="L236" s="119"/>
      <c r="M236" s="119"/>
      <c r="N236" s="176"/>
      <c r="O236" s="169">
        <f>E236</f>
        <v>24528.293999999998</v>
      </c>
      <c r="P236" s="137" t="s">
        <v>265</v>
      </c>
      <c r="Q236" s="176"/>
      <c r="R236" s="119"/>
      <c r="S236" s="119">
        <v>1000000</v>
      </c>
      <c r="T236" s="119">
        <f>S236-1%*S236</f>
        <v>990000</v>
      </c>
      <c r="U236" s="126" t="s">
        <v>182</v>
      </c>
      <c r="V236" s="119"/>
    </row>
    <row r="237" spans="1:22" ht="24.9" customHeight="1" x14ac:dyDescent="0.3">
      <c r="A237" s="116">
        <v>60811</v>
      </c>
      <c r="B237" s="117"/>
      <c r="C237" s="114"/>
      <c r="D237" s="118"/>
      <c r="E237" s="119"/>
      <c r="F237" s="119"/>
      <c r="G237" s="119"/>
      <c r="H237" s="119"/>
      <c r="I237" s="119"/>
      <c r="J237" s="119"/>
      <c r="K237" s="119"/>
      <c r="L237" s="119"/>
      <c r="M237" s="119"/>
      <c r="N237" s="176"/>
      <c r="O237" s="119"/>
      <c r="P237" s="137"/>
      <c r="Q237" s="176"/>
      <c r="R237" s="119"/>
      <c r="S237" s="119">
        <v>500000</v>
      </c>
      <c r="T237" s="119">
        <v>475000</v>
      </c>
      <c r="U237" s="126" t="s">
        <v>200</v>
      </c>
      <c r="V237" s="119"/>
    </row>
    <row r="238" spans="1:22" ht="24.9" customHeight="1" x14ac:dyDescent="0.3">
      <c r="A238" s="116">
        <v>60811</v>
      </c>
      <c r="B238" s="117"/>
      <c r="C238" s="114"/>
      <c r="D238" s="118"/>
      <c r="E238" s="119"/>
      <c r="F238" s="119"/>
      <c r="G238" s="119"/>
      <c r="H238" s="119"/>
      <c r="I238" s="119"/>
      <c r="J238" s="119"/>
      <c r="K238" s="119"/>
      <c r="L238" s="119"/>
      <c r="M238" s="119"/>
      <c r="N238" s="176"/>
      <c r="O238" s="119"/>
      <c r="P238" s="137"/>
      <c r="Q238" s="176"/>
      <c r="R238" s="119"/>
      <c r="S238" s="119">
        <v>200000</v>
      </c>
      <c r="T238" s="184">
        <v>198000</v>
      </c>
      <c r="U238" s="126" t="s">
        <v>290</v>
      </c>
      <c r="V238" s="119"/>
    </row>
    <row r="239" spans="1:22" ht="24.9" customHeight="1" x14ac:dyDescent="0.3">
      <c r="A239" s="116">
        <v>60811</v>
      </c>
      <c r="B239" s="117"/>
      <c r="C239" s="114"/>
      <c r="D239" s="118"/>
      <c r="E239" s="119"/>
      <c r="F239" s="119"/>
      <c r="G239" s="119"/>
      <c r="H239" s="119"/>
      <c r="I239" s="119"/>
      <c r="J239" s="119"/>
      <c r="K239" s="119"/>
      <c r="L239" s="119"/>
      <c r="M239" s="119"/>
      <c r="N239" s="176"/>
      <c r="O239" s="119"/>
      <c r="P239" s="137"/>
      <c r="Q239" s="176"/>
      <c r="R239" s="119"/>
      <c r="S239" s="119">
        <v>200000</v>
      </c>
      <c r="T239" s="184">
        <v>198000</v>
      </c>
      <c r="U239" s="126" t="s">
        <v>336</v>
      </c>
      <c r="V239" s="119"/>
    </row>
    <row r="240" spans="1:22" ht="24.9" customHeight="1" x14ac:dyDescent="0.3">
      <c r="A240" s="149"/>
      <c r="B240" s="123"/>
      <c r="C240" s="120"/>
      <c r="D240" s="144"/>
      <c r="E240" s="121"/>
      <c r="F240" s="121"/>
      <c r="G240" s="121"/>
      <c r="H240" s="121"/>
      <c r="I240" s="121"/>
      <c r="J240" s="121"/>
      <c r="K240" s="121"/>
      <c r="L240" s="121"/>
      <c r="M240" s="121"/>
      <c r="N240" s="177"/>
      <c r="O240" s="121"/>
      <c r="P240" s="143">
        <f>A240</f>
        <v>0</v>
      </c>
      <c r="Q240" s="177"/>
      <c r="R240" s="121"/>
      <c r="S240" s="121"/>
      <c r="T240" s="121"/>
      <c r="U240" s="127"/>
      <c r="V240" s="121"/>
    </row>
    <row r="241" spans="1:22" ht="24.9" customHeight="1" x14ac:dyDescent="0.3">
      <c r="A241" s="116">
        <v>60813</v>
      </c>
      <c r="B241" s="117" t="s">
        <v>184</v>
      </c>
      <c r="C241" s="114">
        <v>45268</v>
      </c>
      <c r="D241" s="118" t="s">
        <v>256</v>
      </c>
      <c r="E241" s="119">
        <v>937500</v>
      </c>
      <c r="F241" s="119">
        <v>397462</v>
      </c>
      <c r="G241" s="119">
        <f>E241-F241</f>
        <v>540038</v>
      </c>
      <c r="H241" s="119">
        <f>G241*18%</f>
        <v>97206.84</v>
      </c>
      <c r="I241" s="119">
        <f>G241+H241</f>
        <v>637244.84</v>
      </c>
      <c r="J241" s="119">
        <f>G241*1%</f>
        <v>5400.38</v>
      </c>
      <c r="K241" s="119">
        <f>G241*5%</f>
        <v>27001.9</v>
      </c>
      <c r="L241" s="119"/>
      <c r="M241" s="119">
        <f>G241*10%</f>
        <v>54003.8</v>
      </c>
      <c r="N241" s="176">
        <f>G241*18%</f>
        <v>97206.84</v>
      </c>
      <c r="O241" s="119">
        <f>I241-SUM(J241:N241)</f>
        <v>453631.92</v>
      </c>
      <c r="P241" s="137"/>
      <c r="Q241" s="176">
        <v>6250000</v>
      </c>
      <c r="R241" s="119">
        <f>Q241-SUM(S241:S253)</f>
        <v>150000</v>
      </c>
      <c r="S241" s="119">
        <v>500000</v>
      </c>
      <c r="T241" s="119">
        <f>S241-1%*S241</f>
        <v>495000</v>
      </c>
      <c r="U241" s="126" t="s">
        <v>162</v>
      </c>
      <c r="V241" s="119">
        <f>SUM(O241:O253)-SUM(T241:T253)</f>
        <v>-5480161.2400000002</v>
      </c>
    </row>
    <row r="242" spans="1:22" ht="24.9" customHeight="1" x14ac:dyDescent="0.3">
      <c r="A242" s="116">
        <v>60813</v>
      </c>
      <c r="B242" s="117" t="s">
        <v>97</v>
      </c>
      <c r="C242" s="114"/>
      <c r="D242" s="118" t="s">
        <v>256</v>
      </c>
      <c r="E242" s="119">
        <f>N241</f>
        <v>97206.84</v>
      </c>
      <c r="F242" s="119"/>
      <c r="G242" s="119"/>
      <c r="H242" s="119"/>
      <c r="I242" s="119"/>
      <c r="J242" s="119"/>
      <c r="K242" s="119"/>
      <c r="L242" s="119"/>
      <c r="M242" s="119"/>
      <c r="N242" s="176"/>
      <c r="O242" s="119">
        <f>E242</f>
        <v>97206.84</v>
      </c>
      <c r="P242" s="137"/>
      <c r="Q242" s="176"/>
      <c r="R242" s="119"/>
      <c r="S242" s="119">
        <v>500000</v>
      </c>
      <c r="T242" s="119">
        <f>S242-1%*S242</f>
        <v>495000</v>
      </c>
      <c r="U242" s="126" t="s">
        <v>176</v>
      </c>
      <c r="V242" s="119"/>
    </row>
    <row r="243" spans="1:22" ht="24.9" customHeight="1" x14ac:dyDescent="0.3">
      <c r="A243" s="116">
        <v>60813</v>
      </c>
      <c r="B243" s="117"/>
      <c r="C243" s="114"/>
      <c r="D243" s="118"/>
      <c r="E243" s="119"/>
      <c r="F243" s="119"/>
      <c r="G243" s="119"/>
      <c r="H243" s="119"/>
      <c r="I243" s="119"/>
      <c r="J243" s="119"/>
      <c r="K243" s="119"/>
      <c r="L243" s="119"/>
      <c r="M243" s="119"/>
      <c r="N243" s="176"/>
      <c r="O243" s="119"/>
      <c r="P243" s="137"/>
      <c r="Q243" s="176"/>
      <c r="R243" s="119"/>
      <c r="S243" s="119">
        <v>1000000</v>
      </c>
      <c r="T243" s="119">
        <f>S243-1%*S243</f>
        <v>990000</v>
      </c>
      <c r="U243" s="126" t="s">
        <v>183</v>
      </c>
      <c r="V243" s="119"/>
    </row>
    <row r="244" spans="1:22" ht="24.9" customHeight="1" x14ac:dyDescent="0.3">
      <c r="A244" s="116">
        <v>60813</v>
      </c>
      <c r="B244" s="117"/>
      <c r="C244" s="114"/>
      <c r="D244" s="118"/>
      <c r="E244" s="119"/>
      <c r="F244" s="119"/>
      <c r="G244" s="119"/>
      <c r="H244" s="119"/>
      <c r="I244" s="119"/>
      <c r="J244" s="119"/>
      <c r="K244" s="119"/>
      <c r="L244" s="119"/>
      <c r="M244" s="119"/>
      <c r="N244" s="176"/>
      <c r="O244" s="119"/>
      <c r="P244" s="137"/>
      <c r="Q244" s="176"/>
      <c r="R244" s="119"/>
      <c r="S244" s="119">
        <v>1000000</v>
      </c>
      <c r="T244" s="119">
        <f>S244-1%*S244</f>
        <v>990000</v>
      </c>
      <c r="U244" s="126" t="s">
        <v>188</v>
      </c>
      <c r="V244" s="119"/>
    </row>
    <row r="245" spans="1:22" ht="24.9" customHeight="1" x14ac:dyDescent="0.3">
      <c r="A245" s="116">
        <v>60813</v>
      </c>
      <c r="B245" s="117"/>
      <c r="C245" s="114"/>
      <c r="D245" s="118"/>
      <c r="E245" s="119"/>
      <c r="F245" s="119"/>
      <c r="G245" s="119"/>
      <c r="H245" s="119"/>
      <c r="I245" s="119"/>
      <c r="J245" s="119"/>
      <c r="K245" s="119"/>
      <c r="L245" s="119"/>
      <c r="M245" s="119"/>
      <c r="N245" s="176"/>
      <c r="O245" s="119"/>
      <c r="P245" s="137"/>
      <c r="Q245" s="176"/>
      <c r="R245" s="119"/>
      <c r="S245" s="119">
        <v>200000</v>
      </c>
      <c r="T245" s="119">
        <v>190000</v>
      </c>
      <c r="U245" s="126" t="s">
        <v>206</v>
      </c>
      <c r="V245" s="119"/>
    </row>
    <row r="246" spans="1:22" ht="24.9" customHeight="1" x14ac:dyDescent="0.3">
      <c r="A246" s="116">
        <v>60813</v>
      </c>
      <c r="B246" s="117"/>
      <c r="C246" s="114"/>
      <c r="D246" s="118"/>
      <c r="E246" s="119"/>
      <c r="F246" s="119"/>
      <c r="G246" s="119"/>
      <c r="H246" s="119"/>
      <c r="I246" s="119"/>
      <c r="J246" s="119"/>
      <c r="K246" s="119"/>
      <c r="L246" s="119"/>
      <c r="M246" s="119"/>
      <c r="N246" s="176"/>
      <c r="O246" s="119"/>
      <c r="P246" s="137"/>
      <c r="Q246" s="176"/>
      <c r="R246" s="119"/>
      <c r="S246" s="119">
        <v>500000</v>
      </c>
      <c r="T246" s="119">
        <v>495000</v>
      </c>
      <c r="U246" s="126" t="s">
        <v>218</v>
      </c>
      <c r="V246" s="119"/>
    </row>
    <row r="247" spans="1:22" ht="24.9" customHeight="1" x14ac:dyDescent="0.3">
      <c r="A247" s="116">
        <v>60813</v>
      </c>
      <c r="B247" s="117"/>
      <c r="C247" s="114"/>
      <c r="D247" s="118"/>
      <c r="E247" s="119"/>
      <c r="F247" s="119"/>
      <c r="G247" s="119"/>
      <c r="H247" s="119"/>
      <c r="I247" s="119"/>
      <c r="J247" s="119"/>
      <c r="K247" s="119"/>
      <c r="L247" s="119"/>
      <c r="M247" s="119"/>
      <c r="N247" s="176"/>
      <c r="O247" s="119"/>
      <c r="P247" s="137"/>
      <c r="Q247" s="176"/>
      <c r="R247" s="119"/>
      <c r="S247" s="119">
        <v>500000</v>
      </c>
      <c r="T247" s="119">
        <v>495000</v>
      </c>
      <c r="U247" s="126" t="s">
        <v>417</v>
      </c>
      <c r="V247" s="119"/>
    </row>
    <row r="248" spans="1:22" ht="24.9" customHeight="1" x14ac:dyDescent="0.3">
      <c r="A248" s="116">
        <v>60813</v>
      </c>
      <c r="B248" s="117"/>
      <c r="C248" s="114"/>
      <c r="D248" s="118"/>
      <c r="E248" s="119"/>
      <c r="F248" s="119"/>
      <c r="G248" s="119"/>
      <c r="H248" s="119"/>
      <c r="I248" s="119"/>
      <c r="J248" s="119"/>
      <c r="K248" s="119"/>
      <c r="L248" s="119"/>
      <c r="M248" s="119"/>
      <c r="N248" s="176"/>
      <c r="O248" s="119"/>
      <c r="P248" s="137"/>
      <c r="Q248" s="176"/>
      <c r="R248" s="119"/>
      <c r="S248" s="119">
        <v>300000</v>
      </c>
      <c r="T248" s="119">
        <v>297000</v>
      </c>
      <c r="U248" s="126" t="s">
        <v>257</v>
      </c>
      <c r="V248" s="119"/>
    </row>
    <row r="249" spans="1:22" ht="24.9" customHeight="1" x14ac:dyDescent="0.3">
      <c r="A249" s="116">
        <v>60813</v>
      </c>
      <c r="B249" s="117"/>
      <c r="C249" s="114"/>
      <c r="D249" s="118"/>
      <c r="E249" s="119"/>
      <c r="F249" s="119"/>
      <c r="G249" s="119"/>
      <c r="H249" s="119"/>
      <c r="I249" s="119"/>
      <c r="J249" s="119"/>
      <c r="K249" s="119"/>
      <c r="L249" s="119"/>
      <c r="M249" s="119"/>
      <c r="N249" s="176"/>
      <c r="O249" s="119"/>
      <c r="P249" s="137"/>
      <c r="Q249" s="176"/>
      <c r="R249" s="119"/>
      <c r="S249" s="119">
        <v>500000</v>
      </c>
      <c r="T249" s="119">
        <v>495000</v>
      </c>
      <c r="U249" s="126" t="s">
        <v>262</v>
      </c>
      <c r="V249" s="119"/>
    </row>
    <row r="250" spans="1:22" ht="24.9" customHeight="1" x14ac:dyDescent="0.3">
      <c r="A250" s="116">
        <v>60813</v>
      </c>
      <c r="B250" s="117"/>
      <c r="C250" s="114"/>
      <c r="D250" s="118"/>
      <c r="E250" s="119"/>
      <c r="F250" s="119"/>
      <c r="G250" s="119"/>
      <c r="H250" s="119"/>
      <c r="I250" s="119"/>
      <c r="J250" s="119"/>
      <c r="K250" s="119"/>
      <c r="L250" s="119"/>
      <c r="M250" s="119"/>
      <c r="N250" s="176"/>
      <c r="O250" s="119"/>
      <c r="P250" s="137"/>
      <c r="Q250" s="176"/>
      <c r="R250" s="119"/>
      <c r="S250" s="119">
        <v>400000</v>
      </c>
      <c r="T250" s="184">
        <v>396000</v>
      </c>
      <c r="U250" s="126" t="s">
        <v>302</v>
      </c>
      <c r="V250" s="119"/>
    </row>
    <row r="251" spans="1:22" ht="24.9" customHeight="1" x14ac:dyDescent="0.3">
      <c r="A251" s="116">
        <v>60813</v>
      </c>
      <c r="B251" s="117"/>
      <c r="C251" s="114"/>
      <c r="D251" s="118"/>
      <c r="E251" s="119"/>
      <c r="F251" s="119"/>
      <c r="G251" s="119"/>
      <c r="H251" s="119"/>
      <c r="I251" s="119"/>
      <c r="J251" s="119"/>
      <c r="K251" s="119"/>
      <c r="L251" s="119"/>
      <c r="M251" s="119"/>
      <c r="N251" s="176"/>
      <c r="O251" s="119"/>
      <c r="P251" s="137"/>
      <c r="Q251" s="176"/>
      <c r="R251" s="119"/>
      <c r="S251" s="119">
        <v>300000</v>
      </c>
      <c r="T251" s="184">
        <v>297000</v>
      </c>
      <c r="U251" s="126" t="s">
        <v>305</v>
      </c>
      <c r="V251" s="119"/>
    </row>
    <row r="252" spans="1:22" ht="24.9" customHeight="1" x14ac:dyDescent="0.3">
      <c r="A252" s="116">
        <v>60813</v>
      </c>
      <c r="B252" s="117"/>
      <c r="C252" s="114"/>
      <c r="D252" s="118"/>
      <c r="E252" s="119"/>
      <c r="F252" s="119"/>
      <c r="G252" s="119"/>
      <c r="H252" s="119"/>
      <c r="I252" s="119"/>
      <c r="J252" s="119"/>
      <c r="K252" s="119"/>
      <c r="L252" s="119"/>
      <c r="M252" s="119"/>
      <c r="N252" s="176"/>
      <c r="O252" s="119"/>
      <c r="P252" s="137"/>
      <c r="Q252" s="176"/>
      <c r="R252" s="119"/>
      <c r="S252" s="119">
        <v>200000</v>
      </c>
      <c r="T252" s="184">
        <v>198000</v>
      </c>
      <c r="U252" s="126" t="s">
        <v>314</v>
      </c>
      <c r="V252" s="119"/>
    </row>
    <row r="253" spans="1:22" ht="24.9" customHeight="1" x14ac:dyDescent="0.3">
      <c r="A253" s="116">
        <v>60813</v>
      </c>
      <c r="B253" s="117"/>
      <c r="C253" s="114"/>
      <c r="D253" s="118"/>
      <c r="E253" s="119"/>
      <c r="F253" s="119"/>
      <c r="G253" s="119"/>
      <c r="H253" s="119"/>
      <c r="I253" s="119"/>
      <c r="J253" s="119"/>
      <c r="K253" s="119"/>
      <c r="L253" s="119"/>
      <c r="M253" s="119"/>
      <c r="N253" s="176"/>
      <c r="O253" s="119"/>
      <c r="P253" s="137"/>
      <c r="Q253" s="176"/>
      <c r="R253" s="119"/>
      <c r="S253" s="119">
        <v>200000</v>
      </c>
      <c r="T253" s="184">
        <v>198000</v>
      </c>
      <c r="U253" s="126" t="s">
        <v>337</v>
      </c>
      <c r="V253" s="119"/>
    </row>
    <row r="254" spans="1:22" ht="24.9" customHeight="1" x14ac:dyDescent="0.3">
      <c r="A254" s="149"/>
      <c r="B254" s="123"/>
      <c r="C254" s="120"/>
      <c r="D254" s="144"/>
      <c r="E254" s="121"/>
      <c r="F254" s="121"/>
      <c r="G254" s="121"/>
      <c r="H254" s="121"/>
      <c r="I254" s="121"/>
      <c r="J254" s="121"/>
      <c r="K254" s="121"/>
      <c r="L254" s="121"/>
      <c r="M254" s="121"/>
      <c r="N254" s="177"/>
      <c r="O254" s="121"/>
      <c r="P254" s="143">
        <f>A254</f>
        <v>0</v>
      </c>
      <c r="Q254" s="177"/>
      <c r="R254" s="121"/>
      <c r="S254" s="121"/>
      <c r="T254" s="121"/>
      <c r="U254" s="127"/>
      <c r="V254" s="121"/>
    </row>
    <row r="255" spans="1:22" ht="24.9" customHeight="1" x14ac:dyDescent="0.3">
      <c r="A255" s="116">
        <v>60814</v>
      </c>
      <c r="B255" s="117" t="s">
        <v>409</v>
      </c>
      <c r="C255" s="114">
        <v>45268</v>
      </c>
      <c r="D255" s="118" t="s">
        <v>275</v>
      </c>
      <c r="E255" s="119">
        <v>285000</v>
      </c>
      <c r="F255" s="119">
        <v>214252</v>
      </c>
      <c r="G255" s="119">
        <f>E255-F255</f>
        <v>70748</v>
      </c>
      <c r="H255" s="119">
        <f>G255*18%</f>
        <v>12734.64</v>
      </c>
      <c r="I255" s="119">
        <f>G255+H255</f>
        <v>83482.64</v>
      </c>
      <c r="J255" s="119">
        <f>G255*1%</f>
        <v>707.48</v>
      </c>
      <c r="K255" s="119">
        <f>G255*5%</f>
        <v>3537.4</v>
      </c>
      <c r="L255" s="119"/>
      <c r="M255" s="119">
        <f>G255*10%</f>
        <v>7074.8</v>
      </c>
      <c r="N255" s="174">
        <f>H255</f>
        <v>12734.64</v>
      </c>
      <c r="O255" s="119">
        <f>I255-SUM(J255:N255)</f>
        <v>59428.32</v>
      </c>
      <c r="P255" s="137"/>
      <c r="Q255" s="176">
        <v>1900000</v>
      </c>
      <c r="R255" s="119">
        <f>Q255-SUM(S255:S259)</f>
        <v>-400000</v>
      </c>
      <c r="S255" s="119">
        <v>500000</v>
      </c>
      <c r="T255" s="119">
        <f>S255-1%*S255</f>
        <v>495000</v>
      </c>
      <c r="U255" s="126" t="s">
        <v>164</v>
      </c>
      <c r="V255" s="119">
        <f>SUM(O255:O259)-SUM(T255:T259)</f>
        <v>-2122882.5839999998</v>
      </c>
    </row>
    <row r="256" spans="1:22" ht="24.9" customHeight="1" x14ac:dyDescent="0.3">
      <c r="A256" s="116">
        <v>60814</v>
      </c>
      <c r="B256" s="117" t="s">
        <v>97</v>
      </c>
      <c r="C256" s="114"/>
      <c r="D256" s="118" t="s">
        <v>275</v>
      </c>
      <c r="E256" s="119">
        <f>N255</f>
        <v>12734.64</v>
      </c>
      <c r="F256" s="119"/>
      <c r="G256" s="119"/>
      <c r="H256" s="119"/>
      <c r="I256" s="119"/>
      <c r="J256" s="119"/>
      <c r="K256" s="119"/>
      <c r="L256" s="119"/>
      <c r="M256" s="119"/>
      <c r="N256" s="176"/>
      <c r="O256" s="169">
        <f>E256</f>
        <v>12734.64</v>
      </c>
      <c r="P256" s="137"/>
      <c r="Q256" s="176"/>
      <c r="R256" s="119"/>
      <c r="S256" s="119">
        <v>500000</v>
      </c>
      <c r="T256" s="119">
        <v>495000</v>
      </c>
      <c r="U256" s="126" t="s">
        <v>171</v>
      </c>
      <c r="V256" s="119"/>
    </row>
    <row r="257" spans="1:22" ht="24.9" customHeight="1" x14ac:dyDescent="0.3">
      <c r="A257" s="116">
        <v>60814</v>
      </c>
      <c r="B257" s="117" t="s">
        <v>264</v>
      </c>
      <c r="C257" s="114">
        <v>45307</v>
      </c>
      <c r="D257" s="118">
        <v>169</v>
      </c>
      <c r="E257" s="119">
        <v>68582.8</v>
      </c>
      <c r="F257" s="119"/>
      <c r="G257" s="119">
        <f>E257-F257</f>
        <v>68582.8</v>
      </c>
      <c r="H257" s="119">
        <f>G257*18%</f>
        <v>12344.904</v>
      </c>
      <c r="I257" s="119">
        <f>G257+H257</f>
        <v>80927.703999999998</v>
      </c>
      <c r="J257" s="119">
        <f>G257*1%</f>
        <v>685.82800000000009</v>
      </c>
      <c r="K257" s="119">
        <f>G257*5%</f>
        <v>3429.1400000000003</v>
      </c>
      <c r="L257" s="119"/>
      <c r="M257" s="119">
        <f>G257*10%</f>
        <v>6858.2800000000007</v>
      </c>
      <c r="N257" s="174">
        <f>H257</f>
        <v>12344.904</v>
      </c>
      <c r="O257" s="119">
        <f>I257-SUM(J257:N257)</f>
        <v>57609.551999999996</v>
      </c>
      <c r="P257" s="137"/>
      <c r="Q257" s="176"/>
      <c r="R257" s="119"/>
      <c r="S257" s="119">
        <v>300000</v>
      </c>
      <c r="T257" s="119">
        <v>285000</v>
      </c>
      <c r="U257" s="126" t="s">
        <v>205</v>
      </c>
      <c r="V257" s="119"/>
    </row>
    <row r="258" spans="1:22" ht="24.9" customHeight="1" x14ac:dyDescent="0.3">
      <c r="A258" s="116">
        <v>60814</v>
      </c>
      <c r="B258" s="117" t="s">
        <v>97</v>
      </c>
      <c r="C258" s="114"/>
      <c r="D258" s="118">
        <v>169</v>
      </c>
      <c r="E258" s="119">
        <f>N257</f>
        <v>12344.904</v>
      </c>
      <c r="F258" s="119"/>
      <c r="G258" s="119"/>
      <c r="H258" s="119"/>
      <c r="I258" s="119"/>
      <c r="J258" s="119"/>
      <c r="K258" s="119"/>
      <c r="L258" s="119"/>
      <c r="M258" s="119"/>
      <c r="N258" s="176"/>
      <c r="O258" s="169">
        <f>E258</f>
        <v>12344.904</v>
      </c>
      <c r="P258" s="137" t="s">
        <v>265</v>
      </c>
      <c r="Q258" s="176"/>
      <c r="R258" s="119"/>
      <c r="S258" s="119">
        <v>500000</v>
      </c>
      <c r="T258" s="119">
        <v>495000</v>
      </c>
      <c r="U258" s="126" t="s">
        <v>217</v>
      </c>
      <c r="V258" s="119"/>
    </row>
    <row r="259" spans="1:22" ht="24.9" customHeight="1" x14ac:dyDescent="0.3">
      <c r="A259" s="116">
        <v>60814</v>
      </c>
      <c r="B259" s="117"/>
      <c r="C259" s="114"/>
      <c r="D259" s="118"/>
      <c r="E259" s="119"/>
      <c r="F259" s="119"/>
      <c r="G259" s="119"/>
      <c r="H259" s="119"/>
      <c r="I259" s="119"/>
      <c r="J259" s="119"/>
      <c r="K259" s="119"/>
      <c r="L259" s="119"/>
      <c r="M259" s="119"/>
      <c r="N259" s="176"/>
      <c r="O259" s="119"/>
      <c r="P259" s="137"/>
      <c r="Q259" s="176"/>
      <c r="R259" s="119"/>
      <c r="S259" s="119">
        <v>500000</v>
      </c>
      <c r="T259" s="119">
        <v>495000</v>
      </c>
      <c r="U259" s="126" t="s">
        <v>252</v>
      </c>
      <c r="V259" s="119"/>
    </row>
    <row r="260" spans="1:22" ht="24.9" customHeight="1" x14ac:dyDescent="0.3">
      <c r="A260" s="149"/>
      <c r="B260" s="123"/>
      <c r="C260" s="120"/>
      <c r="D260" s="144"/>
      <c r="E260" s="121"/>
      <c r="F260" s="121"/>
      <c r="G260" s="121"/>
      <c r="H260" s="121"/>
      <c r="I260" s="121"/>
      <c r="J260" s="121"/>
      <c r="K260" s="121"/>
      <c r="L260" s="121"/>
      <c r="M260" s="121"/>
      <c r="N260" s="177"/>
      <c r="O260" s="121"/>
      <c r="P260" s="143">
        <f>A260</f>
        <v>0</v>
      </c>
      <c r="Q260" s="177"/>
      <c r="R260" s="121"/>
      <c r="S260" s="121"/>
      <c r="T260" s="121"/>
      <c r="U260" s="127"/>
      <c r="V260" s="121"/>
    </row>
    <row r="261" spans="1:22" ht="24.9" customHeight="1" x14ac:dyDescent="0.3">
      <c r="A261" s="116">
        <v>62071</v>
      </c>
      <c r="B261" s="213" t="s">
        <v>410</v>
      </c>
      <c r="C261" s="114">
        <v>45307</v>
      </c>
      <c r="D261" s="118" t="s">
        <v>276</v>
      </c>
      <c r="E261" s="119">
        <f>551250-183750</f>
        <v>367500</v>
      </c>
      <c r="F261" s="119">
        <v>365387.5</v>
      </c>
      <c r="G261" s="119">
        <f>E261-F261</f>
        <v>2112.5</v>
      </c>
      <c r="H261" s="119">
        <f>G261*18%</f>
        <v>380.25</v>
      </c>
      <c r="I261" s="119">
        <f>G261+H261</f>
        <v>2492.75</v>
      </c>
      <c r="J261" s="119">
        <f>G261*1%</f>
        <v>21.125</v>
      </c>
      <c r="K261" s="119">
        <f>G261*5%</f>
        <v>105.625</v>
      </c>
      <c r="L261" s="119"/>
      <c r="M261" s="119"/>
      <c r="N261" s="174">
        <f>H261</f>
        <v>380.25</v>
      </c>
      <c r="O261" s="119">
        <f>I261-SUM(J261:N261)</f>
        <v>1985.75</v>
      </c>
      <c r="P261" s="117" t="s">
        <v>186</v>
      </c>
      <c r="Q261" s="176">
        <v>3675000</v>
      </c>
      <c r="R261" s="119">
        <f>Q261-SUM(S261:S268)</f>
        <v>275000</v>
      </c>
      <c r="S261" s="119">
        <v>500000</v>
      </c>
      <c r="T261" s="119">
        <v>475000</v>
      </c>
      <c r="U261" s="126" t="s">
        <v>418</v>
      </c>
      <c r="V261" s="119">
        <f>SUM(O261:O268)-SUM(T261:T268)</f>
        <v>-3307634</v>
      </c>
    </row>
    <row r="262" spans="1:22" ht="24.9" customHeight="1" x14ac:dyDescent="0.3">
      <c r="A262" s="116">
        <v>62071</v>
      </c>
      <c r="B262" s="117" t="s">
        <v>97</v>
      </c>
      <c r="C262" s="114"/>
      <c r="D262" s="118" t="s">
        <v>276</v>
      </c>
      <c r="E262" s="119">
        <f>N261</f>
        <v>380.25</v>
      </c>
      <c r="F262" s="119"/>
      <c r="G262" s="119"/>
      <c r="H262" s="119"/>
      <c r="I262" s="119"/>
      <c r="J262" s="119"/>
      <c r="K262" s="119"/>
      <c r="L262" s="119"/>
      <c r="M262" s="119"/>
      <c r="N262" s="176"/>
      <c r="O262" s="169">
        <f>E262</f>
        <v>380.25</v>
      </c>
      <c r="P262" s="137"/>
      <c r="Q262" s="176"/>
      <c r="R262" s="119"/>
      <c r="S262" s="119">
        <v>500000</v>
      </c>
      <c r="T262" s="119">
        <v>475000</v>
      </c>
      <c r="U262" s="126" t="s">
        <v>201</v>
      </c>
      <c r="V262" s="119"/>
    </row>
    <row r="263" spans="1:22" ht="24.9" customHeight="1" x14ac:dyDescent="0.3">
      <c r="A263" s="116">
        <v>62071</v>
      </c>
      <c r="B263" s="117"/>
      <c r="C263" s="114"/>
      <c r="D263" s="118"/>
      <c r="E263" s="119"/>
      <c r="F263" s="119"/>
      <c r="G263" s="119"/>
      <c r="H263" s="119"/>
      <c r="I263" s="119"/>
      <c r="J263" s="119"/>
      <c r="K263" s="119"/>
      <c r="L263" s="119"/>
      <c r="M263" s="119"/>
      <c r="N263" s="176"/>
      <c r="O263" s="119"/>
      <c r="P263" s="137"/>
      <c r="Q263" s="176"/>
      <c r="R263" s="119"/>
      <c r="S263" s="119">
        <v>400000</v>
      </c>
      <c r="T263" s="119">
        <v>380000</v>
      </c>
      <c r="U263" s="126" t="s">
        <v>203</v>
      </c>
      <c r="V263" s="119"/>
    </row>
    <row r="264" spans="1:22" ht="24.9" customHeight="1" x14ac:dyDescent="0.3">
      <c r="A264" s="116">
        <v>62071</v>
      </c>
      <c r="B264" s="117"/>
      <c r="C264" s="114"/>
      <c r="D264" s="118"/>
      <c r="E264" s="119"/>
      <c r="F264" s="119"/>
      <c r="G264" s="119"/>
      <c r="H264" s="119"/>
      <c r="I264" s="119"/>
      <c r="J264" s="119"/>
      <c r="K264" s="119"/>
      <c r="L264" s="119"/>
      <c r="M264" s="119"/>
      <c r="N264" s="176"/>
      <c r="O264" s="119"/>
      <c r="P264" s="137"/>
      <c r="Q264" s="176"/>
      <c r="R264" s="119"/>
      <c r="S264" s="119">
        <v>1000000</v>
      </c>
      <c r="T264" s="119">
        <v>990000</v>
      </c>
      <c r="U264" s="126" t="s">
        <v>220</v>
      </c>
      <c r="V264" s="119"/>
    </row>
    <row r="265" spans="1:22" ht="24.9" customHeight="1" x14ac:dyDescent="0.3">
      <c r="A265" s="116">
        <v>62071</v>
      </c>
      <c r="B265" s="117"/>
      <c r="C265" s="114"/>
      <c r="D265" s="118"/>
      <c r="E265" s="119"/>
      <c r="F265" s="119"/>
      <c r="G265" s="119"/>
      <c r="H265" s="119"/>
      <c r="I265" s="119"/>
      <c r="J265" s="119"/>
      <c r="K265" s="119"/>
      <c r="L265" s="119"/>
      <c r="M265" s="119"/>
      <c r="N265" s="176"/>
      <c r="O265" s="119"/>
      <c r="P265" s="137"/>
      <c r="Q265" s="176"/>
      <c r="R265" s="119"/>
      <c r="S265" s="119">
        <v>500000</v>
      </c>
      <c r="T265" s="119">
        <v>495000</v>
      </c>
      <c r="U265" s="126" t="s">
        <v>253</v>
      </c>
      <c r="V265" s="119"/>
    </row>
    <row r="266" spans="1:22" ht="24.9" customHeight="1" x14ac:dyDescent="0.3">
      <c r="A266" s="116">
        <v>62071</v>
      </c>
      <c r="B266" s="117"/>
      <c r="C266" s="114"/>
      <c r="D266" s="118"/>
      <c r="E266" s="119"/>
      <c r="F266" s="119"/>
      <c r="G266" s="119"/>
      <c r="H266" s="119"/>
      <c r="I266" s="119"/>
      <c r="J266" s="119"/>
      <c r="K266" s="119"/>
      <c r="L266" s="119"/>
      <c r="M266" s="119"/>
      <c r="N266" s="176"/>
      <c r="O266" s="119"/>
      <c r="P266" s="137"/>
      <c r="Q266" s="176"/>
      <c r="R266" s="119"/>
      <c r="S266" s="119">
        <v>300000</v>
      </c>
      <c r="T266" s="184">
        <v>297000</v>
      </c>
      <c r="U266" s="126" t="s">
        <v>291</v>
      </c>
      <c r="V266" s="119"/>
    </row>
    <row r="267" spans="1:22" ht="24.9" customHeight="1" x14ac:dyDescent="0.3">
      <c r="A267" s="116">
        <v>62071</v>
      </c>
      <c r="B267" s="117"/>
      <c r="C267" s="114"/>
      <c r="D267" s="118"/>
      <c r="E267" s="119"/>
      <c r="F267" s="119"/>
      <c r="G267" s="119"/>
      <c r="H267" s="119"/>
      <c r="I267" s="119"/>
      <c r="J267" s="119"/>
      <c r="K267" s="119"/>
      <c r="L267" s="119"/>
      <c r="M267" s="119"/>
      <c r="N267" s="176"/>
      <c r="O267" s="119"/>
      <c r="P267" s="137"/>
      <c r="Q267" s="176"/>
      <c r="R267" s="119"/>
      <c r="S267" s="119">
        <v>200000</v>
      </c>
      <c r="T267" s="184">
        <v>198000</v>
      </c>
      <c r="U267" s="126" t="s">
        <v>313</v>
      </c>
      <c r="V267" s="119"/>
    </row>
    <row r="268" spans="1:22" ht="24.9" customHeight="1" x14ac:dyDescent="0.3">
      <c r="A268" s="116"/>
      <c r="B268" s="117"/>
      <c r="C268" s="114"/>
      <c r="D268" s="118"/>
      <c r="E268" s="119"/>
      <c r="F268" s="119"/>
      <c r="G268" s="119"/>
      <c r="H268" s="119"/>
      <c r="I268" s="119"/>
      <c r="J268" s="119"/>
      <c r="K268" s="119"/>
      <c r="L268" s="119"/>
      <c r="M268" s="119"/>
      <c r="N268" s="176"/>
      <c r="O268" s="119"/>
      <c r="P268" s="137"/>
      <c r="Q268" s="176"/>
      <c r="R268" s="119"/>
      <c r="S268" s="190"/>
      <c r="T268" s="190"/>
      <c r="U268" s="126"/>
      <c r="V268" s="119"/>
    </row>
    <row r="269" spans="1:22" ht="24.9" customHeight="1" x14ac:dyDescent="0.3">
      <c r="A269" s="149"/>
      <c r="B269" s="123"/>
      <c r="C269" s="120"/>
      <c r="D269" s="144"/>
      <c r="E269" s="121"/>
      <c r="F269" s="121"/>
      <c r="G269" s="121"/>
      <c r="H269" s="121"/>
      <c r="I269" s="121"/>
      <c r="J269" s="121"/>
      <c r="K269" s="121"/>
      <c r="L269" s="121"/>
      <c r="M269" s="121"/>
      <c r="N269" s="177"/>
      <c r="O269" s="121"/>
      <c r="P269" s="143">
        <f>A269</f>
        <v>0</v>
      </c>
      <c r="Q269" s="177"/>
      <c r="R269" s="121"/>
      <c r="S269" s="121"/>
      <c r="T269" s="121"/>
      <c r="U269" s="127"/>
      <c r="V269" s="121"/>
    </row>
    <row r="270" spans="1:22" ht="24.9" customHeight="1" x14ac:dyDescent="0.3">
      <c r="A270" s="116">
        <v>62330</v>
      </c>
      <c r="B270" s="214" t="s">
        <v>411</v>
      </c>
      <c r="C270" s="114"/>
      <c r="D270" s="118"/>
      <c r="E270" s="119"/>
      <c r="F270" s="119"/>
      <c r="G270" s="119"/>
      <c r="H270" s="119"/>
      <c r="I270" s="119"/>
      <c r="J270" s="119"/>
      <c r="K270" s="119"/>
      <c r="L270" s="119"/>
      <c r="M270" s="119"/>
      <c r="N270" s="176"/>
      <c r="O270" s="119"/>
      <c r="P270" s="137"/>
      <c r="Q270" s="176">
        <v>3675000</v>
      </c>
      <c r="R270" s="119">
        <f>Q270-SUM(S270:S276)</f>
        <v>175000</v>
      </c>
      <c r="S270" s="119">
        <v>500000</v>
      </c>
      <c r="T270" s="119">
        <v>495000</v>
      </c>
      <c r="U270" s="126" t="s">
        <v>190</v>
      </c>
      <c r="V270" s="119">
        <f>SUM(O270:O276)-SUM(T270:T276)</f>
        <v>-3465000</v>
      </c>
    </row>
    <row r="271" spans="1:22" ht="24.9" customHeight="1" x14ac:dyDescent="0.3">
      <c r="A271" s="116">
        <v>62330</v>
      </c>
      <c r="B271" s="117"/>
      <c r="C271" s="114"/>
      <c r="D271" s="118"/>
      <c r="E271" s="119"/>
      <c r="F271" s="119"/>
      <c r="G271" s="119"/>
      <c r="H271" s="119"/>
      <c r="I271" s="119"/>
      <c r="J271" s="119"/>
      <c r="K271" s="119"/>
      <c r="L271" s="119"/>
      <c r="M271" s="119"/>
      <c r="N271" s="176"/>
      <c r="O271" s="119"/>
      <c r="P271" s="137"/>
      <c r="Q271" s="176"/>
      <c r="R271" s="119"/>
      <c r="S271" s="119">
        <v>1000000</v>
      </c>
      <c r="T271" s="119">
        <v>990000</v>
      </c>
      <c r="U271" s="126" t="s">
        <v>197</v>
      </c>
      <c r="V271" s="119"/>
    </row>
    <row r="272" spans="1:22" ht="24.9" customHeight="1" x14ac:dyDescent="0.3">
      <c r="A272" s="116">
        <v>62330</v>
      </c>
      <c r="B272" s="117"/>
      <c r="C272" s="114"/>
      <c r="D272" s="118"/>
      <c r="E272" s="119"/>
      <c r="F272" s="119"/>
      <c r="G272" s="119"/>
      <c r="H272" s="119"/>
      <c r="I272" s="119"/>
      <c r="J272" s="119"/>
      <c r="K272" s="119"/>
      <c r="L272" s="119"/>
      <c r="M272" s="119"/>
      <c r="N272" s="176"/>
      <c r="O272" s="119"/>
      <c r="P272" s="137"/>
      <c r="Q272" s="176"/>
      <c r="R272" s="119"/>
      <c r="S272" s="119">
        <v>1000000</v>
      </c>
      <c r="T272" s="119">
        <v>990000</v>
      </c>
      <c r="U272" s="126" t="s">
        <v>215</v>
      </c>
      <c r="V272" s="119"/>
    </row>
    <row r="273" spans="1:22" ht="24.9" customHeight="1" x14ac:dyDescent="0.3">
      <c r="A273" s="116">
        <v>62330</v>
      </c>
      <c r="B273" s="117"/>
      <c r="C273" s="114"/>
      <c r="D273" s="118"/>
      <c r="E273" s="119"/>
      <c r="F273" s="119"/>
      <c r="G273" s="119"/>
      <c r="H273" s="119"/>
      <c r="I273" s="119"/>
      <c r="J273" s="119"/>
      <c r="K273" s="119"/>
      <c r="L273" s="119"/>
      <c r="M273" s="119"/>
      <c r="N273" s="176"/>
      <c r="O273" s="119"/>
      <c r="P273" s="137"/>
      <c r="Q273" s="176"/>
      <c r="R273" s="119"/>
      <c r="S273" s="119">
        <v>500000</v>
      </c>
      <c r="T273" s="119">
        <v>495000</v>
      </c>
      <c r="U273" s="126" t="s">
        <v>224</v>
      </c>
      <c r="V273" s="119"/>
    </row>
    <row r="274" spans="1:22" ht="24.9" customHeight="1" x14ac:dyDescent="0.3">
      <c r="A274" s="116">
        <v>62330</v>
      </c>
      <c r="B274" s="117"/>
      <c r="C274" s="114"/>
      <c r="D274" s="118"/>
      <c r="E274" s="119"/>
      <c r="F274" s="119"/>
      <c r="G274" s="119"/>
      <c r="H274" s="119"/>
      <c r="I274" s="119"/>
      <c r="J274" s="119"/>
      <c r="K274" s="119"/>
      <c r="L274" s="119"/>
      <c r="M274" s="119"/>
      <c r="N274" s="176"/>
      <c r="O274" s="119"/>
      <c r="P274" s="137"/>
      <c r="Q274" s="176"/>
      <c r="R274" s="119"/>
      <c r="S274" s="119">
        <v>500000</v>
      </c>
      <c r="T274" s="119">
        <v>495000</v>
      </c>
      <c r="U274" s="126" t="s">
        <v>254</v>
      </c>
      <c r="V274" s="119"/>
    </row>
    <row r="275" spans="1:22" ht="24.9" customHeight="1" x14ac:dyDescent="0.3">
      <c r="A275" s="116"/>
      <c r="B275" s="117"/>
      <c r="C275" s="114"/>
      <c r="D275" s="118"/>
      <c r="E275" s="119"/>
      <c r="F275" s="119"/>
      <c r="G275" s="119"/>
      <c r="H275" s="119"/>
      <c r="I275" s="119"/>
      <c r="J275" s="119"/>
      <c r="K275" s="119"/>
      <c r="L275" s="119"/>
      <c r="M275" s="119"/>
      <c r="N275" s="176"/>
      <c r="O275" s="119"/>
      <c r="P275" s="137"/>
      <c r="Q275" s="176"/>
      <c r="R275" s="119"/>
      <c r="S275" s="119"/>
      <c r="T275" s="119"/>
      <c r="U275" s="126"/>
      <c r="V275" s="119"/>
    </row>
    <row r="276" spans="1:22" ht="24.9" customHeight="1" x14ac:dyDescent="0.3">
      <c r="A276" s="116"/>
      <c r="B276" s="117"/>
      <c r="C276" s="114"/>
      <c r="D276" s="118"/>
      <c r="E276" s="119"/>
      <c r="F276" s="119"/>
      <c r="G276" s="119"/>
      <c r="H276" s="119"/>
      <c r="I276" s="119"/>
      <c r="J276" s="119"/>
      <c r="K276" s="119"/>
      <c r="L276" s="119"/>
      <c r="M276" s="119"/>
      <c r="N276" s="176"/>
      <c r="O276" s="119"/>
      <c r="P276" s="137"/>
      <c r="Q276" s="176"/>
      <c r="R276" s="119"/>
      <c r="S276" s="119"/>
      <c r="T276" s="119"/>
      <c r="U276" s="126"/>
      <c r="V276" s="119"/>
    </row>
    <row r="277" spans="1:22" ht="24.9" customHeight="1" x14ac:dyDescent="0.3">
      <c r="A277" s="149"/>
      <c r="B277" s="123"/>
      <c r="C277" s="120"/>
      <c r="D277" s="144"/>
      <c r="E277" s="121"/>
      <c r="F277" s="121"/>
      <c r="G277" s="121"/>
      <c r="H277" s="121"/>
      <c r="I277" s="121"/>
      <c r="J277" s="121"/>
      <c r="K277" s="121"/>
      <c r="L277" s="121"/>
      <c r="M277" s="121"/>
      <c r="N277" s="177"/>
      <c r="O277" s="121"/>
      <c r="P277" s="143">
        <f>A277</f>
        <v>0</v>
      </c>
      <c r="Q277" s="177"/>
      <c r="R277" s="121"/>
      <c r="S277" s="121"/>
      <c r="T277" s="121"/>
      <c r="U277" s="127"/>
      <c r="V277" s="121"/>
    </row>
    <row r="278" spans="1:22" ht="24.9" customHeight="1" x14ac:dyDescent="0.3">
      <c r="A278" s="116">
        <v>62331</v>
      </c>
      <c r="B278" s="214" t="s">
        <v>412</v>
      </c>
      <c r="C278" s="117"/>
      <c r="D278" s="118"/>
      <c r="E278" s="118"/>
      <c r="F278" s="119"/>
      <c r="G278" s="119"/>
      <c r="H278" s="119"/>
      <c r="I278" s="119"/>
      <c r="J278" s="119"/>
      <c r="K278" s="119"/>
      <c r="L278" s="119"/>
      <c r="M278" s="119"/>
      <c r="N278" s="176"/>
      <c r="O278" s="119"/>
      <c r="P278" s="119"/>
      <c r="Q278" s="176">
        <v>5015000</v>
      </c>
      <c r="R278" s="119">
        <f>Q278-SUM(S278:S287)</f>
        <v>215000</v>
      </c>
      <c r="S278" s="119">
        <v>500000</v>
      </c>
      <c r="T278" s="119">
        <v>495000</v>
      </c>
      <c r="U278" s="119" t="s">
        <v>191</v>
      </c>
      <c r="V278" s="119">
        <f>SUM(O278:O287)-SUM(T278:T287)</f>
        <v>-4732000</v>
      </c>
    </row>
    <row r="279" spans="1:22" ht="24.9" customHeight="1" x14ac:dyDescent="0.3">
      <c r="A279" s="116">
        <v>62331</v>
      </c>
      <c r="B279" s="214" t="s">
        <v>328</v>
      </c>
      <c r="C279" s="117"/>
      <c r="D279" s="118" t="s">
        <v>163</v>
      </c>
      <c r="E279" s="118"/>
      <c r="F279" s="119"/>
      <c r="G279" s="119"/>
      <c r="H279" s="119"/>
      <c r="I279" s="119"/>
      <c r="J279" s="119"/>
      <c r="K279" s="119"/>
      <c r="L279" s="119"/>
      <c r="M279" s="119"/>
      <c r="N279" s="176"/>
      <c r="O279" s="119"/>
      <c r="P279" s="119"/>
      <c r="Q279" s="187"/>
      <c r="R279" s="137"/>
      <c r="S279" s="119">
        <v>500000</v>
      </c>
      <c r="T279" s="119">
        <v>495000</v>
      </c>
      <c r="U279" s="119" t="s">
        <v>195</v>
      </c>
      <c r="V279" s="119"/>
    </row>
    <row r="280" spans="1:22" ht="24.9" customHeight="1" x14ac:dyDescent="0.3">
      <c r="A280" s="116">
        <v>62331</v>
      </c>
      <c r="B280" s="116"/>
      <c r="C280" s="117"/>
      <c r="D280" s="118"/>
      <c r="E280" s="118"/>
      <c r="F280" s="119"/>
      <c r="G280" s="119"/>
      <c r="H280" s="119"/>
      <c r="I280" s="119"/>
      <c r="J280" s="119"/>
      <c r="K280" s="119"/>
      <c r="L280" s="119"/>
      <c r="M280" s="119"/>
      <c r="N280" s="176"/>
      <c r="O280" s="119"/>
      <c r="P280" s="119"/>
      <c r="Q280" s="187"/>
      <c r="R280" s="137"/>
      <c r="S280" s="119">
        <v>1000000</v>
      </c>
      <c r="T280" s="119">
        <v>990000</v>
      </c>
      <c r="U280" s="119" t="s">
        <v>196</v>
      </c>
      <c r="V280" s="119"/>
    </row>
    <row r="281" spans="1:22" ht="24.9" customHeight="1" x14ac:dyDescent="0.3">
      <c r="A281" s="116">
        <v>62331</v>
      </c>
      <c r="B281" s="116"/>
      <c r="C281" s="117"/>
      <c r="D281" s="118"/>
      <c r="E281" s="118"/>
      <c r="F281" s="119"/>
      <c r="G281" s="119"/>
      <c r="H281" s="119"/>
      <c r="I281" s="119"/>
      <c r="J281" s="119"/>
      <c r="K281" s="119"/>
      <c r="L281" s="119"/>
      <c r="M281" s="119"/>
      <c r="N281" s="176"/>
      <c r="O281" s="119"/>
      <c r="P281" s="119"/>
      <c r="Q281" s="187"/>
      <c r="R281" s="137"/>
      <c r="S281" s="119">
        <v>500000</v>
      </c>
      <c r="T281" s="119">
        <v>475000</v>
      </c>
      <c r="U281" s="119" t="s">
        <v>212</v>
      </c>
      <c r="V281" s="119"/>
    </row>
    <row r="282" spans="1:22" ht="24.9" customHeight="1" x14ac:dyDescent="0.3">
      <c r="A282" s="116">
        <v>62331</v>
      </c>
      <c r="B282" s="116"/>
      <c r="C282" s="117"/>
      <c r="D282" s="118"/>
      <c r="E282" s="118"/>
      <c r="F282" s="119"/>
      <c r="G282" s="119"/>
      <c r="H282" s="119"/>
      <c r="I282" s="119"/>
      <c r="J282" s="119"/>
      <c r="K282" s="119"/>
      <c r="L282" s="119"/>
      <c r="M282" s="119"/>
      <c r="N282" s="176"/>
      <c r="O282" s="119"/>
      <c r="P282" s="119"/>
      <c r="Q282" s="187"/>
      <c r="R282" s="137"/>
      <c r="S282" s="119">
        <v>1000000</v>
      </c>
      <c r="T282" s="119">
        <v>990000</v>
      </c>
      <c r="U282" s="119" t="s">
        <v>216</v>
      </c>
      <c r="V282" s="119"/>
    </row>
    <row r="283" spans="1:22" ht="24.9" customHeight="1" x14ac:dyDescent="0.3">
      <c r="A283" s="116">
        <v>62331</v>
      </c>
      <c r="B283" s="116"/>
      <c r="C283" s="117"/>
      <c r="D283" s="118"/>
      <c r="E283" s="118"/>
      <c r="F283" s="119"/>
      <c r="G283" s="119"/>
      <c r="H283" s="119"/>
      <c r="I283" s="119"/>
      <c r="J283" s="119"/>
      <c r="K283" s="119"/>
      <c r="L283" s="119"/>
      <c r="M283" s="119"/>
      <c r="N283" s="176"/>
      <c r="O283" s="119"/>
      <c r="P283" s="119"/>
      <c r="Q283" s="187"/>
      <c r="R283" s="137"/>
      <c r="S283" s="119">
        <v>500000</v>
      </c>
      <c r="T283" s="119">
        <v>495000</v>
      </c>
      <c r="U283" s="119" t="s">
        <v>223</v>
      </c>
      <c r="V283" s="119"/>
    </row>
    <row r="284" spans="1:22" ht="24.9" customHeight="1" x14ac:dyDescent="0.3">
      <c r="A284" s="116">
        <v>62331</v>
      </c>
      <c r="B284" s="116"/>
      <c r="C284" s="117"/>
      <c r="D284" s="118"/>
      <c r="E284" s="118"/>
      <c r="F284" s="119"/>
      <c r="G284" s="119"/>
      <c r="H284" s="119"/>
      <c r="I284" s="119"/>
      <c r="J284" s="119"/>
      <c r="K284" s="119"/>
      <c r="L284" s="119"/>
      <c r="M284" s="119"/>
      <c r="N284" s="176"/>
      <c r="O284" s="119"/>
      <c r="P284" s="119"/>
      <c r="Q284" s="187"/>
      <c r="R284" s="137"/>
      <c r="S284" s="119">
        <v>500000</v>
      </c>
      <c r="T284" s="119">
        <v>495000</v>
      </c>
      <c r="U284" s="119" t="s">
        <v>255</v>
      </c>
      <c r="V284" s="119"/>
    </row>
    <row r="285" spans="1:22" ht="24.9" customHeight="1" x14ac:dyDescent="0.3">
      <c r="A285" s="116">
        <v>62331</v>
      </c>
      <c r="B285" s="116"/>
      <c r="C285" s="117"/>
      <c r="D285" s="118"/>
      <c r="E285" s="118"/>
      <c r="F285" s="119"/>
      <c r="G285" s="119"/>
      <c r="H285" s="119"/>
      <c r="I285" s="119"/>
      <c r="J285" s="119"/>
      <c r="K285" s="119"/>
      <c r="L285" s="119"/>
      <c r="M285" s="119"/>
      <c r="N285" s="176"/>
      <c r="O285" s="119"/>
      <c r="P285" s="119"/>
      <c r="Q285" s="187"/>
      <c r="R285" s="137"/>
      <c r="S285" s="119">
        <v>300000</v>
      </c>
      <c r="T285" s="184">
        <v>297000</v>
      </c>
      <c r="U285" s="119" t="s">
        <v>312</v>
      </c>
      <c r="V285" s="119"/>
    </row>
    <row r="286" spans="1:22" ht="24.9" customHeight="1" x14ac:dyDescent="0.3">
      <c r="A286" s="116">
        <v>62331</v>
      </c>
      <c r="B286" s="116"/>
      <c r="C286" s="117"/>
      <c r="D286" s="118"/>
      <c r="E286" s="118"/>
      <c r="F286" s="119"/>
      <c r="G286" s="119"/>
      <c r="H286" s="119"/>
      <c r="I286" s="119"/>
      <c r="J286" s="119"/>
      <c r="K286" s="119"/>
      <c r="L286" s="119"/>
      <c r="M286" s="119"/>
      <c r="N286" s="176"/>
      <c r="O286" s="119"/>
      <c r="P286" s="119"/>
      <c r="Q286" s="187"/>
      <c r="R286" s="137"/>
      <c r="S286" s="119"/>
      <c r="T286" s="119"/>
      <c r="U286" s="119"/>
      <c r="V286" s="119"/>
    </row>
    <row r="287" spans="1:22" ht="24.9" customHeight="1" x14ac:dyDescent="0.3">
      <c r="A287" s="116">
        <v>62331</v>
      </c>
      <c r="B287" s="116"/>
      <c r="C287" s="117"/>
      <c r="D287" s="118"/>
      <c r="E287" s="118"/>
      <c r="F287" s="119"/>
      <c r="G287" s="119"/>
      <c r="H287" s="119"/>
      <c r="I287" s="119"/>
      <c r="J287" s="119"/>
      <c r="K287" s="119"/>
      <c r="L287" s="119"/>
      <c r="M287" s="119"/>
      <c r="N287" s="176"/>
      <c r="O287" s="119"/>
      <c r="P287" s="119"/>
      <c r="Q287" s="187"/>
      <c r="R287" s="137"/>
      <c r="S287" s="119"/>
      <c r="T287" s="119"/>
      <c r="U287" s="119"/>
      <c r="V287" s="119"/>
    </row>
    <row r="288" spans="1:22" ht="24.9" customHeight="1" x14ac:dyDescent="0.3">
      <c r="A288" s="149"/>
      <c r="B288" s="123"/>
      <c r="C288" s="120"/>
      <c r="D288" s="144"/>
      <c r="E288" s="121"/>
      <c r="F288" s="121"/>
      <c r="G288" s="121"/>
      <c r="H288" s="121"/>
      <c r="I288" s="121"/>
      <c r="J288" s="121"/>
      <c r="K288" s="121"/>
      <c r="L288" s="121"/>
      <c r="M288" s="121"/>
      <c r="N288" s="177"/>
      <c r="O288" s="121"/>
      <c r="P288" s="143">
        <f>A288</f>
        <v>0</v>
      </c>
      <c r="Q288" s="177"/>
      <c r="R288" s="121"/>
      <c r="S288" s="121"/>
      <c r="T288" s="121"/>
      <c r="U288" s="127"/>
      <c r="V288" s="121"/>
    </row>
    <row r="289" spans="1:22" ht="24.9" customHeight="1" x14ac:dyDescent="0.3">
      <c r="A289" s="116">
        <v>62332</v>
      </c>
      <c r="B289" s="214" t="s">
        <v>413</v>
      </c>
      <c r="C289" s="117"/>
      <c r="D289" s="118"/>
      <c r="E289" s="118"/>
      <c r="F289" s="119"/>
      <c r="G289" s="119"/>
      <c r="H289" s="119"/>
      <c r="I289" s="119"/>
      <c r="J289" s="119"/>
      <c r="K289" s="119"/>
      <c r="L289" s="119"/>
      <c r="M289" s="119"/>
      <c r="N289" s="176"/>
      <c r="O289" s="119"/>
      <c r="P289" s="119"/>
      <c r="Q289" s="187">
        <v>1365000</v>
      </c>
      <c r="R289" s="119">
        <f>Q289-SUM(S289:S294)</f>
        <v>165000</v>
      </c>
      <c r="S289" s="119">
        <v>500000</v>
      </c>
      <c r="T289" s="119">
        <v>495000</v>
      </c>
      <c r="U289" s="119" t="s">
        <v>192</v>
      </c>
      <c r="V289" s="119">
        <f>SUM(O289:O291)-SUM(T289:T291)</f>
        <v>-1168000</v>
      </c>
    </row>
    <row r="290" spans="1:22" ht="24.9" customHeight="1" x14ac:dyDescent="0.3">
      <c r="A290" s="116">
        <v>62332</v>
      </c>
      <c r="B290" s="116"/>
      <c r="C290" s="117"/>
      <c r="D290" s="118"/>
      <c r="E290" s="118"/>
      <c r="F290" s="119"/>
      <c r="G290" s="119"/>
      <c r="H290" s="119"/>
      <c r="I290" s="119"/>
      <c r="J290" s="119"/>
      <c r="K290" s="119"/>
      <c r="L290" s="119"/>
      <c r="M290" s="119"/>
      <c r="N290" s="176"/>
      <c r="O290" s="119"/>
      <c r="P290" s="119"/>
      <c r="Q290" s="187"/>
      <c r="R290" s="137"/>
      <c r="S290" s="119">
        <v>500000</v>
      </c>
      <c r="T290" s="119">
        <v>475000</v>
      </c>
      <c r="U290" s="119" t="s">
        <v>211</v>
      </c>
      <c r="V290" s="119"/>
    </row>
    <row r="291" spans="1:22" ht="24.9" customHeight="1" x14ac:dyDescent="0.3">
      <c r="A291" s="116">
        <v>62332</v>
      </c>
      <c r="B291" s="116"/>
      <c r="C291" s="117"/>
      <c r="D291" s="118"/>
      <c r="E291" s="118"/>
      <c r="F291" s="119"/>
      <c r="G291" s="119"/>
      <c r="H291" s="119"/>
      <c r="I291" s="119"/>
      <c r="J291" s="119"/>
      <c r="K291" s="119"/>
      <c r="L291" s="119"/>
      <c r="M291" s="119"/>
      <c r="N291" s="176"/>
      <c r="O291" s="119"/>
      <c r="P291" s="119"/>
      <c r="Q291" s="187"/>
      <c r="R291" s="137"/>
      <c r="S291" s="119">
        <v>200000</v>
      </c>
      <c r="T291" s="184">
        <v>198000</v>
      </c>
      <c r="U291" s="119" t="s">
        <v>311</v>
      </c>
      <c r="V291" s="119"/>
    </row>
    <row r="292" spans="1:22" ht="24.9" customHeight="1" x14ac:dyDescent="0.3">
      <c r="A292" s="116"/>
      <c r="B292" s="116"/>
      <c r="C292" s="117"/>
      <c r="D292" s="118"/>
      <c r="E292" s="118"/>
      <c r="F292" s="119"/>
      <c r="G292" s="119"/>
      <c r="H292" s="119"/>
      <c r="I292" s="119"/>
      <c r="J292" s="119"/>
      <c r="K292" s="119"/>
      <c r="L292" s="119"/>
      <c r="M292" s="119"/>
      <c r="N292" s="176"/>
      <c r="O292" s="119"/>
      <c r="P292" s="119"/>
      <c r="Q292" s="187"/>
      <c r="R292" s="137"/>
      <c r="S292" s="119"/>
      <c r="T292" s="119"/>
      <c r="U292" s="119"/>
      <c r="V292" s="119"/>
    </row>
    <row r="293" spans="1:22" ht="24.9" customHeight="1" x14ac:dyDescent="0.3">
      <c r="A293" s="132"/>
      <c r="B293" s="132"/>
      <c r="C293" s="152"/>
      <c r="D293" s="153"/>
      <c r="E293" s="153"/>
      <c r="F293" s="154"/>
      <c r="G293" s="154"/>
      <c r="H293" s="154"/>
      <c r="I293" s="154"/>
      <c r="J293" s="154"/>
      <c r="K293" s="154"/>
      <c r="L293" s="154"/>
      <c r="M293" s="154"/>
      <c r="N293" s="185"/>
      <c r="O293" s="154"/>
      <c r="P293" s="154"/>
      <c r="Q293" s="188"/>
      <c r="R293" s="155"/>
      <c r="S293" s="154"/>
      <c r="T293" s="154"/>
      <c r="U293" s="154"/>
      <c r="V293" s="154"/>
    </row>
    <row r="294" spans="1:22" ht="24.9" customHeight="1" x14ac:dyDescent="0.3">
      <c r="A294" s="132"/>
      <c r="B294" s="132"/>
      <c r="C294" s="152"/>
      <c r="D294" s="153"/>
      <c r="E294" s="153"/>
      <c r="F294" s="154"/>
      <c r="G294" s="154"/>
      <c r="H294" s="154"/>
      <c r="I294" s="154"/>
      <c r="J294" s="154"/>
      <c r="K294" s="154"/>
      <c r="L294" s="154"/>
      <c r="M294" s="154"/>
      <c r="N294" s="185"/>
      <c r="O294" s="154"/>
      <c r="P294" s="154"/>
      <c r="Q294" s="188"/>
      <c r="R294" s="155"/>
      <c r="S294" s="154"/>
      <c r="T294" s="154"/>
      <c r="U294" s="154"/>
      <c r="V294" s="154"/>
    </row>
    <row r="295" spans="1:22" ht="24.9" customHeight="1" x14ac:dyDescent="0.3">
      <c r="A295" s="149"/>
      <c r="B295" s="123"/>
      <c r="C295" s="120"/>
      <c r="D295" s="144"/>
      <c r="E295" s="121"/>
      <c r="F295" s="121"/>
      <c r="G295" s="121"/>
      <c r="H295" s="121"/>
      <c r="I295" s="121"/>
      <c r="J295" s="121"/>
      <c r="K295" s="121"/>
      <c r="L295" s="121"/>
      <c r="M295" s="121"/>
      <c r="N295" s="177"/>
      <c r="O295" s="121"/>
      <c r="P295" s="143"/>
      <c r="Q295" s="177"/>
      <c r="R295" s="121"/>
      <c r="S295" s="121"/>
      <c r="T295" s="121"/>
      <c r="U295" s="127"/>
      <c r="V295" s="121"/>
    </row>
    <row r="296" spans="1:22" ht="24.9" customHeight="1" x14ac:dyDescent="0.3">
      <c r="A296" s="132"/>
      <c r="B296" s="132"/>
      <c r="C296" s="152"/>
      <c r="D296" s="153"/>
      <c r="E296" s="153"/>
      <c r="F296" s="154"/>
      <c r="G296" s="154"/>
      <c r="H296" s="154"/>
      <c r="I296" s="154"/>
      <c r="J296" s="154"/>
      <c r="K296" s="154"/>
      <c r="L296" s="154"/>
      <c r="M296" s="154"/>
      <c r="N296" s="185"/>
      <c r="O296" s="154"/>
      <c r="P296" s="154"/>
      <c r="Q296" s="188"/>
      <c r="R296" s="155"/>
      <c r="S296" s="154"/>
      <c r="T296" s="154"/>
      <c r="U296" s="154"/>
      <c r="V296" s="154"/>
    </row>
    <row r="297" spans="1:22" ht="24.9" customHeight="1" x14ac:dyDescent="0.3">
      <c r="A297" s="132"/>
      <c r="B297" s="132"/>
      <c r="C297" s="152"/>
      <c r="D297" s="153"/>
      <c r="E297" s="153"/>
      <c r="F297" s="154"/>
      <c r="G297" s="154"/>
      <c r="H297" s="154"/>
      <c r="I297" s="154"/>
      <c r="J297" s="154"/>
      <c r="K297" s="154"/>
      <c r="L297" s="154"/>
      <c r="M297" s="154"/>
      <c r="N297" s="185"/>
      <c r="O297" s="154"/>
      <c r="P297" s="154"/>
      <c r="Q297" s="188"/>
      <c r="R297" s="155"/>
      <c r="S297" s="154"/>
      <c r="T297" s="154"/>
      <c r="U297" s="154"/>
      <c r="V297" s="154"/>
    </row>
    <row r="298" spans="1:22" ht="24.9" customHeight="1" x14ac:dyDescent="0.3">
      <c r="A298" s="132"/>
      <c r="B298" s="132"/>
      <c r="C298" s="152"/>
      <c r="D298" s="153"/>
      <c r="E298" s="153"/>
      <c r="F298" s="154"/>
      <c r="G298" s="154"/>
      <c r="H298" s="154"/>
      <c r="I298" s="154"/>
      <c r="J298" s="154"/>
      <c r="K298" s="154"/>
      <c r="L298" s="154"/>
      <c r="M298" s="154"/>
      <c r="N298" s="185"/>
      <c r="O298" s="154"/>
      <c r="P298" s="154"/>
      <c r="Q298" s="188"/>
      <c r="R298" s="155"/>
      <c r="S298" s="154"/>
      <c r="T298" s="154"/>
      <c r="U298" s="154"/>
      <c r="V298" s="154"/>
    </row>
    <row r="299" spans="1:22" ht="24.9" customHeight="1" thickBot="1" x14ac:dyDescent="0.35">
      <c r="A299" s="132"/>
      <c r="B299" s="132"/>
      <c r="C299" s="152"/>
      <c r="D299" s="153"/>
      <c r="E299" s="153"/>
      <c r="F299" s="154"/>
      <c r="G299" s="154" t="s">
        <v>163</v>
      </c>
      <c r="H299" s="154"/>
      <c r="I299" s="154"/>
      <c r="J299" s="154"/>
      <c r="K299" s="154"/>
      <c r="L299" s="154"/>
      <c r="M299" s="154"/>
      <c r="N299" s="183"/>
      <c r="O299" s="154"/>
      <c r="P299" s="154"/>
      <c r="Q299" s="188"/>
      <c r="R299" s="155"/>
      <c r="S299" s="154"/>
      <c r="T299" s="154"/>
      <c r="U299" s="154"/>
      <c r="V299" s="154"/>
    </row>
    <row r="300" spans="1:22" ht="24.9" customHeight="1" x14ac:dyDescent="0.3">
      <c r="A300" s="150"/>
      <c r="B300" s="133"/>
      <c r="C300" s="133"/>
      <c r="D300" s="147"/>
      <c r="E300" s="134">
        <f t="shared" ref="E300:O300" si="58">SUM(E8:E299)</f>
        <v>31977476.273599997</v>
      </c>
      <c r="F300" s="134">
        <f t="shared" si="58"/>
        <v>13079640.578</v>
      </c>
      <c r="G300" s="134">
        <f t="shared" si="58"/>
        <v>15947439.020000001</v>
      </c>
      <c r="H300" s="134">
        <f t="shared" si="58"/>
        <v>2870539.8236000007</v>
      </c>
      <c r="I300" s="134">
        <f t="shared" si="58"/>
        <v>18899163.843599997</v>
      </c>
      <c r="J300" s="134">
        <f t="shared" si="58"/>
        <v>159474.85020000002</v>
      </c>
      <c r="K300" s="134">
        <f t="shared" si="58"/>
        <v>797374.25100000016</v>
      </c>
      <c r="L300" s="134">
        <f t="shared" si="58"/>
        <v>0</v>
      </c>
      <c r="M300" s="134">
        <f t="shared" si="58"/>
        <v>1293766.952</v>
      </c>
      <c r="N300" s="134">
        <f t="shared" si="58"/>
        <v>2870539.8236000007</v>
      </c>
      <c r="O300" s="134">
        <f t="shared" si="58"/>
        <v>16625900.170399997</v>
      </c>
      <c r="P300" s="61"/>
      <c r="Q300" s="134">
        <f>SUM(Q8:Q299)-Q191</f>
        <v>94162958.5</v>
      </c>
      <c r="R300" s="134">
        <f t="shared" ref="R300" si="59">SUM(R8:R299)</f>
        <v>-861944.5</v>
      </c>
      <c r="S300" s="134">
        <f>SUM(S8:S299)</f>
        <v>95024903</v>
      </c>
      <c r="T300" s="134">
        <f>SUM(T8:T299)</f>
        <v>93727903</v>
      </c>
      <c r="U300" s="133"/>
      <c r="V300" s="134">
        <f>SUM(V8:V299)</f>
        <v>-77102002.829600006</v>
      </c>
    </row>
    <row r="301" spans="1:22" ht="24.9" customHeight="1" thickBot="1" x14ac:dyDescent="0.35">
      <c r="A301" s="141"/>
      <c r="B301" s="135"/>
      <c r="C301" s="135"/>
      <c r="D301" s="148" t="s">
        <v>233</v>
      </c>
      <c r="E301" s="135">
        <f>E262+E256+E258+E242+E236+E234+E229+E228+E226+E215+E213+E201+E192+E188+E186+E185+E183+E175+E173+E172+E165+E163+E162+E161+E154+E153+E152+E148+E147+E146+E136+E134+E132+E131+E123+E121+E105+E104+E101+E94+E92+E90+E78+E76+E75+E67+E66+E64+E57+E55+E54+E52+E57+E54++E45+E44+E41+E34+E32+E30+E25+E24+E21+E15+E11+E10</f>
        <v>2981309.0236</v>
      </c>
      <c r="F301" s="135"/>
      <c r="G301" s="135"/>
      <c r="H301" s="135"/>
      <c r="I301" s="135"/>
      <c r="J301" s="135"/>
      <c r="K301" s="135"/>
      <c r="L301" s="135"/>
      <c r="M301" s="135"/>
      <c r="N301" s="172"/>
      <c r="O301" s="95"/>
      <c r="P301" s="62"/>
      <c r="Q301" s="189"/>
      <c r="R301" s="136"/>
      <c r="S301" s="136"/>
      <c r="T301" s="136">
        <f>O300-T300</f>
        <v>-77102002.829600006</v>
      </c>
      <c r="U301" s="135"/>
      <c r="V301" s="136"/>
    </row>
    <row r="302" spans="1:22" ht="24.9" customHeight="1" x14ac:dyDescent="0.3">
      <c r="E302" s="17">
        <f>E300-E301</f>
        <v>28996167.249999996</v>
      </c>
      <c r="J302" s="1" t="s">
        <v>173</v>
      </c>
      <c r="K302" s="69">
        <f>K300+L300+M300</f>
        <v>2091141.2030000002</v>
      </c>
    </row>
    <row r="303" spans="1:22" ht="24.9" customHeight="1" x14ac:dyDescent="0.3">
      <c r="N303" s="179"/>
      <c r="O303" s="5"/>
      <c r="P303" s="17"/>
      <c r="Q303" s="170">
        <f>Q300-S300</f>
        <v>-861944.5</v>
      </c>
    </row>
    <row r="304" spans="1:22" ht="24.9" customHeight="1" thickBot="1" x14ac:dyDescent="0.35">
      <c r="N304" s="170">
        <v>2699052.82</v>
      </c>
      <c r="R304" s="17"/>
      <c r="S304" s="17"/>
      <c r="V304" s="17"/>
    </row>
    <row r="305" spans="7:15" ht="24.9" customHeight="1" thickBot="1" x14ac:dyDescent="0.35">
      <c r="G305" s="218" t="s">
        <v>180</v>
      </c>
      <c r="H305" s="219"/>
      <c r="I305" s="219"/>
      <c r="J305" s="220"/>
      <c r="N305" s="170">
        <f>N304-O10-O11-O21-O24-O32-O41-O52-O54-O55-O64-O66-O67-O76-O78-O75-O90-O92-O94-O101-O104-O131-O132-O134-O146-O147-O148-O225</f>
        <v>1226400.2199999997</v>
      </c>
      <c r="O305" s="5"/>
    </row>
    <row r="306" spans="7:15" ht="24.9" customHeight="1" thickBot="1" x14ac:dyDescent="0.35">
      <c r="G306" s="221" t="s">
        <v>372</v>
      </c>
      <c r="H306" s="222"/>
      <c r="I306" s="222"/>
      <c r="J306" s="223"/>
    </row>
    <row r="307" spans="7:15" ht="24.9" customHeight="1" x14ac:dyDescent="0.3">
      <c r="G307" s="224" t="s">
        <v>178</v>
      </c>
      <c r="H307" s="225"/>
      <c r="I307" s="226">
        <f>K300+L300+M300</f>
        <v>2091141.2030000002</v>
      </c>
      <c r="J307" s="227"/>
      <c r="O307" s="17"/>
    </row>
    <row r="308" spans="7:15" ht="24.9" customHeight="1" x14ac:dyDescent="0.3">
      <c r="G308" s="228" t="s">
        <v>179</v>
      </c>
      <c r="H308" s="229"/>
      <c r="I308" s="228">
        <f>T301</f>
        <v>-77102002.829600006</v>
      </c>
      <c r="J308" s="230"/>
    </row>
    <row r="309" spans="7:15" ht="24.9" customHeight="1" thickBot="1" x14ac:dyDescent="0.35">
      <c r="G309" s="215" t="s">
        <v>187</v>
      </c>
      <c r="H309" s="216"/>
      <c r="I309" s="215">
        <v>7015569</v>
      </c>
      <c r="J309" s="217"/>
    </row>
    <row r="310" spans="7:15" ht="24.9" customHeight="1" thickBot="1" x14ac:dyDescent="0.35">
      <c r="G310" s="215" t="s">
        <v>261</v>
      </c>
      <c r="H310" s="216"/>
      <c r="I310" s="215">
        <f>N299-O290</f>
        <v>0</v>
      </c>
      <c r="J310" s="217"/>
    </row>
  </sheetData>
  <autoFilter ref="T1:T310" xr:uid="{00000000-0009-0000-0000-000000000000}"/>
  <mergeCells count="10">
    <mergeCell ref="G310:H310"/>
    <mergeCell ref="I310:J310"/>
    <mergeCell ref="G309:H309"/>
    <mergeCell ref="I309:J309"/>
    <mergeCell ref="G305:J305"/>
    <mergeCell ref="G306:J306"/>
    <mergeCell ref="G307:H307"/>
    <mergeCell ref="I307:J307"/>
    <mergeCell ref="G308:H308"/>
    <mergeCell ref="I308:J308"/>
  </mergeCells>
  <phoneticPr fontId="17" type="noConversion"/>
  <pageMargins left="0.70866141732283472" right="0.70866141732283472" top="0.74803149606299213" bottom="0.74803149606299213" header="0.31496062992125984" footer="0.31496062992125984"/>
  <pageSetup paperSize="9" scale="47" fitToHeight="0" orientation="landscape" r:id="rId1"/>
  <rowBreaks count="6" manualBreakCount="6">
    <brk id="44" max="21" man="1"/>
    <brk id="98" max="21" man="1"/>
    <brk id="141" max="21" man="1"/>
    <brk id="180" max="21" man="1"/>
    <brk id="223" max="21" man="1"/>
    <brk id="30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3"/>
  <sheetViews>
    <sheetView topLeftCell="A85" zoomScaleSheetLayoutView="55" workbookViewId="0">
      <selection activeCell="H66" sqref="H65:H66"/>
    </sheetView>
  </sheetViews>
  <sheetFormatPr defaultColWidth="9" defaultRowHeight="24.9" customHeight="1" x14ac:dyDescent="0.3"/>
  <cols>
    <col min="1" max="1" width="4.44140625" style="2" bestFit="1" customWidth="1"/>
    <col min="2" max="2" width="10" style="2" bestFit="1" customWidth="1"/>
    <col min="3" max="3" width="10" style="1" bestFit="1" customWidth="1"/>
    <col min="4" max="4" width="52.6640625" style="2" customWidth="1"/>
    <col min="5" max="5" width="13.109375" style="2" bestFit="1" customWidth="1"/>
    <col min="6" max="6" width="11.6640625" style="2" customWidth="1"/>
    <col min="7" max="7" width="12.109375" style="2" bestFit="1" customWidth="1"/>
    <col min="8" max="8" width="11.44140625" style="2" bestFit="1" customWidth="1"/>
    <col min="9" max="9" width="15.5546875" style="2" bestFit="1" customWidth="1"/>
    <col min="10" max="10" width="11.5546875" style="3" bestFit="1" customWidth="1"/>
    <col min="11" max="11" width="21.44140625" style="3" bestFit="1" customWidth="1"/>
    <col min="12" max="12" width="9.6640625" style="2" bestFit="1" customWidth="1"/>
    <col min="13" max="13" width="17.109375" style="2" bestFit="1" customWidth="1"/>
    <col min="14" max="14" width="12.44140625" style="2" hidden="1" customWidth="1"/>
    <col min="15" max="15" width="17.109375" style="2" bestFit="1" customWidth="1"/>
    <col min="16" max="16" width="14.44140625" style="2" bestFit="1" customWidth="1"/>
    <col min="17" max="17" width="16.6640625" style="2" bestFit="1" customWidth="1"/>
    <col min="18" max="18" width="7.33203125" style="1" customWidth="1"/>
    <col min="19" max="19" width="21.6640625" style="2" bestFit="1" customWidth="1"/>
    <col min="20" max="20" width="16.88671875" style="2" bestFit="1" customWidth="1"/>
    <col min="21" max="21" width="117.109375" style="2" bestFit="1" customWidth="1"/>
    <col min="22" max="16384" width="9" style="2"/>
  </cols>
  <sheetData>
    <row r="1" spans="1:21" ht="24.9" customHeight="1" x14ac:dyDescent="0.3">
      <c r="B1" s="232" t="s">
        <v>128</v>
      </c>
      <c r="C1" s="233"/>
      <c r="D1" s="79" t="s">
        <v>131</v>
      </c>
      <c r="F1" s="75"/>
      <c r="G1" s="76"/>
      <c r="H1" s="76"/>
      <c r="I1" s="76"/>
      <c r="J1" s="70"/>
      <c r="K1" s="70"/>
      <c r="L1" s="75"/>
    </row>
    <row r="2" spans="1:21" ht="24.9" customHeight="1" x14ac:dyDescent="0.3">
      <c r="B2" s="232" t="s">
        <v>130</v>
      </c>
      <c r="C2" s="233"/>
      <c r="D2" s="80" t="s">
        <v>1</v>
      </c>
      <c r="F2" s="71"/>
      <c r="G2" s="75"/>
      <c r="H2" s="75"/>
      <c r="I2" s="72"/>
      <c r="J2" s="70"/>
      <c r="K2" s="72"/>
      <c r="L2" s="73"/>
      <c r="M2" s="4"/>
      <c r="N2" s="4"/>
      <c r="O2" s="4"/>
      <c r="P2" s="4"/>
      <c r="Q2" s="4"/>
      <c r="R2" s="40"/>
      <c r="S2" s="4"/>
      <c r="T2" s="4"/>
    </row>
    <row r="3" spans="1:21" ht="24.9" customHeight="1" x14ac:dyDescent="0.3">
      <c r="B3" s="232" t="s">
        <v>129</v>
      </c>
      <c r="C3" s="233"/>
      <c r="D3" s="80" t="s">
        <v>2</v>
      </c>
      <c r="F3" s="73"/>
      <c r="G3" s="73"/>
      <c r="H3" s="73"/>
      <c r="I3" s="73"/>
      <c r="J3" s="74"/>
      <c r="K3" s="74"/>
      <c r="L3" s="73"/>
      <c r="M3" s="4"/>
      <c r="N3" s="4"/>
      <c r="O3" s="4"/>
      <c r="S3" s="4"/>
      <c r="T3" s="6"/>
      <c r="U3" s="6"/>
    </row>
    <row r="4" spans="1:21" ht="24.9" customHeight="1" x14ac:dyDescent="0.3">
      <c r="B4" s="234" t="s">
        <v>0</v>
      </c>
      <c r="C4" s="235"/>
      <c r="D4" s="236"/>
      <c r="G4" s="75"/>
      <c r="H4" s="75"/>
      <c r="I4" s="72"/>
      <c r="J4" s="2"/>
      <c r="K4" s="2"/>
      <c r="L4" s="73"/>
      <c r="M4" s="4"/>
      <c r="N4" s="4"/>
      <c r="O4" s="4"/>
      <c r="P4" s="4"/>
      <c r="Q4" s="4"/>
      <c r="R4" s="40"/>
      <c r="S4" s="4"/>
      <c r="T4" s="4"/>
    </row>
    <row r="5" spans="1:21" ht="24.9" customHeight="1" thickBot="1" x14ac:dyDescent="0.35">
      <c r="C5" s="77"/>
      <c r="D5" s="78"/>
      <c r="E5" s="73"/>
      <c r="F5" s="73"/>
      <c r="G5" s="73"/>
      <c r="H5" s="73"/>
      <c r="I5" s="73"/>
      <c r="J5" s="74"/>
      <c r="K5" s="74"/>
      <c r="L5" s="73"/>
      <c r="M5" s="4"/>
      <c r="N5" s="4"/>
      <c r="O5" s="4"/>
      <c r="S5" s="4"/>
      <c r="T5" s="6"/>
      <c r="U5" s="6"/>
    </row>
    <row r="6" spans="1:21" ht="24.9" customHeight="1" x14ac:dyDescent="0.3">
      <c r="A6" s="89"/>
      <c r="B6" s="94"/>
      <c r="C6" s="87"/>
      <c r="D6" s="81" t="s">
        <v>3</v>
      </c>
      <c r="E6" s="25" t="s">
        <v>4</v>
      </c>
      <c r="F6" s="25" t="s">
        <v>5</v>
      </c>
      <c r="G6" s="25" t="s">
        <v>6</v>
      </c>
      <c r="H6" s="25" t="s">
        <v>7</v>
      </c>
      <c r="I6" s="26" t="s">
        <v>8</v>
      </c>
      <c r="J6" s="27" t="s">
        <v>9</v>
      </c>
      <c r="K6" s="28" t="s">
        <v>10</v>
      </c>
      <c r="L6" s="26" t="s">
        <v>11</v>
      </c>
      <c r="M6" s="26" t="s">
        <v>12</v>
      </c>
      <c r="N6" s="26" t="s">
        <v>13</v>
      </c>
      <c r="O6" s="26" t="s">
        <v>14</v>
      </c>
      <c r="P6" s="26" t="s">
        <v>15</v>
      </c>
      <c r="Q6" s="29" t="s">
        <v>16</v>
      </c>
      <c r="R6" s="42"/>
      <c r="S6" s="45" t="s">
        <v>17</v>
      </c>
      <c r="T6" s="26" t="s">
        <v>18</v>
      </c>
      <c r="U6" s="29" t="s">
        <v>19</v>
      </c>
    </row>
    <row r="7" spans="1:21" ht="24.9" customHeight="1" thickBot="1" x14ac:dyDescent="0.35">
      <c r="A7" s="90"/>
      <c r="B7" s="95"/>
      <c r="C7" s="88"/>
      <c r="D7" s="14"/>
      <c r="E7" s="13"/>
      <c r="F7" s="13"/>
      <c r="G7" s="13"/>
      <c r="H7" s="13"/>
      <c r="I7" s="13"/>
      <c r="J7" s="38">
        <v>0.18</v>
      </c>
      <c r="K7" s="13"/>
      <c r="L7" s="38">
        <v>0.01</v>
      </c>
      <c r="M7" s="38">
        <v>0.05</v>
      </c>
      <c r="N7" s="38">
        <v>0</v>
      </c>
      <c r="O7" s="38">
        <v>0.1</v>
      </c>
      <c r="P7" s="38">
        <v>0.18</v>
      </c>
      <c r="Q7" s="15"/>
      <c r="R7" s="48"/>
      <c r="S7" s="14"/>
      <c r="T7" s="13"/>
      <c r="U7" s="15"/>
    </row>
    <row r="8" spans="1:21" ht="24.9" customHeight="1" x14ac:dyDescent="0.3">
      <c r="A8" s="91"/>
      <c r="B8" s="96"/>
      <c r="C8" s="82">
        <v>52629</v>
      </c>
      <c r="D8" s="99" t="s">
        <v>28</v>
      </c>
      <c r="E8" s="35">
        <v>44946</v>
      </c>
      <c r="F8" s="36">
        <v>8</v>
      </c>
      <c r="G8" s="8">
        <v>1164000</v>
      </c>
      <c r="H8" s="8">
        <v>506542</v>
      </c>
      <c r="I8" s="11">
        <f>ROUND(G8-H8,)</f>
        <v>657458</v>
      </c>
      <c r="J8" s="11">
        <f>ROUND(I8*$J$7,0)</f>
        <v>118342</v>
      </c>
      <c r="K8" s="11">
        <f>I8+J8</f>
        <v>775800</v>
      </c>
      <c r="L8" s="11"/>
      <c r="M8" s="11"/>
      <c r="N8" s="11"/>
      <c r="O8" s="11"/>
      <c r="P8" s="11"/>
      <c r="Q8" s="12"/>
      <c r="R8" s="47">
        <v>52629</v>
      </c>
      <c r="S8" s="7" t="s">
        <v>30</v>
      </c>
      <c r="T8" s="8">
        <v>594000</v>
      </c>
      <c r="U8" s="37" t="s">
        <v>31</v>
      </c>
    </row>
    <row r="9" spans="1:21" ht="24.9" customHeight="1" x14ac:dyDescent="0.3">
      <c r="A9" s="92"/>
      <c r="B9" s="97"/>
      <c r="C9" s="83"/>
      <c r="D9" s="100" t="s">
        <v>29</v>
      </c>
      <c r="E9" s="23">
        <v>45000</v>
      </c>
      <c r="F9" s="20">
        <v>8</v>
      </c>
      <c r="G9" s="11">
        <v>118342.46</v>
      </c>
      <c r="H9" s="11"/>
      <c r="I9" s="11"/>
      <c r="J9" s="11"/>
      <c r="K9" s="11"/>
      <c r="L9" s="11"/>
      <c r="M9" s="11"/>
      <c r="N9" s="11"/>
      <c r="O9" s="11"/>
      <c r="P9" s="11"/>
      <c r="Q9" s="12">
        <f>G9</f>
        <v>118342.46</v>
      </c>
      <c r="R9" s="10"/>
      <c r="S9" s="9" t="s">
        <v>32</v>
      </c>
      <c r="T9" s="11">
        <v>495000</v>
      </c>
      <c r="U9" s="31" t="s">
        <v>33</v>
      </c>
    </row>
    <row r="10" spans="1:21" ht="24.9" customHeight="1" x14ac:dyDescent="0.3">
      <c r="A10" s="92"/>
      <c r="B10" s="97"/>
      <c r="C10" s="83"/>
      <c r="D10" s="100" t="s">
        <v>28</v>
      </c>
      <c r="E10" s="23">
        <v>45031</v>
      </c>
      <c r="F10" s="20">
        <v>4</v>
      </c>
      <c r="G10" s="11">
        <f>3381796*40%-G8</f>
        <v>188718.40000000014</v>
      </c>
      <c r="H10" s="11"/>
      <c r="I10" s="11">
        <f>ROUND(G10-H10,)</f>
        <v>188718</v>
      </c>
      <c r="J10" s="11">
        <f>ROUND(I10*$J$7,0)</f>
        <v>33969</v>
      </c>
      <c r="K10" s="11">
        <f>I10+J10</f>
        <v>222687</v>
      </c>
      <c r="L10" s="11"/>
      <c r="M10" s="11"/>
      <c r="N10" s="11"/>
      <c r="O10" s="11"/>
      <c r="P10" s="11"/>
      <c r="Q10" s="12"/>
      <c r="R10" s="10"/>
      <c r="S10" s="9" t="s">
        <v>112</v>
      </c>
      <c r="T10" s="11">
        <v>247500</v>
      </c>
      <c r="U10" s="12" t="s">
        <v>113</v>
      </c>
    </row>
    <row r="11" spans="1:21" ht="24.9" customHeight="1" x14ac:dyDescent="0.3">
      <c r="A11" s="93" t="s">
        <v>124</v>
      </c>
      <c r="B11" s="98">
        <v>3381796</v>
      </c>
      <c r="C11" s="84"/>
      <c r="D11" s="101"/>
      <c r="E11" s="63"/>
      <c r="F11" s="64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6"/>
      <c r="R11" s="10"/>
      <c r="S11" s="9"/>
      <c r="T11" s="11"/>
      <c r="U11" s="12"/>
    </row>
    <row r="12" spans="1:21" ht="24.9" customHeight="1" x14ac:dyDescent="0.3">
      <c r="A12" s="93" t="s">
        <v>125</v>
      </c>
      <c r="B12" s="98">
        <v>3675000</v>
      </c>
      <c r="C12" s="84"/>
      <c r="D12" s="101"/>
      <c r="E12" s="63"/>
      <c r="F12" s="64"/>
      <c r="G12" s="65">
        <f>B12*40%</f>
        <v>1470000</v>
      </c>
      <c r="H12" s="65">
        <f>SUM(H8:H11)</f>
        <v>506542</v>
      </c>
      <c r="I12" s="65">
        <f>G12-H12</f>
        <v>963458</v>
      </c>
      <c r="J12" s="65">
        <f>I12*$J$7</f>
        <v>173422.44</v>
      </c>
      <c r="K12" s="65">
        <f>I12+J12</f>
        <v>1136880.44</v>
      </c>
      <c r="L12" s="65">
        <f>I12*$L$7</f>
        <v>9634.58</v>
      </c>
      <c r="M12" s="65">
        <f>I12*$M$7</f>
        <v>48172.9</v>
      </c>
      <c r="N12" s="65">
        <f>I12*$N$7</f>
        <v>0</v>
      </c>
      <c r="O12" s="65">
        <f>I12*$O$7</f>
        <v>96345.8</v>
      </c>
      <c r="P12" s="65">
        <f>I12*$P$7</f>
        <v>173422.44</v>
      </c>
      <c r="Q12" s="66">
        <f>K12-L12-M12-N12-O12-P12</f>
        <v>809304.72</v>
      </c>
      <c r="R12" s="10"/>
      <c r="S12" s="9"/>
      <c r="T12" s="11"/>
      <c r="U12" s="12"/>
    </row>
    <row r="13" spans="1:21" ht="24.9" customHeight="1" x14ac:dyDescent="0.3">
      <c r="A13" s="109"/>
      <c r="B13" s="110"/>
      <c r="C13" s="85"/>
      <c r="D13" s="104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32"/>
      <c r="R13" s="21"/>
      <c r="S13" s="16"/>
      <c r="T13" s="19"/>
      <c r="U13" s="33"/>
    </row>
    <row r="14" spans="1:21" ht="24.9" customHeight="1" x14ac:dyDescent="0.3">
      <c r="A14" s="92"/>
      <c r="B14" s="97"/>
      <c r="C14" s="83">
        <v>52630</v>
      </c>
      <c r="D14" s="100" t="s">
        <v>34</v>
      </c>
      <c r="E14" s="23">
        <v>45279</v>
      </c>
      <c r="F14" s="20">
        <v>7</v>
      </c>
      <c r="G14" s="11">
        <v>1400000</v>
      </c>
      <c r="H14" s="11">
        <v>540666</v>
      </c>
      <c r="I14" s="11">
        <f>ROUND(G14-H14,)</f>
        <v>859334</v>
      </c>
      <c r="J14" s="11">
        <f>ROUND(I14*$J$7,0)</f>
        <v>154680</v>
      </c>
      <c r="K14" s="11">
        <f>I14+J14</f>
        <v>1014014</v>
      </c>
      <c r="L14" s="11"/>
      <c r="M14" s="11"/>
      <c r="N14" s="11"/>
      <c r="O14" s="11"/>
      <c r="P14" s="11"/>
      <c r="Q14" s="12"/>
      <c r="R14" s="10">
        <v>52630</v>
      </c>
      <c r="S14" s="9" t="s">
        <v>35</v>
      </c>
      <c r="T14" s="11">
        <v>594000</v>
      </c>
      <c r="U14" s="30" t="s">
        <v>36</v>
      </c>
    </row>
    <row r="15" spans="1:21" ht="24.9" customHeight="1" x14ac:dyDescent="0.3">
      <c r="A15" s="92"/>
      <c r="B15" s="97"/>
      <c r="C15" s="83"/>
      <c r="D15" s="102" t="s">
        <v>29</v>
      </c>
      <c r="E15" s="23"/>
      <c r="F15" s="20">
        <v>7</v>
      </c>
      <c r="G15" s="11">
        <v>154680</v>
      </c>
      <c r="H15" s="11"/>
      <c r="I15" s="11"/>
      <c r="J15" s="11"/>
      <c r="K15" s="11"/>
      <c r="L15" s="11"/>
      <c r="M15" s="11"/>
      <c r="N15" s="11"/>
      <c r="O15" s="11"/>
      <c r="P15" s="11"/>
      <c r="Q15" s="12">
        <v>154680</v>
      </c>
      <c r="R15" s="10"/>
      <c r="S15" s="9" t="s">
        <v>37</v>
      </c>
      <c r="T15" s="11">
        <v>495000</v>
      </c>
      <c r="U15" s="31" t="s">
        <v>38</v>
      </c>
    </row>
    <row r="16" spans="1:21" ht="24.9" customHeight="1" x14ac:dyDescent="0.3">
      <c r="A16" s="92"/>
      <c r="B16" s="97"/>
      <c r="C16" s="83"/>
      <c r="D16" s="100" t="s">
        <v>34</v>
      </c>
      <c r="E16" s="23">
        <v>45031</v>
      </c>
      <c r="F16" s="20">
        <v>5</v>
      </c>
      <c r="G16" s="11">
        <f>(4307222*40%)-G14</f>
        <v>322888.80000000005</v>
      </c>
      <c r="H16" s="11">
        <v>0</v>
      </c>
      <c r="I16" s="11">
        <f>ROUND(G16-H16,)</f>
        <v>322889</v>
      </c>
      <c r="J16" s="11">
        <f>ROUND(I16*$J$7,0)</f>
        <v>58120</v>
      </c>
      <c r="K16" s="11">
        <f>I16+J16</f>
        <v>381009</v>
      </c>
      <c r="L16" s="11"/>
      <c r="M16" s="11"/>
      <c r="N16" s="11"/>
      <c r="O16" s="11"/>
      <c r="P16" s="11"/>
      <c r="Q16" s="12"/>
      <c r="R16" s="10"/>
      <c r="S16" s="9"/>
      <c r="T16" s="11">
        <v>50000</v>
      </c>
      <c r="U16" s="31" t="s">
        <v>39</v>
      </c>
    </row>
    <row r="17" spans="1:21" ht="24.9" customHeight="1" x14ac:dyDescent="0.3">
      <c r="A17" s="93"/>
      <c r="B17" s="98"/>
      <c r="C17" s="83"/>
      <c r="D17" s="100"/>
      <c r="E17" s="23"/>
      <c r="F17" s="20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2"/>
      <c r="R17" s="10"/>
      <c r="S17" s="9" t="s">
        <v>115</v>
      </c>
      <c r="T17" s="11">
        <v>198000</v>
      </c>
      <c r="U17" s="31" t="s">
        <v>116</v>
      </c>
    </row>
    <row r="18" spans="1:21" ht="24.9" customHeight="1" x14ac:dyDescent="0.3">
      <c r="A18" s="93" t="s">
        <v>124</v>
      </c>
      <c r="B18" s="98">
        <v>4307222.5</v>
      </c>
      <c r="C18" s="83"/>
      <c r="D18" s="100"/>
      <c r="E18" s="23"/>
      <c r="F18" s="20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2"/>
      <c r="R18" s="10"/>
      <c r="S18" s="9"/>
      <c r="T18" s="11"/>
      <c r="U18" s="31"/>
    </row>
    <row r="19" spans="1:21" ht="24.9" customHeight="1" x14ac:dyDescent="0.3">
      <c r="A19" s="93" t="s">
        <v>125</v>
      </c>
      <c r="B19" s="98">
        <v>4425000</v>
      </c>
      <c r="C19" s="83"/>
      <c r="D19" s="100"/>
      <c r="E19" s="23"/>
      <c r="F19" s="20"/>
      <c r="G19" s="65">
        <f>B19*40%</f>
        <v>1770000</v>
      </c>
      <c r="H19" s="65">
        <f>SUM(H14:H18)</f>
        <v>540666</v>
      </c>
      <c r="I19" s="65">
        <f>G19-H19</f>
        <v>1229334</v>
      </c>
      <c r="J19" s="65">
        <f>I19*$J$7</f>
        <v>221280.12</v>
      </c>
      <c r="K19" s="65">
        <f>I19+J19</f>
        <v>1450614.12</v>
      </c>
      <c r="L19" s="65">
        <f>I19*$L$7</f>
        <v>12293.34</v>
      </c>
      <c r="M19" s="65">
        <f>I19*$M$7</f>
        <v>61466.700000000004</v>
      </c>
      <c r="N19" s="65">
        <f>I19*$N$7</f>
        <v>0</v>
      </c>
      <c r="O19" s="65">
        <f>I19*$O$7</f>
        <v>122933.40000000001</v>
      </c>
      <c r="P19" s="65">
        <f>I19*$P$7</f>
        <v>221280.12</v>
      </c>
      <c r="Q19" s="66">
        <f>K19-L19-M19-N19-O19-P19</f>
        <v>1032640.5600000002</v>
      </c>
      <c r="R19" s="10"/>
      <c r="S19" s="9"/>
      <c r="T19" s="11"/>
      <c r="U19" s="31"/>
    </row>
    <row r="20" spans="1:21" ht="24.9" customHeight="1" x14ac:dyDescent="0.3">
      <c r="A20" s="109"/>
      <c r="B20" s="110"/>
      <c r="C20" s="85"/>
      <c r="D20" s="104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32"/>
      <c r="R20" s="21"/>
      <c r="S20" s="16"/>
      <c r="T20" s="19"/>
      <c r="U20" s="33"/>
    </row>
    <row r="21" spans="1:21" ht="24.9" customHeight="1" x14ac:dyDescent="0.3">
      <c r="A21" s="92"/>
      <c r="B21" s="97"/>
      <c r="C21" s="83">
        <v>52631</v>
      </c>
      <c r="D21" s="100" t="s">
        <v>40</v>
      </c>
      <c r="E21" s="23">
        <v>44904</v>
      </c>
      <c r="F21" s="20">
        <v>2</v>
      </c>
      <c r="G21" s="11">
        <f>3640000*20%</f>
        <v>728000</v>
      </c>
      <c r="H21" s="11">
        <v>255338.02</v>
      </c>
      <c r="I21" s="11">
        <f>ROUND(G21-H21,)</f>
        <v>472662</v>
      </c>
      <c r="J21" s="11">
        <f>ROUND(I21*$J$7,0)</f>
        <v>85079</v>
      </c>
      <c r="K21" s="11">
        <f>I21+J21</f>
        <v>557741</v>
      </c>
      <c r="L21" s="11"/>
      <c r="M21" s="11"/>
      <c r="N21" s="11"/>
      <c r="O21" s="11"/>
      <c r="P21" s="11"/>
      <c r="Q21" s="12"/>
      <c r="R21" s="10">
        <v>52631</v>
      </c>
      <c r="S21" s="9" t="s">
        <v>41</v>
      </c>
      <c r="T21" s="11">
        <v>297000</v>
      </c>
      <c r="U21" s="31" t="s">
        <v>42</v>
      </c>
    </row>
    <row r="22" spans="1:21" ht="24.9" customHeight="1" x14ac:dyDescent="0.3">
      <c r="A22" s="92"/>
      <c r="B22" s="97"/>
      <c r="C22" s="83"/>
      <c r="D22" s="100" t="s">
        <v>40</v>
      </c>
      <c r="E22" s="23">
        <v>44955</v>
      </c>
      <c r="F22" s="20">
        <v>9</v>
      </c>
      <c r="G22" s="11">
        <f>3640000*20%</f>
        <v>728000</v>
      </c>
      <c r="H22" s="11">
        <v>221963.5</v>
      </c>
      <c r="I22" s="11">
        <f t="shared" ref="I22:I25" si="0">ROUND(G22-H22,)</f>
        <v>506037</v>
      </c>
      <c r="J22" s="11">
        <f>ROUND(I22*$J$7,0)</f>
        <v>91087</v>
      </c>
      <c r="K22" s="11">
        <f t="shared" ref="K22" si="1">I22+J22</f>
        <v>597124</v>
      </c>
      <c r="L22" s="11"/>
      <c r="M22" s="11"/>
      <c r="N22" s="11"/>
      <c r="O22" s="11"/>
      <c r="P22" s="11"/>
      <c r="Q22" s="12"/>
      <c r="R22" s="10"/>
      <c r="S22" s="9" t="s">
        <v>43</v>
      </c>
      <c r="T22" s="11">
        <v>297000</v>
      </c>
      <c r="U22" s="31" t="s">
        <v>44</v>
      </c>
    </row>
    <row r="23" spans="1:21" ht="24.9" customHeight="1" x14ac:dyDescent="0.3">
      <c r="A23" s="92"/>
      <c r="B23" s="97"/>
      <c r="C23" s="83"/>
      <c r="D23" s="100" t="s">
        <v>29</v>
      </c>
      <c r="E23" s="23">
        <v>44958</v>
      </c>
      <c r="F23" s="20">
        <v>2</v>
      </c>
      <c r="G23" s="11">
        <v>85079</v>
      </c>
      <c r="H23" s="11"/>
      <c r="I23" s="11"/>
      <c r="J23" s="11">
        <v>0</v>
      </c>
      <c r="K23" s="11">
        <v>0</v>
      </c>
      <c r="L23" s="11"/>
      <c r="M23" s="11"/>
      <c r="N23" s="11"/>
      <c r="O23" s="11"/>
      <c r="P23" s="11"/>
      <c r="Q23" s="12">
        <f>G23</f>
        <v>85079</v>
      </c>
      <c r="R23" s="10"/>
      <c r="S23" s="9" t="s">
        <v>45</v>
      </c>
      <c r="T23" s="11">
        <v>198000</v>
      </c>
      <c r="U23" s="31" t="s">
        <v>46</v>
      </c>
    </row>
    <row r="24" spans="1:21" ht="24.9" customHeight="1" x14ac:dyDescent="0.3">
      <c r="A24" s="92"/>
      <c r="B24" s="97"/>
      <c r="C24" s="83"/>
      <c r="D24" s="100" t="s">
        <v>29</v>
      </c>
      <c r="E24" s="23"/>
      <c r="F24" s="20">
        <v>9</v>
      </c>
      <c r="G24" s="11">
        <v>91086</v>
      </c>
      <c r="H24" s="11"/>
      <c r="I24" s="11"/>
      <c r="J24" s="11"/>
      <c r="K24" s="11"/>
      <c r="L24" s="11"/>
      <c r="M24" s="11"/>
      <c r="N24" s="11"/>
      <c r="O24" s="11"/>
      <c r="P24" s="11"/>
      <c r="Q24" s="12">
        <f>G24</f>
        <v>91086</v>
      </c>
      <c r="R24" s="10"/>
      <c r="S24" s="9" t="s">
        <v>47</v>
      </c>
      <c r="T24" s="11">
        <v>30106</v>
      </c>
      <c r="U24" s="31" t="s">
        <v>48</v>
      </c>
    </row>
    <row r="25" spans="1:21" ht="24.9" customHeight="1" x14ac:dyDescent="0.3">
      <c r="A25" s="92"/>
      <c r="B25" s="97"/>
      <c r="C25" s="83"/>
      <c r="D25" s="100" t="s">
        <v>40</v>
      </c>
      <c r="E25" s="23">
        <v>45031</v>
      </c>
      <c r="F25" s="20">
        <v>9</v>
      </c>
      <c r="G25" s="11">
        <f>(4251823*40%)-G21-G22</f>
        <v>244729.20000000019</v>
      </c>
      <c r="H25" s="11"/>
      <c r="I25" s="11">
        <f t="shared" si="0"/>
        <v>244729</v>
      </c>
      <c r="J25" s="11">
        <f>ROUND(I25*$J$7,0)</f>
        <v>44051</v>
      </c>
      <c r="K25" s="11">
        <f t="shared" ref="K25" si="2">I25+J25</f>
        <v>288780</v>
      </c>
      <c r="L25" s="11"/>
      <c r="M25" s="11"/>
      <c r="N25" s="11"/>
      <c r="O25" s="11"/>
      <c r="P25" s="11"/>
      <c r="Q25" s="12"/>
      <c r="R25" s="10"/>
      <c r="S25" s="9" t="s">
        <v>49</v>
      </c>
      <c r="T25" s="11">
        <v>85079</v>
      </c>
      <c r="U25" s="31" t="s">
        <v>50</v>
      </c>
    </row>
    <row r="26" spans="1:21" ht="24.9" customHeight="1" x14ac:dyDescent="0.3">
      <c r="A26" s="92"/>
      <c r="B26" s="97"/>
      <c r="C26" s="83"/>
      <c r="D26" s="100"/>
      <c r="E26" s="23"/>
      <c r="F26" s="20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  <c r="R26" s="10"/>
      <c r="S26" s="9"/>
      <c r="T26" s="11">
        <v>198000</v>
      </c>
      <c r="U26" s="31" t="s">
        <v>51</v>
      </c>
    </row>
    <row r="27" spans="1:21" ht="24.9" customHeight="1" x14ac:dyDescent="0.3">
      <c r="A27" s="92"/>
      <c r="B27" s="97"/>
      <c r="C27" s="83"/>
      <c r="D27" s="100"/>
      <c r="E27" s="23"/>
      <c r="F27" s="20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2"/>
      <c r="R27" s="10"/>
      <c r="S27" s="9" t="s">
        <v>52</v>
      </c>
      <c r="T27" s="11">
        <v>7573</v>
      </c>
      <c r="U27" s="31" t="s">
        <v>53</v>
      </c>
    </row>
    <row r="28" spans="1:21" ht="24.9" customHeight="1" x14ac:dyDescent="0.3">
      <c r="A28" s="92"/>
      <c r="B28" s="97"/>
      <c r="C28" s="83"/>
      <c r="D28" s="100"/>
      <c r="E28" s="23"/>
      <c r="F28" s="20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2"/>
      <c r="R28" s="10"/>
      <c r="S28" s="9" t="s">
        <v>54</v>
      </c>
      <c r="T28" s="11">
        <v>148500</v>
      </c>
      <c r="U28" s="31" t="s">
        <v>55</v>
      </c>
    </row>
    <row r="29" spans="1:21" ht="24.9" customHeight="1" x14ac:dyDescent="0.3">
      <c r="A29" s="93" t="s">
        <v>124</v>
      </c>
      <c r="B29" s="98">
        <v>4251823</v>
      </c>
      <c r="C29" s="83"/>
      <c r="D29" s="100"/>
      <c r="E29" s="23"/>
      <c r="F29" s="20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10"/>
      <c r="S29" s="9"/>
      <c r="T29" s="11"/>
      <c r="U29" s="31"/>
    </row>
    <row r="30" spans="1:21" ht="24.9" customHeight="1" x14ac:dyDescent="0.3">
      <c r="A30" s="93" t="s">
        <v>125</v>
      </c>
      <c r="B30" s="98">
        <v>4235000</v>
      </c>
      <c r="C30" s="83"/>
      <c r="D30" s="100"/>
      <c r="E30" s="23"/>
      <c r="F30" s="20"/>
      <c r="G30" s="65">
        <f>B30*40%</f>
        <v>1694000</v>
      </c>
      <c r="H30" s="65">
        <f>SUM(H21:H29)</f>
        <v>477301.52</v>
      </c>
      <c r="I30" s="65">
        <f>G30-H30</f>
        <v>1216698.48</v>
      </c>
      <c r="J30" s="65">
        <f>I30*$J$7</f>
        <v>219005.72639999999</v>
      </c>
      <c r="K30" s="65">
        <f>I30+J30</f>
        <v>1435704.2064</v>
      </c>
      <c r="L30" s="65">
        <f>I30*$L$7</f>
        <v>12166.9848</v>
      </c>
      <c r="M30" s="65">
        <f>I30*$M$7</f>
        <v>60834.923999999999</v>
      </c>
      <c r="N30" s="65">
        <f>I30*$N$7</f>
        <v>0</v>
      </c>
      <c r="O30" s="65">
        <f>I30*$O$7</f>
        <v>121669.848</v>
      </c>
      <c r="P30" s="65">
        <f>I30*$P$7</f>
        <v>219005.72639999999</v>
      </c>
      <c r="Q30" s="66">
        <f>K30-L30-M30-N30-O30-P30</f>
        <v>1022026.7232000001</v>
      </c>
      <c r="R30" s="10"/>
      <c r="S30" s="46"/>
      <c r="T30" s="18"/>
      <c r="U30" s="31"/>
    </row>
    <row r="31" spans="1:21" ht="24.9" customHeight="1" x14ac:dyDescent="0.3">
      <c r="A31" s="109"/>
      <c r="B31" s="110"/>
      <c r="C31" s="85"/>
      <c r="D31" s="104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32"/>
      <c r="R31" s="21"/>
      <c r="S31" s="16"/>
      <c r="T31" s="19"/>
      <c r="U31" s="33"/>
    </row>
    <row r="32" spans="1:21" ht="24.9" customHeight="1" x14ac:dyDescent="0.3">
      <c r="A32" s="92"/>
      <c r="B32" s="97"/>
      <c r="C32" s="83">
        <v>52793</v>
      </c>
      <c r="D32" s="100" t="s">
        <v>56</v>
      </c>
      <c r="E32" s="23">
        <v>44914</v>
      </c>
      <c r="F32" s="20">
        <v>5</v>
      </c>
      <c r="G32" s="11">
        <f>3300000*20%</f>
        <v>660000</v>
      </c>
      <c r="H32" s="11">
        <v>197847</v>
      </c>
      <c r="I32" s="11">
        <f>ROUND(G32-H32,)</f>
        <v>462153</v>
      </c>
      <c r="J32" s="11">
        <f>ROUND(I32*$J$7,0)</f>
        <v>83188</v>
      </c>
      <c r="K32" s="11">
        <f>I32+J32</f>
        <v>545341</v>
      </c>
      <c r="L32" s="11"/>
      <c r="M32" s="11"/>
      <c r="N32" s="11"/>
      <c r="O32" s="11"/>
      <c r="P32" s="11"/>
      <c r="Q32" s="12"/>
      <c r="R32" s="10">
        <v>52793</v>
      </c>
      <c r="S32" s="9" t="s">
        <v>58</v>
      </c>
      <c r="T32" s="11">
        <v>495000</v>
      </c>
      <c r="U32" s="31" t="s">
        <v>59</v>
      </c>
    </row>
    <row r="33" spans="1:21" ht="24.9" customHeight="1" x14ac:dyDescent="0.3">
      <c r="A33" s="92"/>
      <c r="B33" s="97"/>
      <c r="C33" s="83"/>
      <c r="D33" s="100" t="s">
        <v>57</v>
      </c>
      <c r="E33" s="23">
        <v>44958</v>
      </c>
      <c r="F33" s="20">
        <v>5</v>
      </c>
      <c r="G33" s="11">
        <f>J32</f>
        <v>83188</v>
      </c>
      <c r="H33" s="11"/>
      <c r="I33" s="11">
        <f t="shared" ref="I33" si="3">ROUND(G33-H33,)</f>
        <v>83188</v>
      </c>
      <c r="J33" s="11"/>
      <c r="K33" s="11">
        <f t="shared" ref="K33" si="4">I33+J33</f>
        <v>83188</v>
      </c>
      <c r="L33" s="11"/>
      <c r="M33" s="11"/>
      <c r="N33" s="11"/>
      <c r="O33" s="11"/>
      <c r="P33" s="11"/>
      <c r="Q33" s="12">
        <f t="shared" ref="Q33" si="5">ROUND(K33-SUM(L33:P33),0)</f>
        <v>83188</v>
      </c>
      <c r="R33" s="10"/>
      <c r="S33" s="9" t="s">
        <v>60</v>
      </c>
      <c r="T33" s="11">
        <v>148500</v>
      </c>
      <c r="U33" s="31" t="s">
        <v>61</v>
      </c>
    </row>
    <row r="34" spans="1:21" ht="24.9" customHeight="1" x14ac:dyDescent="0.3">
      <c r="A34" s="92"/>
      <c r="B34" s="97"/>
      <c r="C34" s="83"/>
      <c r="D34" s="100" t="s">
        <v>56</v>
      </c>
      <c r="E34" s="23">
        <v>45031</v>
      </c>
      <c r="F34" s="20">
        <v>6</v>
      </c>
      <c r="G34" s="11">
        <f>3765301*20%-G32</f>
        <v>93060.20000000007</v>
      </c>
      <c r="H34" s="11"/>
      <c r="I34" s="11">
        <f>ROUND(G34-H34,)</f>
        <v>93060</v>
      </c>
      <c r="J34" s="11">
        <f>ROUND(I34*$J$7,0)</f>
        <v>16751</v>
      </c>
      <c r="K34" s="11">
        <f>I34+J34</f>
        <v>109811</v>
      </c>
      <c r="L34" s="11"/>
      <c r="M34" s="11"/>
      <c r="N34" s="11"/>
      <c r="O34" s="11"/>
      <c r="P34" s="11"/>
      <c r="Q34" s="12"/>
      <c r="R34" s="10"/>
      <c r="S34" s="9"/>
      <c r="T34" s="11">
        <v>247500</v>
      </c>
      <c r="U34" s="12" t="s">
        <v>114</v>
      </c>
    </row>
    <row r="35" spans="1:21" ht="24.9" customHeight="1" x14ac:dyDescent="0.3">
      <c r="A35" s="93"/>
      <c r="B35" s="98"/>
      <c r="C35" s="83"/>
      <c r="D35" s="103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2"/>
      <c r="R35" s="10"/>
      <c r="S35" s="9"/>
      <c r="T35" s="11">
        <v>198000</v>
      </c>
      <c r="U35" s="12" t="s">
        <v>120</v>
      </c>
    </row>
    <row r="36" spans="1:21" ht="24.9" customHeight="1" x14ac:dyDescent="0.3">
      <c r="A36" s="93" t="s">
        <v>124</v>
      </c>
      <c r="B36" s="98">
        <v>3765301</v>
      </c>
      <c r="C36" s="83"/>
      <c r="D36" s="103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2"/>
      <c r="R36" s="10"/>
      <c r="S36" s="46"/>
      <c r="T36" s="18"/>
      <c r="U36" s="31"/>
    </row>
    <row r="37" spans="1:21" ht="24.9" customHeight="1" x14ac:dyDescent="0.3">
      <c r="A37" s="93" t="s">
        <v>125</v>
      </c>
      <c r="B37" s="98">
        <v>3960000</v>
      </c>
      <c r="C37" s="83"/>
      <c r="D37" s="103"/>
      <c r="E37" s="11"/>
      <c r="F37" s="11"/>
      <c r="G37" s="65">
        <f>B37*20%</f>
        <v>792000</v>
      </c>
      <c r="H37" s="65">
        <f>SUM(H32:H36)</f>
        <v>197847</v>
      </c>
      <c r="I37" s="65">
        <f>G37-H37</f>
        <v>594153</v>
      </c>
      <c r="J37" s="65">
        <f>I37*$J$7</f>
        <v>106947.54</v>
      </c>
      <c r="K37" s="65">
        <f>I37+J37</f>
        <v>701100.54</v>
      </c>
      <c r="L37" s="65">
        <f>I37*$L$7</f>
        <v>5941.53</v>
      </c>
      <c r="M37" s="65">
        <f>I37*$M$7</f>
        <v>29707.65</v>
      </c>
      <c r="N37" s="65">
        <f>I37*$N$7</f>
        <v>0</v>
      </c>
      <c r="O37" s="65">
        <f>I37*$O$7</f>
        <v>59415.3</v>
      </c>
      <c r="P37" s="65">
        <f>I37*$P$7</f>
        <v>106947.54</v>
      </c>
      <c r="Q37" s="66">
        <f>K37-L37-M37-N37-O37-P37</f>
        <v>499088.51999999996</v>
      </c>
      <c r="R37" s="10"/>
      <c r="S37" s="46"/>
      <c r="T37" s="18"/>
      <c r="U37" s="31"/>
    </row>
    <row r="38" spans="1:21" ht="24.9" customHeight="1" x14ac:dyDescent="0.3">
      <c r="A38" s="109"/>
      <c r="B38" s="110"/>
      <c r="C38" s="85"/>
      <c r="D38" s="104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32"/>
      <c r="R38" s="21"/>
      <c r="S38" s="16"/>
      <c r="T38" s="19"/>
      <c r="U38" s="33"/>
    </row>
    <row r="39" spans="1:21" ht="24.9" customHeight="1" x14ac:dyDescent="0.2">
      <c r="A39" s="92"/>
      <c r="B39" s="97"/>
      <c r="C39" s="83">
        <v>52796</v>
      </c>
      <c r="D39" s="103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2"/>
      <c r="R39" s="10">
        <v>52796</v>
      </c>
      <c r="S39" s="9" t="s">
        <v>21</v>
      </c>
      <c r="T39" s="11">
        <v>495000</v>
      </c>
      <c r="U39" s="113" t="s">
        <v>22</v>
      </c>
    </row>
    <row r="40" spans="1:21" ht="24.9" customHeight="1" x14ac:dyDescent="0.3">
      <c r="A40" s="92"/>
      <c r="B40" s="97"/>
      <c r="C40" s="83"/>
      <c r="D40" s="103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2"/>
      <c r="R40" s="10"/>
      <c r="S40" s="9"/>
      <c r="T40" s="11"/>
      <c r="U40" s="31"/>
    </row>
    <row r="41" spans="1:21" ht="24.9" customHeight="1" x14ac:dyDescent="0.3">
      <c r="A41" s="92"/>
      <c r="B41" s="97"/>
      <c r="C41" s="83"/>
      <c r="D41" s="103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2"/>
      <c r="R41" s="10"/>
      <c r="S41" s="9"/>
      <c r="T41" s="11"/>
      <c r="U41" s="31"/>
    </row>
    <row r="42" spans="1:21" ht="24.9" customHeight="1" x14ac:dyDescent="0.3">
      <c r="A42" s="109"/>
      <c r="B42" s="110"/>
      <c r="C42" s="85"/>
      <c r="D42" s="104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32"/>
      <c r="R42" s="21"/>
      <c r="S42" s="16"/>
      <c r="T42" s="19"/>
      <c r="U42" s="33"/>
    </row>
    <row r="43" spans="1:21" ht="24.9" customHeight="1" x14ac:dyDescent="0.3">
      <c r="A43" s="92"/>
      <c r="B43" s="97"/>
      <c r="C43" s="83">
        <v>56009</v>
      </c>
      <c r="D43" s="100" t="s">
        <v>20</v>
      </c>
      <c r="E43" s="23">
        <v>45012</v>
      </c>
      <c r="F43" s="20">
        <v>27</v>
      </c>
      <c r="G43" s="11">
        <f>3097314*10%</f>
        <v>309731.40000000002</v>
      </c>
      <c r="H43" s="11">
        <v>231489.49</v>
      </c>
      <c r="I43" s="11">
        <f>ROUND(G43-H43,)</f>
        <v>78242</v>
      </c>
      <c r="J43" s="11">
        <f>ROUND(I43*$J$7,0)</f>
        <v>14084</v>
      </c>
      <c r="K43" s="11">
        <f>I43+J43</f>
        <v>92326</v>
      </c>
      <c r="L43" s="11"/>
      <c r="M43" s="11"/>
      <c r="N43" s="11"/>
      <c r="O43" s="11"/>
      <c r="P43" s="11"/>
      <c r="Q43" s="12"/>
      <c r="R43" s="10">
        <v>56009</v>
      </c>
      <c r="S43" s="9" t="s">
        <v>21</v>
      </c>
      <c r="T43" s="11">
        <v>495000</v>
      </c>
      <c r="U43" s="31" t="s">
        <v>22</v>
      </c>
    </row>
    <row r="44" spans="1:21" ht="24.9" customHeight="1" x14ac:dyDescent="0.3">
      <c r="A44" s="92"/>
      <c r="B44" s="97"/>
      <c r="C44" s="83"/>
      <c r="D44" s="100" t="s">
        <v>20</v>
      </c>
      <c r="E44" s="23">
        <v>45016</v>
      </c>
      <c r="F44" s="20">
        <v>35</v>
      </c>
      <c r="G44" s="11">
        <f>(3097314*20%)-G43</f>
        <v>309731.40000000002</v>
      </c>
      <c r="H44" s="11">
        <v>0</v>
      </c>
      <c r="I44" s="11">
        <f>ROUND(G44-H44,)</f>
        <v>309731</v>
      </c>
      <c r="J44" s="11">
        <f>ROUND(I44*$J$7,0)</f>
        <v>55752</v>
      </c>
      <c r="K44" s="11">
        <f>I44+J44</f>
        <v>365483</v>
      </c>
      <c r="L44" s="11"/>
      <c r="M44" s="11"/>
      <c r="N44" s="11"/>
      <c r="O44" s="11"/>
      <c r="P44" s="11"/>
      <c r="Q44" s="12"/>
      <c r="R44" s="43"/>
      <c r="S44" s="9" t="s">
        <v>23</v>
      </c>
      <c r="T44" s="11">
        <v>99000</v>
      </c>
      <c r="U44" s="31" t="s">
        <v>24</v>
      </c>
    </row>
    <row r="45" spans="1:21" ht="24.9" customHeight="1" x14ac:dyDescent="0.3">
      <c r="A45" s="92"/>
      <c r="B45" s="97"/>
      <c r="C45" s="83"/>
      <c r="D45" s="100" t="s">
        <v>20</v>
      </c>
      <c r="E45" s="24">
        <v>45126</v>
      </c>
      <c r="F45" s="22">
        <v>31</v>
      </c>
      <c r="G45" s="22">
        <v>682500</v>
      </c>
      <c r="H45" s="22">
        <f>433586.02+10120-63037</f>
        <v>380669.02</v>
      </c>
      <c r="I45" s="22">
        <f>ROUND(G45-H45,)</f>
        <v>301831</v>
      </c>
      <c r="J45" s="22">
        <f>ROUND(I45*$J$7,0)</f>
        <v>54330</v>
      </c>
      <c r="K45" s="22">
        <f>I45+J45</f>
        <v>356161</v>
      </c>
      <c r="L45" s="22">
        <f>ROUND(I45*$L$7,)</f>
        <v>3018</v>
      </c>
      <c r="M45" s="22">
        <f>ROUND(I45*$M$7,)</f>
        <v>15092</v>
      </c>
      <c r="N45" s="22">
        <f>ROUND(I45*$N$7,)</f>
        <v>0</v>
      </c>
      <c r="O45" s="22">
        <f>ROUND(I45*$O$7,)</f>
        <v>30183</v>
      </c>
      <c r="P45" s="22">
        <f>J45</f>
        <v>54330</v>
      </c>
      <c r="Q45" s="41">
        <f>ROUND(K45-SUM(L45:P45),0)</f>
        <v>253538</v>
      </c>
      <c r="R45" s="10"/>
      <c r="S45" s="9" t="s">
        <v>25</v>
      </c>
      <c r="T45" s="11">
        <v>99000</v>
      </c>
      <c r="U45" s="31" t="s">
        <v>26</v>
      </c>
    </row>
    <row r="46" spans="1:21" ht="24.9" customHeight="1" x14ac:dyDescent="0.3">
      <c r="A46" s="92"/>
      <c r="B46" s="97"/>
      <c r="C46" s="83"/>
      <c r="D46" s="100" t="s">
        <v>29</v>
      </c>
      <c r="E46" s="24"/>
      <c r="F46" s="22">
        <v>27</v>
      </c>
      <c r="G46" s="22">
        <v>14084</v>
      </c>
      <c r="H46" s="22"/>
      <c r="I46" s="22"/>
      <c r="J46" s="22"/>
      <c r="K46" s="22"/>
      <c r="L46" s="22"/>
      <c r="M46" s="22"/>
      <c r="N46" s="22"/>
      <c r="O46" s="22"/>
      <c r="P46" s="22"/>
      <c r="Q46" s="41">
        <v>14084</v>
      </c>
      <c r="R46" s="10"/>
      <c r="S46" s="9" t="s">
        <v>117</v>
      </c>
      <c r="T46" s="11">
        <v>198000</v>
      </c>
      <c r="U46" s="12" t="s">
        <v>118</v>
      </c>
    </row>
    <row r="47" spans="1:21" ht="24.9" customHeight="1" x14ac:dyDescent="0.3">
      <c r="A47" s="93" t="s">
        <v>124</v>
      </c>
      <c r="B47" s="98">
        <v>3097314</v>
      </c>
      <c r="C47" s="83"/>
      <c r="D47" s="100" t="s">
        <v>29</v>
      </c>
      <c r="E47" s="24"/>
      <c r="F47" s="22">
        <v>35</v>
      </c>
      <c r="G47" s="22">
        <v>55752</v>
      </c>
      <c r="H47" s="22"/>
      <c r="I47" s="22"/>
      <c r="J47" s="22"/>
      <c r="K47" s="22"/>
      <c r="L47" s="22"/>
      <c r="M47" s="22"/>
      <c r="N47" s="22"/>
      <c r="O47" s="22"/>
      <c r="P47" s="22"/>
      <c r="Q47" s="41">
        <v>55752</v>
      </c>
      <c r="R47" s="10"/>
      <c r="S47" s="9"/>
      <c r="T47" s="11"/>
      <c r="U47" s="12"/>
    </row>
    <row r="48" spans="1:21" ht="24.9" customHeight="1" x14ac:dyDescent="0.3">
      <c r="A48" s="93" t="s">
        <v>125</v>
      </c>
      <c r="B48" s="98">
        <v>3412500</v>
      </c>
      <c r="C48" s="83"/>
      <c r="D48" s="100"/>
      <c r="E48" s="24"/>
      <c r="F48" s="22"/>
      <c r="G48" s="65">
        <f>B48*20%</f>
        <v>682500</v>
      </c>
      <c r="H48" s="65">
        <f>SUM(H43:H44)+10120</f>
        <v>241609.49</v>
      </c>
      <c r="I48" s="65">
        <f>G48-H48</f>
        <v>440890.51</v>
      </c>
      <c r="J48" s="65">
        <f>I48*$J$7</f>
        <v>79360.291799999992</v>
      </c>
      <c r="K48" s="65">
        <f>I48+J48</f>
        <v>520250.80180000002</v>
      </c>
      <c r="L48" s="65">
        <f>I48*$L$7</f>
        <v>4408.9050999999999</v>
      </c>
      <c r="M48" s="65">
        <f>I48*$M$7</f>
        <v>22044.525500000003</v>
      </c>
      <c r="N48" s="65">
        <f>I48*$N$7</f>
        <v>0</v>
      </c>
      <c r="O48" s="65">
        <f>I48*$O$7</f>
        <v>44089.051000000007</v>
      </c>
      <c r="P48" s="65">
        <f>I48*$P$7</f>
        <v>79360.291799999992</v>
      </c>
      <c r="Q48" s="66">
        <f>K48-L48-M48-N48-O48-P48</f>
        <v>370348.02840000007</v>
      </c>
      <c r="R48" s="10"/>
      <c r="S48" s="9"/>
      <c r="T48" s="11"/>
      <c r="U48" s="12"/>
    </row>
    <row r="49" spans="1:21" ht="24.9" customHeight="1" x14ac:dyDescent="0.3">
      <c r="A49" s="109"/>
      <c r="B49" s="110"/>
      <c r="C49" s="85"/>
      <c r="D49" s="104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32"/>
      <c r="R49" s="21"/>
      <c r="S49" s="16"/>
      <c r="T49" s="19"/>
      <c r="U49" s="33"/>
    </row>
    <row r="50" spans="1:21" ht="24.9" customHeight="1" x14ac:dyDescent="0.3">
      <c r="A50" s="92"/>
      <c r="B50" s="97"/>
      <c r="C50" s="83">
        <v>52794</v>
      </c>
      <c r="D50" s="100" t="s">
        <v>62</v>
      </c>
      <c r="E50" s="23">
        <v>45268</v>
      </c>
      <c r="F50" s="20">
        <v>1</v>
      </c>
      <c r="G50" s="11">
        <f>4080000*20%</f>
        <v>816000</v>
      </c>
      <c r="H50" s="11">
        <f>213984+87745</f>
        <v>301729</v>
      </c>
      <c r="I50" s="11">
        <f>ROUND(G50-H50,)</f>
        <v>514271</v>
      </c>
      <c r="J50" s="11">
        <f>ROUND(I50*$J$7,0)</f>
        <v>92569</v>
      </c>
      <c r="K50" s="11">
        <f>I50+J50</f>
        <v>606840</v>
      </c>
      <c r="L50" s="11"/>
      <c r="M50" s="11"/>
      <c r="N50" s="11"/>
      <c r="O50" s="11"/>
      <c r="P50" s="11"/>
      <c r="Q50" s="12"/>
      <c r="R50" s="10">
        <v>52794</v>
      </c>
      <c r="S50" s="9" t="s">
        <v>64</v>
      </c>
      <c r="T50" s="11">
        <v>495000</v>
      </c>
      <c r="U50" s="39" t="s">
        <v>65</v>
      </c>
    </row>
    <row r="51" spans="1:21" ht="24.9" customHeight="1" x14ac:dyDescent="0.3">
      <c r="A51" s="92"/>
      <c r="B51" s="97"/>
      <c r="C51" s="83"/>
      <c r="D51" s="100" t="s">
        <v>63</v>
      </c>
      <c r="E51" s="23">
        <v>44958</v>
      </c>
      <c r="F51" s="20">
        <v>1</v>
      </c>
      <c r="G51" s="11">
        <v>92568.78</v>
      </c>
      <c r="H51" s="11"/>
      <c r="I51" s="11"/>
      <c r="J51" s="11"/>
      <c r="K51" s="11"/>
      <c r="L51" s="11"/>
      <c r="M51" s="11"/>
      <c r="N51" s="11"/>
      <c r="O51" s="11"/>
      <c r="P51" s="11"/>
      <c r="Q51" s="12">
        <f>G51</f>
        <v>92568.78</v>
      </c>
      <c r="R51" s="10"/>
      <c r="S51" s="9" t="s">
        <v>66</v>
      </c>
      <c r="T51" s="11">
        <v>29556</v>
      </c>
      <c r="U51" s="31" t="s">
        <v>67</v>
      </c>
    </row>
    <row r="52" spans="1:21" ht="24.9" customHeight="1" x14ac:dyDescent="0.3">
      <c r="A52" s="92"/>
      <c r="B52" s="97"/>
      <c r="C52" s="83"/>
      <c r="D52" s="100" t="s">
        <v>62</v>
      </c>
      <c r="E52" s="23">
        <v>45031</v>
      </c>
      <c r="F52" s="20">
        <v>10</v>
      </c>
      <c r="G52" s="11">
        <f>(4643324*20%)-G50</f>
        <v>112664.80000000005</v>
      </c>
      <c r="H52" s="11"/>
      <c r="I52" s="11">
        <f>ROUND(G52-H52,)</f>
        <v>112665</v>
      </c>
      <c r="J52" s="11">
        <f>ROUND(I52*$J$7,0)</f>
        <v>20280</v>
      </c>
      <c r="K52" s="11">
        <f>I52+J52</f>
        <v>132945</v>
      </c>
      <c r="L52" s="11"/>
      <c r="M52" s="11"/>
      <c r="N52" s="11"/>
      <c r="O52" s="11"/>
      <c r="P52" s="11"/>
      <c r="Q52" s="12"/>
      <c r="R52" s="10"/>
      <c r="S52" s="9"/>
      <c r="T52" s="11">
        <v>100000</v>
      </c>
      <c r="U52" s="31" t="s">
        <v>68</v>
      </c>
    </row>
    <row r="53" spans="1:21" ht="24.9" customHeight="1" x14ac:dyDescent="0.3">
      <c r="A53" s="92"/>
      <c r="B53" s="97"/>
      <c r="C53" s="83"/>
      <c r="D53" s="100"/>
      <c r="E53" s="23"/>
      <c r="F53" s="20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0"/>
      <c r="S53" s="9" t="s">
        <v>111</v>
      </c>
      <c r="T53" s="11">
        <v>198000</v>
      </c>
      <c r="U53" s="12" t="s">
        <v>110</v>
      </c>
    </row>
    <row r="54" spans="1:21" ht="24.9" customHeight="1" x14ac:dyDescent="0.3">
      <c r="A54" s="92"/>
      <c r="B54" s="97"/>
      <c r="C54" s="83"/>
      <c r="D54" s="100"/>
      <c r="E54" s="23"/>
      <c r="F54" s="20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0"/>
      <c r="S54" s="9"/>
      <c r="T54" s="11">
        <v>198000</v>
      </c>
      <c r="U54" s="12" t="s">
        <v>121</v>
      </c>
    </row>
    <row r="55" spans="1:21" ht="24.9" customHeight="1" x14ac:dyDescent="0.3">
      <c r="A55" s="93" t="s">
        <v>124</v>
      </c>
      <c r="B55" s="98">
        <v>4643324</v>
      </c>
      <c r="C55" s="83"/>
      <c r="D55" s="100"/>
      <c r="E55" s="23"/>
      <c r="F55" s="20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0"/>
      <c r="S55" s="9"/>
      <c r="T55" s="11"/>
      <c r="U55" s="12"/>
    </row>
    <row r="56" spans="1:21" ht="24.9" customHeight="1" x14ac:dyDescent="0.3">
      <c r="A56" s="93" t="s">
        <v>125</v>
      </c>
      <c r="B56" s="98">
        <v>4840000</v>
      </c>
      <c r="C56" s="83"/>
      <c r="D56" s="100"/>
      <c r="E56" s="23"/>
      <c r="F56" s="20"/>
      <c r="G56" s="65">
        <f>B56*20%</f>
        <v>968000</v>
      </c>
      <c r="H56" s="65">
        <f>SUM(H50:H55)</f>
        <v>301729</v>
      </c>
      <c r="I56" s="65">
        <f>G56-H56</f>
        <v>666271</v>
      </c>
      <c r="J56" s="65">
        <f>I56*$J$7</f>
        <v>119928.78</v>
      </c>
      <c r="K56" s="65">
        <f>I56+J56</f>
        <v>786199.78</v>
      </c>
      <c r="L56" s="65">
        <f>I56*$L$7</f>
        <v>6662.71</v>
      </c>
      <c r="M56" s="65">
        <f>I56*$M$7</f>
        <v>33313.550000000003</v>
      </c>
      <c r="N56" s="65">
        <f>I56*$N$7</f>
        <v>0</v>
      </c>
      <c r="O56" s="65">
        <f>I56*$O$7</f>
        <v>66627.100000000006</v>
      </c>
      <c r="P56" s="65">
        <f>I56*$P$7</f>
        <v>119928.78</v>
      </c>
      <c r="Q56" s="66">
        <f>K56-L56-M56-N56-O56-P56</f>
        <v>559667.64</v>
      </c>
      <c r="R56" s="10"/>
      <c r="S56" s="9"/>
      <c r="T56" s="11"/>
      <c r="U56" s="12"/>
    </row>
    <row r="57" spans="1:21" ht="24.9" customHeight="1" x14ac:dyDescent="0.3">
      <c r="A57" s="109"/>
      <c r="B57" s="110"/>
      <c r="C57" s="85"/>
      <c r="D57" s="104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32"/>
      <c r="R57" s="21"/>
      <c r="S57" s="16"/>
      <c r="T57" s="19"/>
      <c r="U57" s="33"/>
    </row>
    <row r="58" spans="1:21" ht="24.9" customHeight="1" x14ac:dyDescent="0.3">
      <c r="A58" s="92"/>
      <c r="B58" s="97"/>
      <c r="C58" s="83">
        <v>53217</v>
      </c>
      <c r="D58" s="103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0">
        <v>53217</v>
      </c>
      <c r="S58" s="9" t="s">
        <v>69</v>
      </c>
      <c r="T58" s="11">
        <v>495000</v>
      </c>
      <c r="U58" s="34" t="s">
        <v>70</v>
      </c>
    </row>
    <row r="59" spans="1:21" ht="24.9" customHeight="1" x14ac:dyDescent="0.3">
      <c r="A59" s="109"/>
      <c r="B59" s="110"/>
      <c r="C59" s="85"/>
      <c r="D59" s="104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32"/>
      <c r="R59" s="21"/>
      <c r="S59" s="16"/>
      <c r="T59" s="19"/>
      <c r="U59" s="33"/>
    </row>
    <row r="60" spans="1:21" ht="24.9" customHeight="1" x14ac:dyDescent="0.3">
      <c r="A60" s="92"/>
      <c r="B60" s="97"/>
      <c r="C60" s="83">
        <v>56007</v>
      </c>
      <c r="D60" s="100" t="s">
        <v>71</v>
      </c>
      <c r="E60" s="23">
        <v>45012</v>
      </c>
      <c r="F60" s="20">
        <v>28</v>
      </c>
      <c r="G60" s="11">
        <f>4251823*10%</f>
        <v>425182.30000000005</v>
      </c>
      <c r="H60" s="11">
        <v>168709.9</v>
      </c>
      <c r="I60" s="11">
        <f>ROUND(G60-H60,)</f>
        <v>256472</v>
      </c>
      <c r="J60" s="11">
        <f>ROUND(I60*$J$7,0)</f>
        <v>46165</v>
      </c>
      <c r="K60" s="11">
        <f>I60+J60</f>
        <v>302637</v>
      </c>
      <c r="L60" s="11"/>
      <c r="M60" s="11"/>
      <c r="N60" s="11"/>
      <c r="O60" s="11"/>
      <c r="P60" s="11"/>
      <c r="Q60" s="12"/>
      <c r="R60" s="10">
        <v>56007</v>
      </c>
      <c r="S60" s="9" t="s">
        <v>72</v>
      </c>
      <c r="T60" s="11">
        <v>215436</v>
      </c>
      <c r="U60" s="31" t="s">
        <v>73</v>
      </c>
    </row>
    <row r="61" spans="1:21" ht="24.9" customHeight="1" x14ac:dyDescent="0.3">
      <c r="A61" s="92"/>
      <c r="B61" s="97"/>
      <c r="C61" s="83"/>
      <c r="D61" s="100" t="s">
        <v>71</v>
      </c>
      <c r="E61" s="23">
        <v>45031</v>
      </c>
      <c r="F61" s="20">
        <v>11</v>
      </c>
      <c r="G61" s="11">
        <v>425182.3</v>
      </c>
      <c r="H61" s="11"/>
      <c r="I61" s="11">
        <f>ROUND(G61-H61,)</f>
        <v>425182</v>
      </c>
      <c r="J61" s="11">
        <f>ROUND(I61*$J$7,0)</f>
        <v>76533</v>
      </c>
      <c r="K61" s="11">
        <f>I61+J61</f>
        <v>501715</v>
      </c>
      <c r="L61" s="11"/>
      <c r="M61" s="11"/>
      <c r="N61" s="11"/>
      <c r="O61" s="11"/>
      <c r="P61" s="11"/>
      <c r="Q61" s="12"/>
      <c r="R61" s="10"/>
      <c r="S61" s="9" t="s">
        <v>74</v>
      </c>
      <c r="T61" s="11">
        <v>357153</v>
      </c>
      <c r="U61" s="31" t="s">
        <v>75</v>
      </c>
    </row>
    <row r="62" spans="1:21" ht="24.9" customHeight="1" x14ac:dyDescent="0.3">
      <c r="A62" s="92"/>
      <c r="B62" s="97"/>
      <c r="C62" s="83"/>
      <c r="D62" s="100" t="s">
        <v>29</v>
      </c>
      <c r="E62" s="23"/>
      <c r="F62" s="20">
        <v>28</v>
      </c>
      <c r="G62" s="11"/>
      <c r="H62" s="11">
        <v>46165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2">
        <v>46165</v>
      </c>
      <c r="R62" s="10"/>
      <c r="S62" s="9" t="s">
        <v>108</v>
      </c>
      <c r="T62" s="11">
        <v>198000</v>
      </c>
      <c r="U62" s="12" t="s">
        <v>109</v>
      </c>
    </row>
    <row r="63" spans="1:21" ht="24.9" customHeight="1" x14ac:dyDescent="0.2">
      <c r="A63" s="92"/>
      <c r="B63" s="97"/>
      <c r="C63" s="83"/>
      <c r="D63" s="100"/>
      <c r="E63" s="23"/>
      <c r="F63" s="20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0"/>
      <c r="S63" s="9" t="s">
        <v>134</v>
      </c>
      <c r="T63" s="11">
        <v>198000</v>
      </c>
      <c r="U63" s="113" t="s">
        <v>133</v>
      </c>
    </row>
    <row r="64" spans="1:21" ht="24.9" customHeight="1" x14ac:dyDescent="0.3">
      <c r="A64" s="93" t="s">
        <v>124</v>
      </c>
      <c r="B64" s="98">
        <v>4251823</v>
      </c>
      <c r="C64" s="83"/>
      <c r="D64" s="100"/>
      <c r="E64" s="23"/>
      <c r="F64" s="20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2"/>
      <c r="R64" s="10"/>
      <c r="S64" s="9"/>
      <c r="T64" s="11">
        <v>99001</v>
      </c>
      <c r="U64" s="31" t="s">
        <v>132</v>
      </c>
    </row>
    <row r="65" spans="1:21" ht="24.9" customHeight="1" x14ac:dyDescent="0.3">
      <c r="A65" s="93" t="s">
        <v>125</v>
      </c>
      <c r="B65" s="98">
        <v>4235000</v>
      </c>
      <c r="C65" s="83"/>
      <c r="D65" s="100"/>
      <c r="E65" s="23"/>
      <c r="F65" s="20"/>
      <c r="G65" s="65">
        <f>B65*20%</f>
        <v>847000</v>
      </c>
      <c r="H65" s="65">
        <f>SUM(H60:H64)</f>
        <v>214874.9</v>
      </c>
      <c r="I65" s="65">
        <f>G65-H65</f>
        <v>632125.1</v>
      </c>
      <c r="J65" s="65">
        <f>I65*$J$7</f>
        <v>113782.518</v>
      </c>
      <c r="K65" s="65">
        <f>I65+J65</f>
        <v>745907.61800000002</v>
      </c>
      <c r="L65" s="65">
        <f>I65*$L$7</f>
        <v>6321.2510000000002</v>
      </c>
      <c r="M65" s="65">
        <f>I65*$M$7</f>
        <v>31606.255000000001</v>
      </c>
      <c r="N65" s="65">
        <f>I65*$N$7</f>
        <v>0</v>
      </c>
      <c r="O65" s="65">
        <f>I65*$O$7</f>
        <v>63212.51</v>
      </c>
      <c r="P65" s="65">
        <f>I65*$P$7</f>
        <v>113782.518</v>
      </c>
      <c r="Q65" s="66">
        <f>K65-L65-M65-N65-O65-P65</f>
        <v>530985.08399999992</v>
      </c>
      <c r="R65" s="10"/>
      <c r="S65" s="9"/>
      <c r="T65" s="11"/>
      <c r="U65" s="31"/>
    </row>
    <row r="66" spans="1:21" ht="24.9" customHeight="1" x14ac:dyDescent="0.3">
      <c r="A66" s="109"/>
      <c r="B66" s="110"/>
      <c r="C66" s="85"/>
      <c r="D66" s="104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32"/>
      <c r="R66" s="21"/>
      <c r="S66" s="16"/>
      <c r="T66" s="19"/>
      <c r="U66" s="33"/>
    </row>
    <row r="67" spans="1:21" ht="24.9" customHeight="1" x14ac:dyDescent="0.3">
      <c r="A67" s="92"/>
      <c r="B67" s="97"/>
      <c r="C67" s="83">
        <v>52523</v>
      </c>
      <c r="D67" s="100" t="s">
        <v>76</v>
      </c>
      <c r="E67" s="23">
        <v>44904</v>
      </c>
      <c r="F67" s="20">
        <v>3</v>
      </c>
      <c r="G67" s="11">
        <f>3372500*20%</f>
        <v>674500</v>
      </c>
      <c r="H67" s="11">
        <v>223474</v>
      </c>
      <c r="I67" s="11">
        <f>ROUND(G67-H67,)</f>
        <v>451026</v>
      </c>
      <c r="J67" s="11">
        <f>ROUND(I67*$J$7,0)</f>
        <v>81185</v>
      </c>
      <c r="K67" s="11">
        <f>I67+J67</f>
        <v>532211</v>
      </c>
      <c r="L67" s="11"/>
      <c r="M67" s="11"/>
      <c r="N67" s="11"/>
      <c r="O67" s="11"/>
      <c r="P67" s="11"/>
      <c r="Q67" s="12"/>
      <c r="R67" s="10">
        <v>52523</v>
      </c>
      <c r="S67" s="9" t="s">
        <v>78</v>
      </c>
      <c r="T67" s="11">
        <v>297000</v>
      </c>
      <c r="U67" s="31" t="s">
        <v>79</v>
      </c>
    </row>
    <row r="68" spans="1:21" ht="24.9" customHeight="1" x14ac:dyDescent="0.3">
      <c r="A68" s="92"/>
      <c r="B68" s="97"/>
      <c r="C68" s="83"/>
      <c r="D68" s="100" t="s">
        <v>76</v>
      </c>
      <c r="E68" s="23">
        <v>45031</v>
      </c>
      <c r="F68" s="20">
        <v>8</v>
      </c>
      <c r="G68" s="11">
        <f>(3748120*20%)-G67</f>
        <v>75124</v>
      </c>
      <c r="H68" s="11">
        <v>0</v>
      </c>
      <c r="I68" s="11">
        <f>ROUND(G68-H68,)</f>
        <v>75124</v>
      </c>
      <c r="J68" s="11">
        <f>ROUND(I68*$J$7,0)</f>
        <v>13522</v>
      </c>
      <c r="K68" s="11">
        <f>I68+J68</f>
        <v>88646</v>
      </c>
      <c r="L68" s="11"/>
      <c r="M68" s="11"/>
      <c r="N68" s="11"/>
      <c r="O68" s="11"/>
      <c r="P68" s="11"/>
      <c r="Q68" s="12"/>
      <c r="R68" s="10"/>
      <c r="S68" s="9" t="s">
        <v>80</v>
      </c>
      <c r="T68" s="11">
        <v>198000</v>
      </c>
      <c r="U68" s="31" t="s">
        <v>81</v>
      </c>
    </row>
    <row r="69" spans="1:21" ht="24.9" customHeight="1" x14ac:dyDescent="0.3">
      <c r="A69" s="92"/>
      <c r="B69" s="97"/>
      <c r="C69" s="83"/>
      <c r="D69" s="100" t="s">
        <v>77</v>
      </c>
      <c r="E69" s="23">
        <v>44958</v>
      </c>
      <c r="F69" s="20">
        <v>3</v>
      </c>
      <c r="G69" s="11">
        <v>81185</v>
      </c>
      <c r="H69" s="11"/>
      <c r="I69" s="11"/>
      <c r="J69" s="11"/>
      <c r="K69" s="11"/>
      <c r="L69" s="11"/>
      <c r="M69" s="11"/>
      <c r="N69" s="11"/>
      <c r="O69" s="11"/>
      <c r="P69" s="11"/>
      <c r="Q69" s="12">
        <f>G69</f>
        <v>81185</v>
      </c>
      <c r="R69" s="10"/>
      <c r="S69" s="9"/>
      <c r="T69" s="11">
        <v>198000</v>
      </c>
      <c r="U69" s="12" t="s">
        <v>107</v>
      </c>
    </row>
    <row r="70" spans="1:21" ht="24.9" customHeight="1" x14ac:dyDescent="0.3">
      <c r="A70" s="92"/>
      <c r="B70" s="97"/>
      <c r="C70" s="83"/>
      <c r="D70" s="100"/>
      <c r="E70" s="23"/>
      <c r="F70" s="20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2"/>
      <c r="R70" s="10"/>
      <c r="S70" s="9" t="s">
        <v>106</v>
      </c>
      <c r="T70" s="11">
        <v>99000</v>
      </c>
      <c r="U70" s="12" t="s">
        <v>119</v>
      </c>
    </row>
    <row r="71" spans="1:21" ht="24.9" customHeight="1" x14ac:dyDescent="0.2">
      <c r="A71" s="92"/>
      <c r="B71" s="97"/>
      <c r="C71" s="83"/>
      <c r="D71" s="100"/>
      <c r="E71" s="23"/>
      <c r="F71" s="20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2"/>
      <c r="R71" s="10"/>
      <c r="S71" s="9" t="s">
        <v>137</v>
      </c>
      <c r="T71" s="11">
        <v>99000</v>
      </c>
      <c r="U71" s="113" t="s">
        <v>136</v>
      </c>
    </row>
    <row r="72" spans="1:21" ht="24.9" customHeight="1" x14ac:dyDescent="0.3">
      <c r="A72" s="92"/>
      <c r="B72" s="97"/>
      <c r="C72" s="83"/>
      <c r="D72" s="100"/>
      <c r="E72" s="23"/>
      <c r="F72" s="20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2"/>
      <c r="R72" s="10"/>
      <c r="S72" s="9"/>
      <c r="T72" s="11">
        <v>198001</v>
      </c>
      <c r="U72" s="31" t="s">
        <v>135</v>
      </c>
    </row>
    <row r="73" spans="1:21" ht="24.9" customHeight="1" x14ac:dyDescent="0.3">
      <c r="A73" s="93" t="s">
        <v>124</v>
      </c>
      <c r="B73" s="98">
        <v>3748120</v>
      </c>
      <c r="C73" s="83"/>
      <c r="D73" s="100"/>
      <c r="E73" s="23"/>
      <c r="F73" s="20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2"/>
      <c r="R73" s="10"/>
      <c r="S73" s="9"/>
      <c r="T73" s="11"/>
      <c r="U73" s="31"/>
    </row>
    <row r="74" spans="1:21" ht="24.9" customHeight="1" x14ac:dyDescent="0.3">
      <c r="A74" s="93" t="s">
        <v>125</v>
      </c>
      <c r="B74" s="98">
        <v>3981250</v>
      </c>
      <c r="C74" s="83"/>
      <c r="D74" s="100"/>
      <c r="E74" s="23"/>
      <c r="F74" s="20"/>
      <c r="G74" s="65">
        <f>B74*20%</f>
        <v>796250</v>
      </c>
      <c r="H74" s="65">
        <f>SUM(H67:H73)</f>
        <v>223474</v>
      </c>
      <c r="I74" s="65">
        <f>G74-H74</f>
        <v>572776</v>
      </c>
      <c r="J74" s="65">
        <f>I74*$J$7</f>
        <v>103099.68</v>
      </c>
      <c r="K74" s="65">
        <f>I74+J74</f>
        <v>675875.67999999993</v>
      </c>
      <c r="L74" s="65">
        <f>I74*$L$7</f>
        <v>5727.76</v>
      </c>
      <c r="M74" s="65">
        <f>I74*$M$7</f>
        <v>28638.800000000003</v>
      </c>
      <c r="N74" s="65">
        <f>I74*$N$7</f>
        <v>0</v>
      </c>
      <c r="O74" s="65">
        <f>I74*$O$7</f>
        <v>57277.600000000006</v>
      </c>
      <c r="P74" s="65">
        <f>I74*$P$7</f>
        <v>103099.68</v>
      </c>
      <c r="Q74" s="66">
        <f>K74-L74-M74-N74-O74-P74</f>
        <v>481131.83999999991</v>
      </c>
      <c r="R74" s="10"/>
      <c r="S74" s="9"/>
      <c r="T74" s="11"/>
      <c r="U74" s="31"/>
    </row>
    <row r="75" spans="1:21" ht="24.9" customHeight="1" x14ac:dyDescent="0.3">
      <c r="A75" s="109"/>
      <c r="B75" s="110"/>
      <c r="C75" s="85"/>
      <c r="D75" s="104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32"/>
      <c r="R75" s="21"/>
      <c r="S75" s="16"/>
      <c r="T75" s="19"/>
      <c r="U75" s="33"/>
    </row>
    <row r="76" spans="1:21" ht="24.9" customHeight="1" x14ac:dyDescent="0.3">
      <c r="A76" s="92"/>
      <c r="B76" s="97"/>
      <c r="C76" s="83">
        <v>52403</v>
      </c>
      <c r="D76" s="100" t="s">
        <v>82</v>
      </c>
      <c r="E76" s="23">
        <v>44955</v>
      </c>
      <c r="F76" s="20">
        <v>10</v>
      </c>
      <c r="G76" s="11">
        <f>2722000*40%</f>
        <v>1088800</v>
      </c>
      <c r="H76" s="11">
        <v>424799</v>
      </c>
      <c r="I76" s="11">
        <f>ROUND(G76-H76,)</f>
        <v>664001</v>
      </c>
      <c r="J76" s="11">
        <f>ROUND(I76*$J$7,0)</f>
        <v>119520</v>
      </c>
      <c r="K76" s="11">
        <f>I76+J76</f>
        <v>783521</v>
      </c>
      <c r="L76" s="11"/>
      <c r="M76" s="11"/>
      <c r="N76" s="11"/>
      <c r="O76" s="11"/>
      <c r="P76" s="11"/>
      <c r="Q76" s="12"/>
      <c r="R76" s="10">
        <v>52403</v>
      </c>
      <c r="S76" s="9" t="s">
        <v>83</v>
      </c>
      <c r="T76" s="11">
        <v>297000</v>
      </c>
      <c r="U76" s="31" t="s">
        <v>84</v>
      </c>
    </row>
    <row r="77" spans="1:21" ht="24.9" customHeight="1" x14ac:dyDescent="0.3">
      <c r="A77" s="92"/>
      <c r="B77" s="97"/>
      <c r="C77" s="83"/>
      <c r="D77" s="100" t="s">
        <v>77</v>
      </c>
      <c r="E77" s="23"/>
      <c r="F77" s="20"/>
      <c r="G77" s="11">
        <v>119520</v>
      </c>
      <c r="H77" s="11"/>
      <c r="I77" s="11"/>
      <c r="J77" s="11"/>
      <c r="K77" s="11"/>
      <c r="L77" s="11"/>
      <c r="M77" s="11"/>
      <c r="N77" s="11"/>
      <c r="O77" s="11"/>
      <c r="P77" s="11"/>
      <c r="Q77" s="12">
        <v>119520</v>
      </c>
      <c r="R77" s="10"/>
      <c r="S77" s="9" t="s">
        <v>85</v>
      </c>
      <c r="T77" s="11">
        <v>297000</v>
      </c>
      <c r="U77" s="31" t="s">
        <v>86</v>
      </c>
    </row>
    <row r="78" spans="1:21" ht="24.9" customHeight="1" x14ac:dyDescent="0.3">
      <c r="A78" s="92"/>
      <c r="B78" s="97"/>
      <c r="C78" s="83"/>
      <c r="D78" s="100" t="s">
        <v>82</v>
      </c>
      <c r="E78" s="23">
        <v>45031</v>
      </c>
      <c r="F78" s="20">
        <v>3</v>
      </c>
      <c r="G78" s="11">
        <f>(3097314*40%)-G76</f>
        <v>150125.60000000009</v>
      </c>
      <c r="H78" s="11">
        <v>0</v>
      </c>
      <c r="I78" s="11">
        <f>ROUND(G78-H78,)</f>
        <v>150126</v>
      </c>
      <c r="J78" s="11">
        <f>ROUND(I78*$J$7,0)</f>
        <v>27023</v>
      </c>
      <c r="K78" s="11">
        <f>I78+J78</f>
        <v>177149</v>
      </c>
      <c r="L78" s="11"/>
      <c r="M78" s="11"/>
      <c r="N78" s="11"/>
      <c r="O78" s="11"/>
      <c r="P78" s="11"/>
      <c r="Q78" s="12"/>
      <c r="R78" s="10"/>
      <c r="S78" s="9" t="s">
        <v>87</v>
      </c>
      <c r="T78" s="11">
        <v>148500</v>
      </c>
      <c r="U78" s="31" t="s">
        <v>88</v>
      </c>
    </row>
    <row r="79" spans="1:21" ht="24.9" customHeight="1" x14ac:dyDescent="0.3">
      <c r="A79" s="92"/>
      <c r="B79" s="97"/>
      <c r="C79" s="83"/>
      <c r="D79" s="100"/>
      <c r="E79" s="23"/>
      <c r="F79" s="20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2"/>
      <c r="R79" s="10"/>
      <c r="S79" s="9"/>
      <c r="T79" s="11">
        <v>50000</v>
      </c>
      <c r="U79" s="31" t="s">
        <v>89</v>
      </c>
    </row>
    <row r="80" spans="1:21" ht="24.9" customHeight="1" x14ac:dyDescent="0.2">
      <c r="A80" s="93" t="s">
        <v>124</v>
      </c>
      <c r="B80" s="98">
        <v>3097314</v>
      </c>
      <c r="C80" s="83"/>
      <c r="D80" s="100"/>
      <c r="E80" s="23"/>
      <c r="F80" s="20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2"/>
      <c r="R80" s="10"/>
      <c r="S80" s="9" t="s">
        <v>139</v>
      </c>
      <c r="T80" s="11">
        <v>198000</v>
      </c>
      <c r="U80" s="113" t="s">
        <v>138</v>
      </c>
    </row>
    <row r="81" spans="1:21" ht="24.9" customHeight="1" x14ac:dyDescent="0.3">
      <c r="A81" s="93" t="s">
        <v>125</v>
      </c>
      <c r="B81" s="98">
        <v>3412500</v>
      </c>
      <c r="C81" s="83"/>
      <c r="D81" s="100"/>
      <c r="E81" s="23"/>
      <c r="F81" s="20"/>
      <c r="G81" s="65">
        <f>B81*40%</f>
        <v>1365000</v>
      </c>
      <c r="H81" s="65">
        <f>SUM(H76:H80)</f>
        <v>424799</v>
      </c>
      <c r="I81" s="65">
        <f>G81-H81</f>
        <v>940201</v>
      </c>
      <c r="J81" s="65">
        <f>I81*$J$7</f>
        <v>169236.18</v>
      </c>
      <c r="K81" s="65">
        <f>I81+J81</f>
        <v>1109437.18</v>
      </c>
      <c r="L81" s="65">
        <f>I81*$L$7</f>
        <v>9402.01</v>
      </c>
      <c r="M81" s="65">
        <f>I81*$M$7</f>
        <v>47010.05</v>
      </c>
      <c r="N81" s="65">
        <f>I81*$N$7</f>
        <v>0</v>
      </c>
      <c r="O81" s="65">
        <f>I81*$O$7</f>
        <v>94020.1</v>
      </c>
      <c r="P81" s="65">
        <f>I81*$P$7</f>
        <v>169236.18</v>
      </c>
      <c r="Q81" s="66">
        <f>K81-L81-M81-N81-O81-P81</f>
        <v>789768.83999999985</v>
      </c>
      <c r="R81" s="10"/>
      <c r="S81" s="9"/>
      <c r="T81" s="11"/>
      <c r="U81" s="31"/>
    </row>
    <row r="82" spans="1:21" ht="24.9" customHeight="1" x14ac:dyDescent="0.3">
      <c r="A82" s="109"/>
      <c r="B82" s="110"/>
      <c r="C82" s="85"/>
      <c r="D82" s="104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32"/>
      <c r="R82" s="21"/>
      <c r="S82" s="16"/>
      <c r="T82" s="19"/>
      <c r="U82" s="33"/>
    </row>
    <row r="83" spans="1:21" ht="24.9" customHeight="1" x14ac:dyDescent="0.3">
      <c r="A83" s="92"/>
      <c r="B83" s="97"/>
      <c r="C83" s="83">
        <v>52402</v>
      </c>
      <c r="D83" s="100" t="s">
        <v>90</v>
      </c>
      <c r="E83" s="23">
        <v>45279</v>
      </c>
      <c r="F83" s="20">
        <v>4</v>
      </c>
      <c r="G83" s="11">
        <f>2300000*40%</f>
        <v>920000</v>
      </c>
      <c r="H83" s="11">
        <f>122843+214154</f>
        <v>336997</v>
      </c>
      <c r="I83" s="11">
        <f>ROUND(G83-H83,)</f>
        <v>583003</v>
      </c>
      <c r="J83" s="11">
        <f>ROUND(I83*$J$7,0)</f>
        <v>104941</v>
      </c>
      <c r="K83" s="11">
        <f>I83+J83</f>
        <v>687944</v>
      </c>
      <c r="L83" s="11"/>
      <c r="M83" s="11"/>
      <c r="N83" s="11"/>
      <c r="O83" s="11"/>
      <c r="P83" s="11"/>
      <c r="Q83" s="12"/>
      <c r="R83" s="10">
        <v>52402</v>
      </c>
      <c r="S83" s="9" t="s">
        <v>91</v>
      </c>
      <c r="T83" s="11">
        <v>297000</v>
      </c>
      <c r="U83" s="39" t="s">
        <v>92</v>
      </c>
    </row>
    <row r="84" spans="1:21" ht="24.9" customHeight="1" x14ac:dyDescent="0.3">
      <c r="A84" s="92"/>
      <c r="B84" s="97"/>
      <c r="C84" s="83"/>
      <c r="D84" s="100" t="s">
        <v>29</v>
      </c>
      <c r="E84" s="23">
        <v>44958</v>
      </c>
      <c r="F84" s="20">
        <v>4</v>
      </c>
      <c r="G84" s="11">
        <f>J83</f>
        <v>104941</v>
      </c>
      <c r="H84" s="11"/>
      <c r="I84" s="11">
        <f t="shared" ref="I84" si="6">ROUND(G84-H84,)</f>
        <v>104941</v>
      </c>
      <c r="J84" s="11"/>
      <c r="K84" s="11">
        <f t="shared" ref="K84" si="7">I84+J84</f>
        <v>104941</v>
      </c>
      <c r="L84" s="11"/>
      <c r="M84" s="11"/>
      <c r="N84" s="11"/>
      <c r="O84" s="11"/>
      <c r="P84" s="11"/>
      <c r="Q84" s="12">
        <f t="shared" ref="Q84" si="8">ROUND(K84-SUM(L84:P84),0)</f>
        <v>104941</v>
      </c>
      <c r="R84" s="10"/>
      <c r="S84" s="9" t="s">
        <v>93</v>
      </c>
      <c r="T84" s="11">
        <v>297000</v>
      </c>
      <c r="U84" s="31" t="s">
        <v>94</v>
      </c>
    </row>
    <row r="85" spans="1:21" ht="24.9" customHeight="1" x14ac:dyDescent="0.3">
      <c r="A85" s="92"/>
      <c r="B85" s="97"/>
      <c r="C85" s="83"/>
      <c r="D85" s="100" t="s">
        <v>90</v>
      </c>
      <c r="E85" s="23">
        <v>45031</v>
      </c>
      <c r="F85" s="20">
        <v>7</v>
      </c>
      <c r="G85" s="11">
        <f>(2579480*40%)-G83</f>
        <v>111792</v>
      </c>
      <c r="H85" s="11">
        <v>0</v>
      </c>
      <c r="I85" s="11">
        <f>ROUND(G85-H85,)</f>
        <v>111792</v>
      </c>
      <c r="J85" s="11">
        <f>ROUND(I85*$J$7,0)</f>
        <v>20123</v>
      </c>
      <c r="K85" s="11">
        <f>I85+J85</f>
        <v>131915</v>
      </c>
      <c r="L85" s="11"/>
      <c r="M85" s="11"/>
      <c r="N85" s="11"/>
      <c r="O85" s="11"/>
      <c r="P85" s="11"/>
      <c r="Q85" s="12"/>
      <c r="R85" s="10"/>
      <c r="S85" s="9"/>
      <c r="T85" s="11">
        <v>99000</v>
      </c>
      <c r="U85" s="31" t="s">
        <v>95</v>
      </c>
    </row>
    <row r="86" spans="1:21" ht="24.9" customHeight="1" x14ac:dyDescent="0.3">
      <c r="A86" s="92"/>
      <c r="B86" s="97"/>
      <c r="C86" s="83"/>
      <c r="D86" s="100"/>
      <c r="E86" s="23"/>
      <c r="F86" s="20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2"/>
      <c r="R86" s="10"/>
      <c r="S86" s="9" t="s">
        <v>104</v>
      </c>
      <c r="T86" s="11">
        <v>198000</v>
      </c>
      <c r="U86" s="12" t="s">
        <v>105</v>
      </c>
    </row>
    <row r="87" spans="1:21" ht="24.9" customHeight="1" x14ac:dyDescent="0.3">
      <c r="A87" s="93" t="s">
        <v>124</v>
      </c>
      <c r="B87" s="98">
        <v>2579480</v>
      </c>
      <c r="C87" s="83"/>
      <c r="D87" s="100"/>
      <c r="E87" s="23"/>
      <c r="F87" s="20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2"/>
      <c r="R87" s="10"/>
      <c r="S87" s="9"/>
      <c r="T87" s="11"/>
      <c r="U87" s="12"/>
    </row>
    <row r="88" spans="1:21" ht="24.9" customHeight="1" x14ac:dyDescent="0.3">
      <c r="A88" s="93" t="s">
        <v>125</v>
      </c>
      <c r="B88" s="98">
        <v>2850000</v>
      </c>
      <c r="C88" s="83"/>
      <c r="D88" s="100"/>
      <c r="E88" s="23"/>
      <c r="F88" s="20"/>
      <c r="G88" s="65">
        <f>B88*40%</f>
        <v>1140000</v>
      </c>
      <c r="H88" s="65">
        <f>SUM(H83:H87)</f>
        <v>336997</v>
      </c>
      <c r="I88" s="65">
        <f>G88-H88</f>
        <v>803003</v>
      </c>
      <c r="J88" s="65">
        <f>I88*$J$7</f>
        <v>144540.54</v>
      </c>
      <c r="K88" s="65">
        <f>I88+J88</f>
        <v>947543.54</v>
      </c>
      <c r="L88" s="65">
        <f>I88*$L$7</f>
        <v>8030.03</v>
      </c>
      <c r="M88" s="65">
        <f>I88*$M$7</f>
        <v>40150.15</v>
      </c>
      <c r="N88" s="65">
        <f>I88*$N$7</f>
        <v>0</v>
      </c>
      <c r="O88" s="65">
        <f>I88*$O$7</f>
        <v>80300.3</v>
      </c>
      <c r="P88" s="65">
        <f>I88*$P$7</f>
        <v>144540.54</v>
      </c>
      <c r="Q88" s="66">
        <f>K88-L88-M88-N88-O88-P88</f>
        <v>674522.5199999999</v>
      </c>
      <c r="R88" s="10"/>
      <c r="S88" s="9"/>
      <c r="T88" s="11"/>
      <c r="U88" s="12"/>
    </row>
    <row r="89" spans="1:21" ht="24.9" customHeight="1" x14ac:dyDescent="0.3">
      <c r="A89" s="109"/>
      <c r="B89" s="110"/>
      <c r="C89" s="85"/>
      <c r="D89" s="104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32"/>
      <c r="R89" s="21"/>
      <c r="S89" s="16"/>
      <c r="T89" s="19"/>
      <c r="U89" s="33"/>
    </row>
    <row r="90" spans="1:21" ht="24.9" customHeight="1" x14ac:dyDescent="0.3">
      <c r="A90" s="92"/>
      <c r="B90" s="97"/>
      <c r="C90" s="83">
        <v>51990</v>
      </c>
      <c r="D90" s="100" t="s">
        <v>96</v>
      </c>
      <c r="E90" s="23">
        <v>44970</v>
      </c>
      <c r="F90" s="20">
        <v>11</v>
      </c>
      <c r="G90" s="11">
        <v>1336500</v>
      </c>
      <c r="H90" s="11">
        <v>881692.7</v>
      </c>
      <c r="I90" s="11">
        <f>ROUND(G90-H90,)</f>
        <v>454807</v>
      </c>
      <c r="J90" s="11">
        <f>ROUND(I90*$J$7,0)</f>
        <v>81865</v>
      </c>
      <c r="K90" s="11">
        <f>I90+J90</f>
        <v>536672</v>
      </c>
      <c r="L90" s="11"/>
      <c r="M90" s="11"/>
      <c r="N90" s="11"/>
      <c r="O90" s="11"/>
      <c r="P90" s="11"/>
      <c r="Q90" s="12"/>
      <c r="R90" s="10">
        <v>51990</v>
      </c>
      <c r="S90" s="9" t="s">
        <v>98</v>
      </c>
      <c r="T90" s="11">
        <v>396000</v>
      </c>
      <c r="U90" s="31" t="s">
        <v>99</v>
      </c>
    </row>
    <row r="91" spans="1:21" ht="24.9" customHeight="1" x14ac:dyDescent="0.3">
      <c r="A91" s="92"/>
      <c r="B91" s="97"/>
      <c r="C91" s="83"/>
      <c r="D91" s="100" t="s">
        <v>96</v>
      </c>
      <c r="E91" s="23">
        <v>45031</v>
      </c>
      <c r="F91" s="20">
        <v>2</v>
      </c>
      <c r="G91" s="11">
        <f>(2655000*55%)-G90</f>
        <v>123750.00000000023</v>
      </c>
      <c r="H91" s="11">
        <v>0</v>
      </c>
      <c r="I91" s="11">
        <f>ROUND(G91-H91,)</f>
        <v>123750</v>
      </c>
      <c r="J91" s="11">
        <f>ROUND(I91*$J$7,0)</f>
        <v>22275</v>
      </c>
      <c r="K91" s="11">
        <f>I91+J91</f>
        <v>146025</v>
      </c>
      <c r="L91" s="11"/>
      <c r="M91" s="11"/>
      <c r="N91" s="11"/>
      <c r="O91" s="11"/>
      <c r="P91" s="11"/>
      <c r="Q91" s="12"/>
      <c r="R91" s="44"/>
      <c r="S91" s="9" t="s">
        <v>100</v>
      </c>
      <c r="T91" s="11">
        <v>594000</v>
      </c>
      <c r="U91" s="31" t="s">
        <v>101</v>
      </c>
    </row>
    <row r="92" spans="1:21" ht="24.9" customHeight="1" x14ac:dyDescent="0.3">
      <c r="A92" s="92"/>
      <c r="B92" s="97"/>
      <c r="C92" s="83"/>
      <c r="D92" s="100" t="s">
        <v>97</v>
      </c>
      <c r="E92" s="23">
        <v>45002</v>
      </c>
      <c r="F92" s="20">
        <v>11</v>
      </c>
      <c r="G92" s="11">
        <v>81865</v>
      </c>
      <c r="H92" s="11"/>
      <c r="I92" s="11"/>
      <c r="J92" s="11"/>
      <c r="K92" s="11"/>
      <c r="L92" s="11"/>
      <c r="M92" s="11"/>
      <c r="N92" s="11"/>
      <c r="O92" s="11"/>
      <c r="P92" s="11"/>
      <c r="Q92" s="12">
        <f>G92</f>
        <v>81865</v>
      </c>
      <c r="R92" s="44"/>
      <c r="S92" s="9" t="s">
        <v>102</v>
      </c>
      <c r="T92" s="11">
        <v>198000</v>
      </c>
      <c r="U92" s="12" t="s">
        <v>103</v>
      </c>
    </row>
    <row r="93" spans="1:21" ht="24.9" customHeight="1" x14ac:dyDescent="0.3">
      <c r="A93" s="92"/>
      <c r="B93" s="97"/>
      <c r="C93" s="86"/>
      <c r="D93" s="105"/>
      <c r="E93" s="67"/>
      <c r="F93" s="68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5"/>
      <c r="R93" s="60"/>
      <c r="S93" s="49"/>
      <c r="T93" s="50"/>
      <c r="U93" s="55"/>
    </row>
    <row r="94" spans="1:21" ht="24.9" customHeight="1" x14ac:dyDescent="0.3">
      <c r="A94" s="93" t="s">
        <v>124</v>
      </c>
      <c r="B94" s="98">
        <v>2655000</v>
      </c>
      <c r="C94" s="86"/>
      <c r="D94" s="105"/>
      <c r="E94" s="67"/>
      <c r="F94" s="68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5"/>
      <c r="R94" s="60"/>
      <c r="S94" s="49"/>
      <c r="T94" s="50"/>
      <c r="U94" s="55"/>
    </row>
    <row r="95" spans="1:21" ht="24.9" customHeight="1" thickBot="1" x14ac:dyDescent="0.35">
      <c r="A95" s="111" t="s">
        <v>125</v>
      </c>
      <c r="B95" s="112">
        <v>2950000</v>
      </c>
      <c r="C95" s="86"/>
      <c r="D95" s="106"/>
      <c r="E95" s="50"/>
      <c r="F95" s="50"/>
      <c r="G95" s="65">
        <f>B95*55%</f>
        <v>1622500.0000000002</v>
      </c>
      <c r="H95" s="65">
        <f>SUM(H90:H94)</f>
        <v>881692.7</v>
      </c>
      <c r="I95" s="65">
        <f>G95-H95</f>
        <v>740807.30000000028</v>
      </c>
      <c r="J95" s="65">
        <f>I95*$J$7</f>
        <v>133345.31400000004</v>
      </c>
      <c r="K95" s="65">
        <f>I95+J95</f>
        <v>874152.61400000029</v>
      </c>
      <c r="L95" s="65">
        <f>I95*$L$7</f>
        <v>7408.073000000003</v>
      </c>
      <c r="M95" s="65">
        <f>I95*$M$7</f>
        <v>37040.365000000013</v>
      </c>
      <c r="N95" s="65">
        <f>I95*$N$7</f>
        <v>0</v>
      </c>
      <c r="O95" s="65">
        <f>I95*$O$7</f>
        <v>74080.730000000025</v>
      </c>
      <c r="P95" s="65">
        <f>I95*$P$7</f>
        <v>133345.31400000004</v>
      </c>
      <c r="Q95" s="66">
        <f>K95-L95-M95-N95-O95-P95</f>
        <v>622278.13200000033</v>
      </c>
      <c r="R95" s="60"/>
      <c r="S95" s="49"/>
      <c r="T95" s="50"/>
      <c r="U95" s="51"/>
    </row>
    <row r="96" spans="1:21" ht="24.9" customHeight="1" x14ac:dyDescent="0.3">
      <c r="A96" s="91"/>
      <c r="B96" s="96"/>
      <c r="C96" s="87"/>
      <c r="D96" s="107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231" t="s">
        <v>27</v>
      </c>
      <c r="P96" s="231"/>
      <c r="Q96" s="57">
        <f>SUM(Q8:Q95)</f>
        <v>8773756.8476</v>
      </c>
      <c r="R96" s="61"/>
      <c r="S96" s="52" t="s">
        <v>126</v>
      </c>
      <c r="T96" s="53">
        <v>12161403</v>
      </c>
      <c r="U96" s="54"/>
    </row>
    <row r="97" spans="1:21" ht="24.9" customHeight="1" thickBot="1" x14ac:dyDescent="0.35">
      <c r="A97" s="90"/>
      <c r="B97" s="95"/>
      <c r="C97" s="88"/>
      <c r="D97" s="108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5"/>
      <c r="R97" s="62"/>
      <c r="S97" s="58" t="s">
        <v>127</v>
      </c>
      <c r="T97" s="59">
        <f>Q96-T96</f>
        <v>-3387646.1524</v>
      </c>
      <c r="U97" s="15"/>
    </row>
    <row r="98" spans="1:21" ht="24.9" customHeight="1" x14ac:dyDescent="0.3">
      <c r="M98" s="69">
        <f>SUM(M8:M95)</f>
        <v>455077.86949999997</v>
      </c>
      <c r="N98" s="69">
        <f t="shared" ref="N98:O98" si="9">SUM(N8:N95)</f>
        <v>0</v>
      </c>
      <c r="O98" s="69">
        <f t="shared" si="9"/>
        <v>910154.73899999994</v>
      </c>
    </row>
    <row r="99" spans="1:21" ht="24.9" customHeight="1" x14ac:dyDescent="0.3">
      <c r="P99" s="5"/>
      <c r="Q99" s="5"/>
    </row>
    <row r="101" spans="1:21" ht="24.9" customHeight="1" x14ac:dyDescent="0.3">
      <c r="Q101" s="5"/>
    </row>
    <row r="103" spans="1:21" ht="24.9" customHeight="1" x14ac:dyDescent="0.3">
      <c r="Q103" s="17"/>
    </row>
  </sheetData>
  <mergeCells count="5">
    <mergeCell ref="O96:P96"/>
    <mergeCell ref="B1:C1"/>
    <mergeCell ref="B2:C2"/>
    <mergeCell ref="B3:C3"/>
    <mergeCell ref="B4:D4"/>
  </mergeCells>
  <pageMargins left="0.7" right="0.7" top="0.75" bottom="0.75" header="0.3" footer="0.3"/>
  <pageSetup paperSize="9" scale="25" orientation="landscape" r:id="rId1"/>
  <rowBreaks count="1" manualBreakCount="1">
    <brk id="10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combined</vt:lpstr>
      <vt:lpstr>New rate</vt:lpstr>
      <vt:lpstr>combined!Print_Area</vt:lpstr>
      <vt:lpstr>combined!Print_Titles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2025-05-15T05:45:46Z</dcterms:modified>
</cp:coreProperties>
</file>