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hahi\OneDrive\Desktop\EXCEL\"/>
    </mc:Choice>
  </mc:AlternateContent>
  <xr:revisionPtr revIDLastSave="0" documentId="13_ncr:1_{3D4B2260-43FE-4E22-97AD-D1FF6E581E8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Sheet2" sheetId="2" r:id="rId2"/>
  </sheets>
  <definedNames>
    <definedName name="_xlnm.Print_Area" localSheetId="0">Sheet1!$A$1:$W$102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2" i="2" l="1"/>
  <c r="L18" i="2"/>
  <c r="O65" i="1" l="1"/>
  <c r="O61" i="1"/>
  <c r="O55" i="1"/>
  <c r="O52" i="1"/>
  <c r="O49" i="1"/>
  <c r="O44" i="1"/>
  <c r="O39" i="1"/>
  <c r="O35" i="1"/>
  <c r="O30" i="1"/>
  <c r="N27" i="1"/>
  <c r="E18" i="1"/>
  <c r="G18" i="1" s="1"/>
  <c r="O7" i="1"/>
  <c r="L18" i="1" l="1"/>
  <c r="K18" i="1"/>
  <c r="H18" i="1"/>
  <c r="M18" i="1" s="1"/>
  <c r="J18" i="1"/>
  <c r="O91" i="1"/>
  <c r="U84" i="1"/>
  <c r="G84" i="1"/>
  <c r="O83" i="1"/>
  <c r="I18" i="1" l="1"/>
  <c r="N18" i="1" s="1"/>
  <c r="K84" i="1"/>
  <c r="J84" i="1"/>
  <c r="L84" i="1"/>
  <c r="H84" i="1"/>
  <c r="M84" i="1" s="1"/>
  <c r="I84" i="1" l="1"/>
  <c r="N84" i="1" s="1"/>
  <c r="W87" i="1" s="1"/>
  <c r="U73" i="1" l="1"/>
  <c r="R29" i="1"/>
  <c r="G54" i="1"/>
  <c r="J54" i="1" s="1"/>
  <c r="E93" i="1"/>
  <c r="G93" i="1" s="1"/>
  <c r="U92" i="1"/>
  <c r="E92" i="1"/>
  <c r="G92" i="1" s="1"/>
  <c r="J92" i="1" s="1"/>
  <c r="L54" i="1" l="1"/>
  <c r="K54" i="1"/>
  <c r="H54" i="1"/>
  <c r="M54" i="1" s="1"/>
  <c r="K93" i="1"/>
  <c r="H93" i="1"/>
  <c r="M93" i="1" s="1"/>
  <c r="J93" i="1"/>
  <c r="K92" i="1"/>
  <c r="H92" i="1"/>
  <c r="M92" i="1" s="1"/>
  <c r="L92" i="1"/>
  <c r="N48" i="1"/>
  <c r="I54" i="1" l="1"/>
  <c r="N54" i="1" s="1"/>
  <c r="I92" i="1"/>
  <c r="N92" i="1" s="1"/>
  <c r="I93" i="1"/>
  <c r="N93" i="1" s="1"/>
  <c r="G51" i="1"/>
  <c r="I51" i="1" s="1"/>
  <c r="N51" i="1" s="1"/>
  <c r="W94" i="1" l="1"/>
  <c r="N34" i="1"/>
  <c r="M34" i="1"/>
  <c r="L34" i="1"/>
  <c r="K34" i="1"/>
  <c r="J34" i="1"/>
  <c r="H34" i="1"/>
  <c r="I34" i="1" l="1"/>
  <c r="U89" i="1"/>
  <c r="G74" i="1" l="1"/>
  <c r="U76" i="1"/>
  <c r="R75" i="1"/>
  <c r="G67" i="1"/>
  <c r="L67" i="1" s="1"/>
  <c r="U67" i="1"/>
  <c r="R62" i="1"/>
  <c r="U62" i="1" s="1"/>
  <c r="U63" i="1"/>
  <c r="U64" i="1"/>
  <c r="U60" i="1"/>
  <c r="G38" i="1"/>
  <c r="L38" i="1" s="1"/>
  <c r="U37" i="1"/>
  <c r="U38" i="1"/>
  <c r="R23" i="1"/>
  <c r="U20" i="1"/>
  <c r="U19" i="1"/>
  <c r="H15" i="1"/>
  <c r="E14" i="1"/>
  <c r="G14" i="1" s="1"/>
  <c r="H14" i="1" s="1"/>
  <c r="M14" i="1" s="1"/>
  <c r="E17" i="1" s="1"/>
  <c r="N15" i="1"/>
  <c r="O87" i="1"/>
  <c r="O81" i="1"/>
  <c r="O79" i="1"/>
  <c r="O77" i="1"/>
  <c r="O72" i="1"/>
  <c r="O70" i="1"/>
  <c r="O68" i="1"/>
  <c r="N17" i="1" l="1"/>
  <c r="H17" i="1"/>
  <c r="L74" i="1"/>
  <c r="J74" i="1"/>
  <c r="H74" i="1"/>
  <c r="M74" i="1" s="1"/>
  <c r="K74" i="1"/>
  <c r="H67" i="1"/>
  <c r="M67" i="1" s="1"/>
  <c r="J67" i="1"/>
  <c r="K67" i="1"/>
  <c r="H38" i="1"/>
  <c r="M38" i="1" s="1"/>
  <c r="J38" i="1"/>
  <c r="K38" i="1"/>
  <c r="L14" i="1"/>
  <c r="J14" i="1"/>
  <c r="I14" i="1"/>
  <c r="I74" i="1" l="1"/>
  <c r="N74" i="1" s="1"/>
  <c r="I67" i="1"/>
  <c r="N67" i="1" s="1"/>
  <c r="I38" i="1"/>
  <c r="N38" i="1" s="1"/>
  <c r="N14" i="1"/>
  <c r="U88" i="1"/>
  <c r="F89" i="1"/>
  <c r="E89" i="1"/>
  <c r="G88" i="1"/>
  <c r="J88" i="1" s="1"/>
  <c r="G89" i="1" l="1"/>
  <c r="J89" i="1" s="1"/>
  <c r="H88" i="1"/>
  <c r="M88" i="1" s="1"/>
  <c r="K88" i="1"/>
  <c r="H89" i="1" l="1"/>
  <c r="M89" i="1" s="1"/>
  <c r="K89" i="1"/>
  <c r="I88" i="1"/>
  <c r="N88" i="1" s="1"/>
  <c r="I89" i="1" l="1"/>
  <c r="N89" i="1" s="1"/>
  <c r="W91" i="1" s="1"/>
  <c r="G57" i="1"/>
  <c r="L57" i="1" s="1"/>
  <c r="H57" i="1" l="1"/>
  <c r="M57" i="1" s="1"/>
  <c r="J57" i="1"/>
  <c r="K57" i="1"/>
  <c r="I57" i="1" l="1"/>
  <c r="N57" i="1" s="1"/>
  <c r="R59" i="1" l="1"/>
  <c r="U59" i="1" s="1"/>
  <c r="G29" i="1" l="1"/>
  <c r="K29" i="1" s="1"/>
  <c r="H29" i="1" l="1"/>
  <c r="M29" i="1" s="1"/>
  <c r="J29" i="1"/>
  <c r="L29" i="1"/>
  <c r="G42" i="1"/>
  <c r="H42" i="1" l="1"/>
  <c r="I42" i="1" s="1"/>
  <c r="J42" i="1"/>
  <c r="K42" i="1"/>
  <c r="L42" i="1"/>
  <c r="M42" i="1"/>
  <c r="I29" i="1"/>
  <c r="N29" i="1" s="1"/>
  <c r="N42" i="1" l="1"/>
  <c r="U82" i="1"/>
  <c r="E82" i="1"/>
  <c r="G82" i="1" s="1"/>
  <c r="H82" i="1" s="1"/>
  <c r="J82" i="1" l="1"/>
  <c r="K82" i="1"/>
  <c r="L82" i="1"/>
  <c r="M82" i="1"/>
  <c r="I82" i="1" l="1"/>
  <c r="N82" i="1" s="1"/>
  <c r="W83" i="1" s="1"/>
  <c r="U80" i="1" l="1"/>
  <c r="E80" i="1"/>
  <c r="G80" i="1" s="1"/>
  <c r="H80" i="1" s="1"/>
  <c r="M80" i="1" s="1"/>
  <c r="I80" i="1" l="1"/>
  <c r="N80" i="1" s="1"/>
  <c r="W81" i="1" s="1"/>
  <c r="U78" i="1" l="1"/>
  <c r="G78" i="1"/>
  <c r="L78" i="1" s="1"/>
  <c r="H78" i="1" l="1"/>
  <c r="M78" i="1" s="1"/>
  <c r="I78" i="1" l="1"/>
  <c r="N78" i="1" s="1"/>
  <c r="W79" i="1" s="1"/>
  <c r="U75" i="1"/>
  <c r="U74" i="1"/>
  <c r="E73" i="1"/>
  <c r="G73" i="1" s="1"/>
  <c r="H73" i="1" l="1"/>
  <c r="M73" i="1" s="1"/>
  <c r="K73" i="1"/>
  <c r="J73" i="1"/>
  <c r="L73" i="1"/>
  <c r="I73" i="1" l="1"/>
  <c r="N73" i="1" s="1"/>
  <c r="W77" i="1" s="1"/>
  <c r="U71" i="1" l="1"/>
  <c r="G71" i="1"/>
  <c r="J71" i="1" s="1"/>
  <c r="K71" i="1" l="1"/>
  <c r="H71" i="1"/>
  <c r="M71" i="1" s="1"/>
  <c r="I71" i="1" l="1"/>
  <c r="N71" i="1" s="1"/>
  <c r="W72" i="1" s="1"/>
  <c r="U69" i="1" l="1"/>
  <c r="E69" i="1"/>
  <c r="G69" i="1" s="1"/>
  <c r="K69" i="1" l="1"/>
  <c r="J69" i="1"/>
  <c r="L69" i="1"/>
  <c r="H69" i="1"/>
  <c r="M69" i="1" s="1"/>
  <c r="I69" i="1" l="1"/>
  <c r="N69" i="1" s="1"/>
  <c r="W70" i="1" s="1"/>
  <c r="U66" i="1"/>
  <c r="E66" i="1"/>
  <c r="G66" i="1" s="1"/>
  <c r="K66" i="1" l="1"/>
  <c r="L66" i="1"/>
  <c r="H66" i="1"/>
  <c r="M66" i="1" s="1"/>
  <c r="J66" i="1"/>
  <c r="I66" i="1" l="1"/>
  <c r="N66" i="1" s="1"/>
  <c r="W68" i="1" s="1"/>
  <c r="E62" i="1"/>
  <c r="G62" i="1" l="1"/>
  <c r="J62" i="1" s="1"/>
  <c r="E63" i="1"/>
  <c r="G63" i="1" s="1"/>
  <c r="H62" i="1" l="1"/>
  <c r="M62" i="1" s="1"/>
  <c r="K62" i="1"/>
  <c r="L62" i="1"/>
  <c r="J63" i="1"/>
  <c r="K63" i="1"/>
  <c r="L63" i="1"/>
  <c r="H63" i="1"/>
  <c r="M63" i="1" s="1"/>
  <c r="I62" i="1" l="1"/>
  <c r="N62" i="1" s="1"/>
  <c r="I63" i="1"/>
  <c r="N63" i="1" s="1"/>
  <c r="W65" i="1" s="1"/>
  <c r="U58" i="1"/>
  <c r="U57" i="1"/>
  <c r="U56" i="1"/>
  <c r="G56" i="1"/>
  <c r="K56" i="1" s="1"/>
  <c r="H56" i="1" l="1"/>
  <c r="M56" i="1" s="1"/>
  <c r="L56" i="1"/>
  <c r="J56" i="1"/>
  <c r="I56" i="1" l="1"/>
  <c r="N56" i="1" s="1"/>
  <c r="W61" i="1" s="1"/>
  <c r="U53" i="1"/>
  <c r="G53" i="1"/>
  <c r="K53" i="1" s="1"/>
  <c r="L53" i="1" l="1"/>
  <c r="H53" i="1"/>
  <c r="M53" i="1" s="1"/>
  <c r="J53" i="1"/>
  <c r="I53" i="1" l="1"/>
  <c r="N53" i="1" s="1"/>
  <c r="W55" i="1" s="1"/>
  <c r="U50" i="1"/>
  <c r="E50" i="1"/>
  <c r="G50" i="1" s="1"/>
  <c r="K50" i="1" s="1"/>
  <c r="H50" i="1" l="1"/>
  <c r="L50" i="1" s="1"/>
  <c r="J50" i="1"/>
  <c r="I50" i="1" l="1"/>
  <c r="N50" i="1" s="1"/>
  <c r="W52" i="1" s="1"/>
  <c r="U45" i="1" l="1"/>
  <c r="N47" i="1"/>
  <c r="E46" i="1"/>
  <c r="G46" i="1" s="1"/>
  <c r="J46" i="1" s="1"/>
  <c r="E45" i="1"/>
  <c r="G45" i="1" s="1"/>
  <c r="K45" i="1" l="1"/>
  <c r="J45" i="1"/>
  <c r="H45" i="1"/>
  <c r="M45" i="1" s="1"/>
  <c r="K46" i="1"/>
  <c r="H46" i="1"/>
  <c r="M46" i="1" s="1"/>
  <c r="I45" i="1" l="1"/>
  <c r="N45" i="1" s="1"/>
  <c r="I46" i="1"/>
  <c r="N46" i="1" s="1"/>
  <c r="W49" i="1" l="1"/>
  <c r="U41" i="1"/>
  <c r="U40" i="1"/>
  <c r="N41" i="1"/>
  <c r="M41" i="1"/>
  <c r="I41" i="1"/>
  <c r="E40" i="1"/>
  <c r="G40" i="1" s="1"/>
  <c r="J40" i="1" s="1"/>
  <c r="H40" i="1" l="1"/>
  <c r="M40" i="1" s="1"/>
  <c r="L40" i="1"/>
  <c r="K40" i="1"/>
  <c r="I40" i="1" l="1"/>
  <c r="N40" i="1" s="1"/>
  <c r="W44" i="1" s="1"/>
  <c r="U36" i="1"/>
  <c r="N37" i="1"/>
  <c r="M37" i="1"/>
  <c r="I37" i="1"/>
  <c r="E36" i="1"/>
  <c r="G36" i="1" s="1"/>
  <c r="J36" i="1" s="1"/>
  <c r="H36" i="1" l="1"/>
  <c r="M36" i="1" s="1"/>
  <c r="L36" i="1"/>
  <c r="K36" i="1"/>
  <c r="I36" i="1" l="1"/>
  <c r="N36" i="1" s="1"/>
  <c r="W39" i="1" s="1"/>
  <c r="U33" i="1" l="1"/>
  <c r="U32" i="1"/>
  <c r="U31" i="1"/>
  <c r="N33" i="1"/>
  <c r="L33" i="1"/>
  <c r="K33" i="1"/>
  <c r="J33" i="1"/>
  <c r="H33" i="1"/>
  <c r="M33" i="1" s="1"/>
  <c r="E32" i="1"/>
  <c r="G32" i="1" s="1"/>
  <c r="J32" i="1" s="1"/>
  <c r="E31" i="1"/>
  <c r="G31" i="1" s="1"/>
  <c r="K31" i="1" l="1"/>
  <c r="H31" i="1"/>
  <c r="M31" i="1" s="1"/>
  <c r="J31" i="1"/>
  <c r="H32" i="1"/>
  <c r="M32" i="1" s="1"/>
  <c r="I33" i="1"/>
  <c r="K32" i="1"/>
  <c r="I32" i="1" l="1"/>
  <c r="N32" i="1" s="1"/>
  <c r="I31" i="1"/>
  <c r="N31" i="1" s="1"/>
  <c r="U27" i="1"/>
  <c r="U26" i="1"/>
  <c r="U25" i="1"/>
  <c r="G28" i="1"/>
  <c r="K28" i="1" s="1"/>
  <c r="G26" i="1"/>
  <c r="L26" i="1" s="1"/>
  <c r="E25" i="1"/>
  <c r="G25" i="1" s="1"/>
  <c r="J25" i="1" s="1"/>
  <c r="W35" i="1" l="1"/>
  <c r="J28" i="1"/>
  <c r="H28" i="1"/>
  <c r="I28" i="1" s="1"/>
  <c r="J26" i="1"/>
  <c r="L28" i="1"/>
  <c r="H25" i="1"/>
  <c r="M25" i="1" s="1"/>
  <c r="K26" i="1"/>
  <c r="K25" i="1"/>
  <c r="L25" i="1"/>
  <c r="H26" i="1"/>
  <c r="M26" i="1" s="1"/>
  <c r="M28" i="1" l="1"/>
  <c r="N28" i="1" s="1"/>
  <c r="I26" i="1"/>
  <c r="N26" i="1" s="1"/>
  <c r="I25" i="1"/>
  <c r="N25" i="1" s="1"/>
  <c r="W30" i="1" l="1"/>
  <c r="G22" i="1"/>
  <c r="K22" i="1" s="1"/>
  <c r="G20" i="1"/>
  <c r="J20" i="1" s="1"/>
  <c r="E19" i="1"/>
  <c r="G19" i="1" s="1"/>
  <c r="K19" i="1" l="1"/>
  <c r="H19" i="1"/>
  <c r="I19" i="1" s="1"/>
  <c r="L19" i="1"/>
  <c r="H22" i="1"/>
  <c r="M22" i="1" s="1"/>
  <c r="L22" i="1"/>
  <c r="H20" i="1"/>
  <c r="M20" i="1" s="1"/>
  <c r="J19" i="1"/>
  <c r="L20" i="1"/>
  <c r="J22" i="1"/>
  <c r="K20" i="1"/>
  <c r="E21" i="1" l="1"/>
  <c r="N21" i="1" s="1"/>
  <c r="I22" i="1"/>
  <c r="N22" i="1" s="1"/>
  <c r="M19" i="1"/>
  <c r="N19" i="1" s="1"/>
  <c r="I20" i="1"/>
  <c r="N20" i="1" s="1"/>
  <c r="U14" i="1" l="1"/>
  <c r="R13" i="1"/>
  <c r="U13" i="1" s="1"/>
  <c r="R12" i="1"/>
  <c r="U12" i="1" s="1"/>
  <c r="G13" i="1"/>
  <c r="E12" i="1"/>
  <c r="G12" i="1" l="1"/>
  <c r="L12" i="1" s="1"/>
  <c r="L13" i="1"/>
  <c r="K13" i="1"/>
  <c r="H13" i="1"/>
  <c r="M13" i="1" s="1"/>
  <c r="E16" i="1" s="1"/>
  <c r="J13" i="1"/>
  <c r="J12" i="1" l="1"/>
  <c r="H12" i="1"/>
  <c r="M12" i="1" s="1"/>
  <c r="N16" i="1"/>
  <c r="H16" i="1"/>
  <c r="I13" i="1"/>
  <c r="N13" i="1" s="1"/>
  <c r="I12" i="1" l="1"/>
  <c r="N12" i="1" s="1"/>
  <c r="R11" i="1"/>
  <c r="R10" i="1"/>
  <c r="N10" i="1" l="1"/>
  <c r="R9" i="1" l="1"/>
  <c r="G9" i="1"/>
  <c r="K9" i="1" l="1"/>
  <c r="J9" i="1"/>
  <c r="H9" i="1"/>
  <c r="M9" i="1" s="1"/>
  <c r="I9" i="1" l="1"/>
  <c r="N9" i="1" s="1"/>
  <c r="R8" i="1"/>
  <c r="G11" i="1"/>
  <c r="L11" i="1" l="1"/>
  <c r="U96" i="1"/>
  <c r="H11" i="1"/>
  <c r="J11" i="1"/>
  <c r="K11" i="1"/>
  <c r="K96" i="1" s="1"/>
  <c r="L96" i="1" l="1"/>
  <c r="N106" i="1" s="1"/>
  <c r="M11" i="1"/>
  <c r="I11" i="1"/>
  <c r="N11" i="1" l="1"/>
  <c r="W96" i="1" s="1"/>
  <c r="M96" i="1"/>
  <c r="N109" i="1" l="1"/>
  <c r="N111" i="1" s="1"/>
  <c r="N112" i="1" s="1"/>
  <c r="N96" i="1" l="1"/>
  <c r="U98" i="1" s="1"/>
  <c r="N107" i="1" s="1"/>
  <c r="N110" i="1" s="1"/>
</calcChain>
</file>

<file path=xl/sharedStrings.xml><?xml version="1.0" encoding="utf-8"?>
<sst xmlns="http://schemas.openxmlformats.org/spreadsheetml/2006/main" count="230" uniqueCount="196">
  <si>
    <t>Amount</t>
  </si>
  <si>
    <t>PAYMENT NOTE No.</t>
  </si>
  <si>
    <t>UTR</t>
  </si>
  <si>
    <t>SD (5%)</t>
  </si>
  <si>
    <t>Advance paid</t>
  </si>
  <si>
    <t>TDS Amount @ 1% on BASIC AMOUNT</t>
  </si>
  <si>
    <t>Balance Payable Amount Rs. -</t>
  </si>
  <si>
    <t>Total Paid Amount Rs. -</t>
  </si>
  <si>
    <t>M/s Abhinisha Infra</t>
  </si>
  <si>
    <t>09-01-2023 NEFT/AXISP00353457265/RIUP22/1812/ABHINISHA INFRA 99000.00</t>
  </si>
  <si>
    <t>01-02-2023 NEFT/AXISP00359583342/RIUP22/2061/ABHINISHA INFRA ₹ 99,000.00</t>
  </si>
  <si>
    <t>RIUP22/1812</t>
  </si>
  <si>
    <t>RIUP22/2061/</t>
  </si>
  <si>
    <t>RIUP22/1813</t>
  </si>
  <si>
    <t>09-01-2023 NEFT/AXISP00353457267/RIUP22/1813/ABHINISHA INFRA 99000.00</t>
  </si>
  <si>
    <t>RIUP22/2062</t>
  </si>
  <si>
    <t>01-02-2023 NEFT/AXISP00359583341/RIUP22/2062/ABHINISHA INFRA ₹ 99,000.00</t>
  </si>
  <si>
    <t>Mubarikpur Village Boundary wall work</t>
  </si>
  <si>
    <t>GST release note</t>
  </si>
  <si>
    <t>RIUP22/1902</t>
  </si>
  <si>
    <t>18-01-2023 NEFT/AXISP00355710815/RIUP22/1902/ABHINISHA INFRA ₹ 99,000.00</t>
  </si>
  <si>
    <t>RIUP22/2063</t>
  </si>
  <si>
    <t>01-02-2023 NEFT/AXISP00359583343/RIUP22/2063/ABHINISHA INFRA ₹ 99,000.00</t>
  </si>
  <si>
    <t>RIUP22/2634</t>
  </si>
  <si>
    <t>30-03-2023 NEFT/AXISP00376411983/RIUP22/2634/ABHIN ISHA INFRA 30409.00</t>
  </si>
  <si>
    <t>20-04-2023 20-04-2023 NEFT/AXISP00383281375/SPUP23/0140/ABHINISHA INFRA 72642.00</t>
  </si>
  <si>
    <t>10-05-2023 NEFT/AXISP00388990948/RIUP23/077/ABHINISHA INFRA 46566.00</t>
  </si>
  <si>
    <t>Silajuddi Village OHT Construction work 150 kl 12m</t>
  </si>
  <si>
    <t>RIUP23/219</t>
  </si>
  <si>
    <t>25-05-2023 NEFT/AXISP00392595794/RIUP23/219/ABHINISHA INFRA 121317.00</t>
  </si>
  <si>
    <t>RIUP22/2558</t>
  </si>
  <si>
    <t>17-03-2023 NEFT/AXISP00372194503/RIUP22/2558/ABHINISHA INFRA 35309.00</t>
  </si>
  <si>
    <t>RIUP23/076</t>
  </si>
  <si>
    <t>10-05-2023 NEFT/AXISP00388990949/RIUP23/076/ABHINISHA INFRA 7566.00</t>
  </si>
  <si>
    <t>09-06-2023 NEFT/AXISP00397387005/RIUP23/559/ABHINISHA INFRA 161643.00</t>
  </si>
  <si>
    <t>15-06-2023 NEFT/AXISP00398797337/RIUP23/677/ABHINISHA INFRA 198000.00</t>
  </si>
  <si>
    <t>Bibipur Village OHT Construction work 150 kl 12m</t>
  </si>
  <si>
    <t>RIUP23/222</t>
  </si>
  <si>
    <t>12-05-2023 NEFT/AXISP00389894137/RIUP23/222/ABHINISHA INFRA 116050.00</t>
  </si>
  <si>
    <t>RIUP22/2623</t>
  </si>
  <si>
    <t>17-03-2023 NEFT/AXISP00372194520/RIUP22/2623/ABHINISHA INFRA 92578.00</t>
  </si>
  <si>
    <t>RIUP23/081</t>
  </si>
  <si>
    <t>04-05-2023 NEFT/AXISP00387404081/RIUP23/081/ABHINISHA INFRA 19838.00</t>
  </si>
  <si>
    <t>09-06-2023 NEFT/AXISP00397387006/RIUP23/560/ABHINISHA INFRA 164835.00</t>
  </si>
  <si>
    <t>15-06-2023 NEFT/AXISP00398797336/RIUP23/678/ABHINISHA INFRA 198000.00</t>
  </si>
  <si>
    <t>Khanpur Village Boundary wall work</t>
  </si>
  <si>
    <t>RIUP22/2584</t>
  </si>
  <si>
    <t>27-03-2023 NEFT/AXISP00374448946/RIUP22/2584/ABHINISHA INFRA 110357.00</t>
  </si>
  <si>
    <t>SPUP23/0141</t>
  </si>
  <si>
    <t>20-04-2023 20-04-2023 NEFT/AXISP00383281374/SPUP23/0141/ABHINISHA INFRA 74479.00</t>
  </si>
  <si>
    <t>RIUP23/079</t>
  </si>
  <si>
    <t>04-05-2023 NEFT/AXISP00387404082/RIUP23/079/ABHINISHA INFRA 22319.00</t>
  </si>
  <si>
    <t>bahpur Khatauli Village OHT Construction work 150 kl 12m</t>
  </si>
  <si>
    <t>RIUP22/2635</t>
  </si>
  <si>
    <t>20-03-2023 NEFT/AXISP00372620114/RIUP22/2635/ABHINISHA INFRA 92578.00</t>
  </si>
  <si>
    <t>RIUP23/080</t>
  </si>
  <si>
    <t>09-05-2023 NEFT/AXISP00388778891/RIUP23/080/ABHINISHA INFRA 19838.00</t>
  </si>
  <si>
    <t>Khanpur Village OHT Construction work 75 kl 12m</t>
  </si>
  <si>
    <t>GS release note</t>
  </si>
  <si>
    <t>RIUP22/2621</t>
  </si>
  <si>
    <t>16-03-2023 NEFT/AXISP00371978438/RIUP22/2621/ABHINISHA INFRA ₹ 40,200.00</t>
  </si>
  <si>
    <t>RIUP23/082</t>
  </si>
  <si>
    <t>04-05-2023 NEFT/AXISP00387404080/RIUP23/082/ABHINISHA INFRA 8614.00</t>
  </si>
  <si>
    <t>Jandheri jatan Village Boundary wall work</t>
  </si>
  <si>
    <t>RIUP22/2622</t>
  </si>
  <si>
    <t>16-03-2023 NEFT/AXISP00371978436/RIUP22/2622/ABHINISHA INFRA ₹ 1,65,047.00</t>
  </si>
  <si>
    <t>19-04-2023 19-04-2023 NEFT/AXISP00382826208/SPUP23/0142/ABHINISHA INFRA 75819.00</t>
  </si>
  <si>
    <t>09-05-2023 NEFT/AXISP00388778892/RIUP23/078/ABHINISHA INFRA 33380.00</t>
  </si>
  <si>
    <t>Mubarikpur Village Pump House work</t>
  </si>
  <si>
    <t>SPUP23/0189</t>
  </si>
  <si>
    <t>19-04-2023 19-04-2023 NEFT/AXISP00382826209/SPUP23/0189/ABHINISHA INFRA 98790.00</t>
  </si>
  <si>
    <t>garhi Durganpur Village OHT Construction work 125  kl 12m</t>
  </si>
  <si>
    <t>RIUP23/337</t>
  </si>
  <si>
    <t>23-05-2023 NEFT/AXISP00392088477/RIUP23/337/ABHINISHA INFRA 64023.00</t>
  </si>
  <si>
    <t>Ladawa village OHT work</t>
  </si>
  <si>
    <t>RIUP23/393</t>
  </si>
  <si>
    <t>25-05-2023 NEFT/AXISP00392601986/RIUP23/393/ABHINISHA INFRA 148500.00</t>
  </si>
  <si>
    <t>RIUP23/487</t>
  </si>
  <si>
    <t>03-06-2023 NEFT/AXISP00395454139/RIUP23/487/ABHINISHA INFRA ₹ 16,140.00</t>
  </si>
  <si>
    <t>RIUP23/616</t>
  </si>
  <si>
    <t>12-06-2023 NEFT/AXISP00397819350/RIUP23/616/ABHINISHA INFRA 148500.00</t>
  </si>
  <si>
    <t>Jafarpur Village OHT Construction work 75  kl 12m</t>
  </si>
  <si>
    <t>RIUP23/394</t>
  </si>
  <si>
    <t>25-05-2023 NEFT/AXISP00392601987/RIUP23/394/ABHINISHA INFRA 49500.00</t>
  </si>
  <si>
    <t>Rampurr Village OHT Construction work 75  kl 12m</t>
  </si>
  <si>
    <t>RIUP23/286</t>
  </si>
  <si>
    <t>25-05-2023 NEFT/AXISP00392595796/RIUP23/286/ABHINISHA INFRA 66149.00</t>
  </si>
  <si>
    <t>karwara Village OHT Construction work 150  kl 16 m</t>
  </si>
  <si>
    <t>RIUP23/422</t>
  </si>
  <si>
    <t>29-05-2023 NEFT/AXISP00393029900/RIUP23/422/ABHINISHA INFRA 75369.00</t>
  </si>
  <si>
    <t>Dholari Village OHT Construction work 150  kl 12 m</t>
  </si>
  <si>
    <t>RIUP23/468</t>
  </si>
  <si>
    <t>02-06-2023 NEFT/AXISP00395047094/RIUP23/468/ABHINISHA INFRA 75450.00</t>
  </si>
  <si>
    <t>Amirnagar Village OHT Construction work 325 kl 12m</t>
  </si>
  <si>
    <t>Cash</t>
  </si>
  <si>
    <t>In cash at site</t>
  </si>
  <si>
    <t>RIUP23/636</t>
  </si>
  <si>
    <t>13-06-2023 NEFT/AXISP00398105740/RIUP23/636/ABHINISHA INFRA ₹ 33,441.00</t>
  </si>
  <si>
    <t>RIUP23/679</t>
  </si>
  <si>
    <t>15-06-2023 NEFT/AXISP00398797335/RIUP23/679/ABHINISHA INFRA 198000.00</t>
  </si>
  <si>
    <t>RIUP23/635</t>
  </si>
  <si>
    <t>13-06-2023 NEFT/AXISP00398105739/RIUP23/635/ABHINISHA INFRA ₹ 92,784.00</t>
  </si>
  <si>
    <t>Badh Village OHT Construction work 150 KL 12m staging</t>
  </si>
  <si>
    <t>RIUP23/894</t>
  </si>
  <si>
    <t>28-06-2023 NEFT/AXISP00401332291/RIUP23/894/ABHINISHA INFRA 77474.00</t>
  </si>
  <si>
    <t>Gyanmazra Village OHT Construction work 150KL 16m staging</t>
  </si>
  <si>
    <t>RIUP23/895</t>
  </si>
  <si>
    <t>28-06-2023 NEFT/AXISP00401332292/RIUP23/895/ABHINISHA INFRA 87553.00</t>
  </si>
  <si>
    <t>28-06-2023 NEFT/AXISP00401442272/RIUP23/922A/ABHINISHA INFRA 1545.00</t>
  </si>
  <si>
    <t>17-08-2023 NEFT/AXISP00416302873/RIUP23/1548/ABHINISHA INFRA 396000.00</t>
  </si>
  <si>
    <t>RIUP23/1548</t>
  </si>
  <si>
    <t>RIUP23/1356</t>
  </si>
  <si>
    <t>18-08-2023 NEFT/AXISP00416613525/RIUP23/1356/ABHINISHA INFRA 90355.00</t>
  </si>
  <si>
    <t>Mohiddinpur Village All Work</t>
  </si>
  <si>
    <t>Mujahidpur Village All Work</t>
  </si>
  <si>
    <t>RIUP23/2635</t>
  </si>
  <si>
    <t>RIUP23/077</t>
  </si>
  <si>
    <t>RIUP23/559</t>
  </si>
  <si>
    <t>RIUP23/677</t>
  </si>
  <si>
    <t>01-08-2023 NEFT/AXISP00411668991/RIUPP23/1314/ABHINISHA INFR 11372.00</t>
  </si>
  <si>
    <t>RIUP23/1314</t>
  </si>
  <si>
    <t>SPUP22/0142</t>
  </si>
  <si>
    <t>RIUP22/078</t>
  </si>
  <si>
    <t>22-08-2023 NEFT/AXISP00417367263/RIUP23/1637/ABHINISHA INFRA 113407.00</t>
  </si>
  <si>
    <t>RIUP23/1637</t>
  </si>
  <si>
    <t>14-07-2023 NEFT/AXISP00406995899/RIUP23/1065/ABHINISHA INFRA 187929.00</t>
  </si>
  <si>
    <t>RIUP23/922A</t>
  </si>
  <si>
    <t>RIUP23/1065</t>
  </si>
  <si>
    <t>01-08-2023 NEFT/AXISP00411668986/RIUPP23/1288/ABHINISHA INFR 5513.00</t>
  </si>
  <si>
    <t>RIUP23/1288</t>
  </si>
  <si>
    <t>14-07-2023 NEFT/AXISP00406995898/RIUP23/1064/ABHINISHA INFRA 430849.00</t>
  </si>
  <si>
    <t>RIUP23/1064</t>
  </si>
  <si>
    <t>02-09-2023 NEFT/AXISP00421170810/RIUP23/1819/ABHINISHA INFRA/YESB0001014 ₹ 77,769.00</t>
  </si>
  <si>
    <t>RIUP23/1819</t>
  </si>
  <si>
    <t>GST Release note</t>
  </si>
  <si>
    <t>RIUP23/1337</t>
  </si>
  <si>
    <t>02-08-2023 NEFT/AXISP00411992213/RIUP23/1337/ABHINISHA INFRA 96397.00</t>
  </si>
  <si>
    <t>26-10-2023 NEFT/AXISP00437006011/RIUP23/2683/ABHINISHA INFRA/YESB0001014 92907.00</t>
  </si>
  <si>
    <t>26-10-2023 NEFT/AXISP00437006018/RIUP23/2769/ABHINISHA INFRA/YESB0001014 19980.00</t>
  </si>
  <si>
    <t>26-10-2023 NEFT/AXISP00437006017/RIUP23/2768/ABHINISHA INFRA/YESB0001014 15334.00</t>
  </si>
  <si>
    <t>26-10-2023 NEFT/AXISP00437006016/RIUP23/2767/ABHINISHA INFRA/YESB0001014 15063.00</t>
  </si>
  <si>
    <t>08-11-2023 NEFT/AXISP00442118542/RIUP23/2766/ABHINISHA INFRA/YESB0001014 14692.00</t>
  </si>
  <si>
    <t>Advance / Surplus</t>
  </si>
  <si>
    <t>Debit</t>
  </si>
  <si>
    <t>Total Hold Without GST</t>
  </si>
  <si>
    <t>Advance Village Wise</t>
  </si>
  <si>
    <t>RIUP23/2766</t>
  </si>
  <si>
    <t>RIUP23/560</t>
  </si>
  <si>
    <t>RIUP23/678</t>
  </si>
  <si>
    <t>RIUP23/2767</t>
  </si>
  <si>
    <t>RIUP22/2768</t>
  </si>
  <si>
    <t>RIUP22/2769</t>
  </si>
  <si>
    <t>24-07-2023 NEFT/AXISP00408935242/RIUP23/1110/ABHINISHA INFRA 186911.00</t>
  </si>
  <si>
    <t>RIUP23/1110</t>
  </si>
  <si>
    <t>25-07-2023 NEFT/AXISP00409244026/RIUP23/1215/ABHINISHA INFRA 148500.00</t>
  </si>
  <si>
    <t>Closed</t>
  </si>
  <si>
    <t xml:space="preserve">Not checked </t>
  </si>
  <si>
    <t>Not booked</t>
  </si>
  <si>
    <t>GST Hold</t>
  </si>
  <si>
    <t>SD + Testing Deposit</t>
  </si>
  <si>
    <t>Cement - 97750 + Deisel- 65634 + Steel- 733101</t>
  </si>
  <si>
    <t xml:space="preserve">Advance </t>
  </si>
  <si>
    <t>GST Paid to Contractor</t>
  </si>
  <si>
    <t>Remaining GST</t>
  </si>
  <si>
    <t>Total Hold ( SD+OC+HT )</t>
  </si>
  <si>
    <t>GST Remaining</t>
  </si>
  <si>
    <t>Balance to Be recovered</t>
  </si>
  <si>
    <t>Abhinisha Infra</t>
  </si>
  <si>
    <t>GST filed</t>
  </si>
  <si>
    <t>GST Remaining ( One Bill Not booked)</t>
  </si>
  <si>
    <t>Updated on 28-10-2024</t>
  </si>
  <si>
    <t xml:space="preserve">Mubarikpur Village Boundary wall  OHT work </t>
  </si>
  <si>
    <t xml:space="preserve"> BIHARI  VILLAGE OHT WORK AT BIHARI  VILLAGE,BLOCK-SADAR, 400 KL 12M</t>
  </si>
  <si>
    <t>Atali village OHT work</t>
  </si>
  <si>
    <t>Buddakheda village OHT Construction work 150 kl 12m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</si>
  <si>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</si>
  <si>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</si>
  <si>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</si>
  <si>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</si>
  <si>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</si>
  <si>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</si>
  <si>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</si>
  <si>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</si>
  <si>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</si>
  <si>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</si>
  <si>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</si>
  <si>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</si>
  <si>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</si>
  <si>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</si>
  <si>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</si>
  <si>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</si>
  <si>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Hydro_Testing</t>
  </si>
  <si>
    <t>GST_SD_Amount</t>
  </si>
  <si>
    <t>Final_Amount</t>
  </si>
  <si>
    <t>Total_Amount</t>
  </si>
  <si>
    <t>Chimavu village OHT Construction work 150 kl 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</si>
</sst>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&quot;₹&quot;\ #,##0.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11"/>
      <color theme="1"/>
      <name val="Calibri"/>
      <family val="2"/>
      <scheme val="minor"/>
    </font>
    <font>
      <sz val="10"/>
      <color theme="1"/>
      <name val="Comic Sans MS"/>
      <family val="4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0">
    <xf numFmtId="0" fontId="0" fillId="0" borderId="0" xfId="0"/>
    <xf numFmtId="15" fontId="3" fillId="2" borderId="3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0" fontId="3" fillId="2" borderId="0" xfId="0" applyFont="1" applyFill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3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0" fontId="0" fillId="3" borderId="0" xfId="0" applyFill="1" applyAlignment="1">
      <alignment vertical="center"/>
    </xf>
    <xf numFmtId="43" fontId="3" fillId="3" borderId="3" xfId="1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0" fillId="2" borderId="3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2" borderId="4" xfId="0" applyFill="1" applyBorder="1" applyAlignment="1">
      <alignment vertical="center"/>
    </xf>
    <xf numFmtId="4" fontId="8" fillId="2" borderId="2" xfId="0" applyNumberFormat="1" applyFont="1" applyFill="1" applyBorder="1" applyAlignment="1">
      <alignment horizontal="center" vertical="center"/>
    </xf>
    <xf numFmtId="43" fontId="3" fillId="2" borderId="6" xfId="1" applyNumberFormat="1" applyFont="1" applyFill="1" applyBorder="1" applyAlignment="1">
      <alignment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14" fontId="3" fillId="2" borderId="3" xfId="1" applyNumberFormat="1" applyFont="1" applyFill="1" applyBorder="1" applyAlignment="1">
      <alignment vertical="center"/>
    </xf>
    <xf numFmtId="0" fontId="3" fillId="2" borderId="3" xfId="0" quotePrefix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164" fontId="0" fillId="2" borderId="3" xfId="0" applyNumberFormat="1" applyFill="1" applyBorder="1" applyAlignment="1">
      <alignment vertical="center"/>
    </xf>
    <xf numFmtId="43" fontId="5" fillId="2" borderId="3" xfId="1" applyNumberFormat="1" applyFont="1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5" borderId="0" xfId="0" applyFill="1" applyAlignment="1">
      <alignment vertical="center"/>
    </xf>
    <xf numFmtId="43" fontId="8" fillId="2" borderId="2" xfId="1" applyNumberFormat="1" applyFont="1" applyFill="1" applyBorder="1" applyAlignment="1">
      <alignment horizontal="center" vertical="center"/>
    </xf>
    <xf numFmtId="0" fontId="9" fillId="2" borderId="3" xfId="0" applyFont="1" applyFill="1" applyBorder="1" applyAlignment="1">
      <alignment vertical="center"/>
    </xf>
    <xf numFmtId="0" fontId="0" fillId="3" borderId="7" xfId="0" applyFill="1" applyBorder="1" applyAlignment="1">
      <alignment vertical="center"/>
    </xf>
    <xf numFmtId="43" fontId="3" fillId="3" borderId="7" xfId="1" applyNumberFormat="1" applyFont="1" applyFill="1" applyBorder="1" applyAlignment="1">
      <alignment vertical="center"/>
    </xf>
    <xf numFmtId="9" fontId="3" fillId="3" borderId="7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0" fontId="5" fillId="2" borderId="4" xfId="0" applyFont="1" applyFill="1" applyBorder="1" applyAlignment="1">
      <alignment horizontal="center" vertical="center" wrapText="1"/>
    </xf>
    <xf numFmtId="43" fontId="3" fillId="2" borderId="8" xfId="1" applyNumberFormat="1" applyFont="1" applyFill="1" applyBorder="1" applyAlignment="1">
      <alignment vertical="center"/>
    </xf>
    <xf numFmtId="0" fontId="0" fillId="2" borderId="8" xfId="0" applyFill="1" applyBorder="1" applyAlignment="1">
      <alignment vertical="center"/>
    </xf>
    <xf numFmtId="43" fontId="5" fillId="2" borderId="6" xfId="1" applyNumberFormat="1" applyFont="1" applyFill="1" applyBorder="1" applyAlignment="1">
      <alignment vertical="center"/>
    </xf>
    <xf numFmtId="0" fontId="0" fillId="5" borderId="0" xfId="0" applyFill="1" applyAlignment="1">
      <alignment vertical="center" wrapText="1"/>
    </xf>
    <xf numFmtId="0" fontId="0" fillId="2" borderId="0" xfId="0" applyFill="1" applyAlignment="1">
      <alignment vertical="center" wrapText="1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43" fontId="2" fillId="2" borderId="9" xfId="1" applyNumberFormat="1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5" fillId="6" borderId="7" xfId="0" applyFont="1" applyFill="1" applyBorder="1" applyAlignment="1">
      <alignment horizontal="center" vertical="center" wrapText="1"/>
    </xf>
    <xf numFmtId="43" fontId="3" fillId="6" borderId="3" xfId="1" applyNumberFormat="1" applyFont="1" applyFill="1" applyBorder="1" applyAlignment="1">
      <alignment vertical="center"/>
    </xf>
    <xf numFmtId="43" fontId="3" fillId="2" borderId="3" xfId="1" applyNumberFormat="1" applyFont="1" applyFill="1" applyBorder="1" applyAlignment="1">
      <alignment vertical="center" wrapText="1"/>
    </xf>
    <xf numFmtId="165" fontId="8" fillId="2" borderId="2" xfId="0" applyNumberFormat="1" applyFont="1" applyFill="1" applyBorder="1" applyAlignment="1">
      <alignment horizontal="center" vertical="center"/>
    </xf>
    <xf numFmtId="43" fontId="0" fillId="3" borderId="3" xfId="0" applyNumberForma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6" fillId="0" borderId="0" xfId="0" applyFont="1"/>
    <xf numFmtId="0" fontId="6" fillId="2" borderId="6" xfId="0" applyFont="1" applyFill="1" applyBorder="1" applyAlignment="1">
      <alignment vertical="center"/>
    </xf>
    <xf numFmtId="14" fontId="6" fillId="2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43" fontId="14" fillId="2" borderId="6" xfId="1" applyNumberFormat="1" applyFont="1" applyFill="1" applyBorder="1" applyAlignment="1">
      <alignment horizontal="center" vertical="center"/>
    </xf>
    <xf numFmtId="43" fontId="6" fillId="2" borderId="6" xfId="1" applyNumberFormat="1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3" fontId="8" fillId="2" borderId="2" xfId="1" applyNumberFormat="1" applyFont="1" applyFill="1" applyBorder="1" applyAlignment="1">
      <alignment horizontal="center" vertical="center"/>
    </xf>
    <xf numFmtId="43" fontId="13" fillId="2" borderId="2" xfId="1" applyNumberFormat="1" applyFont="1" applyFill="1" applyBorder="1" applyAlignment="1">
      <alignment horizontal="center" vertical="center"/>
    </xf>
    <xf numFmtId="165" fontId="13" fillId="2" borderId="2" xfId="0" applyNumberFormat="1" applyFont="1" applyFill="1" applyBorder="1" applyAlignment="1">
      <alignment horizontal="center" vertical="center"/>
    </xf>
    <xf numFmtId="43" fontId="13" fillId="2" borderId="9" xfId="1" applyNumberFormat="1" applyFont="1" applyFill="1" applyBorder="1" applyAlignment="1">
      <alignment horizontal="center" vertical="center"/>
    </xf>
    <xf numFmtId="43" fontId="13" fillId="2" borderId="5" xfId="1" applyNumberFormat="1" applyFont="1" applyFill="1" applyBorder="1" applyAlignment="1">
      <alignment horizontal="center" vertical="center"/>
    </xf>
    <xf numFmtId="165" fontId="13" fillId="2" borderId="9" xfId="0" applyNumberFormat="1" applyFont="1" applyFill="1" applyBorder="1" applyAlignment="1">
      <alignment horizontal="center" vertical="center"/>
    </xf>
    <xf numFmtId="165" fontId="13" fillId="2" borderId="5" xfId="0" applyNumberFormat="1" applyFont="1" applyFill="1" applyBorder="1" applyAlignment="1">
      <alignment horizontal="center" vertical="center"/>
    </xf>
    <xf numFmtId="43" fontId="11" fillId="2" borderId="2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I112"/>
  <sheetViews>
    <sheetView tabSelected="1" zoomScaleNormal="100" workbookViewId="0">
      <pane ySplit="6" topLeftCell="A7" activePane="bottomLeft" state="frozen"/>
      <selection pane="bottomLeft" activeCell="B89" sqref="B89"/>
    </sheetView>
  </sheetViews>
  <sheetFormatPr defaultColWidth="9" defaultRowHeight="15" x14ac:dyDescent="0.25"/>
  <cols>
    <col min="1" max="1" width="14.5703125" style="3" customWidth="1"/>
    <col min="2" max="2" width="30.7109375" style="3" customWidth="1"/>
    <col min="3" max="3" width="13.140625" style="3" bestFit="1" customWidth="1"/>
    <col min="4" max="4" width="9.85546875" style="3" customWidth="1"/>
    <col min="5" max="5" width="15.140625" style="3" customWidth="1"/>
    <col min="6" max="6" width="13.28515625" style="3" customWidth="1"/>
    <col min="7" max="7" width="17" style="3" customWidth="1"/>
    <col min="8" max="8" width="14.7109375" style="11" customWidth="1"/>
    <col min="9" max="9" width="12.85546875" style="11" customWidth="1"/>
    <col min="10" max="10" width="13.85546875" style="3" customWidth="1"/>
    <col min="11" max="11" width="15.140625" style="3" customWidth="1"/>
    <col min="12" max="12" width="14" style="3" customWidth="1"/>
    <col min="13" max="13" width="23.85546875" style="3" customWidth="1"/>
    <col min="14" max="14" width="15.5703125" style="3" bestFit="1" customWidth="1"/>
    <col min="15" max="15" width="8" style="3" bestFit="1" customWidth="1"/>
    <col min="16" max="16" width="21.5703125" style="3" hidden="1" customWidth="1"/>
    <col min="17" max="17" width="15" style="3" hidden="1" customWidth="1"/>
    <col min="18" max="18" width="22.7109375" style="3" hidden="1" customWidth="1"/>
    <col min="19" max="19" width="33.7109375" style="3" hidden="1" customWidth="1"/>
    <col min="20" max="20" width="15.42578125" style="3" hidden="1" customWidth="1"/>
    <col min="21" max="21" width="20.5703125" style="3" bestFit="1" customWidth="1"/>
    <col min="22" max="22" width="101.140625" style="3" bestFit="1" customWidth="1"/>
    <col min="23" max="23" width="16.85546875" style="3" bestFit="1" customWidth="1"/>
    <col min="24" max="35" width="9" style="32"/>
    <col min="36" max="36" width="17.5703125" style="32" customWidth="1"/>
    <col min="37" max="37" width="13.7109375" style="32" customWidth="1"/>
    <col min="38" max="38" width="18.42578125" style="32" customWidth="1"/>
    <col min="39" max="87" width="9" style="32"/>
    <col min="88" max="16384" width="9" style="3"/>
  </cols>
  <sheetData>
    <row r="1" spans="1:87" ht="15.75" thickBot="1" x14ac:dyDescent="0.3">
      <c r="A1" s="55" t="s">
        <v>175</v>
      </c>
      <c r="B1" s="2" t="s">
        <v>167</v>
      </c>
      <c r="E1" s="4"/>
      <c r="F1" s="4"/>
      <c r="G1" s="4"/>
      <c r="H1" s="5"/>
      <c r="I1" s="5"/>
    </row>
    <row r="2" spans="1:87" ht="21.75" thickBot="1" x14ac:dyDescent="0.3">
      <c r="A2" s="55" t="s">
        <v>176</v>
      </c>
      <c r="B2" t="s">
        <v>179</v>
      </c>
      <c r="C2" s="45"/>
      <c r="D2" s="47"/>
      <c r="E2" s="31"/>
      <c r="F2" s="48"/>
      <c r="G2" s="46"/>
      <c r="H2" s="5"/>
      <c r="I2" s="4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87" ht="21" x14ac:dyDescent="0.25">
      <c r="A3" s="55" t="s">
        <v>177</v>
      </c>
      <c r="B3" t="s">
        <v>180</v>
      </c>
      <c r="C3" s="45"/>
      <c r="D3" s="45"/>
      <c r="F3" s="54"/>
      <c r="G3" s="46"/>
      <c r="H3" s="5"/>
      <c r="I3" s="4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87" ht="15.75" thickBot="1" x14ac:dyDescent="0.3">
      <c r="A4" s="55" t="s">
        <v>178</v>
      </c>
      <c r="B4" t="s">
        <v>180</v>
      </c>
      <c r="C4" s="6"/>
      <c r="D4" s="6"/>
      <c r="E4" s="6"/>
      <c r="F4" s="6"/>
      <c r="G4" s="6"/>
      <c r="H4" s="7"/>
      <c r="I4" s="7"/>
      <c r="J4" s="6"/>
      <c r="K4" s="6"/>
      <c r="L4" s="6"/>
      <c r="P4" s="6"/>
      <c r="Q4" s="8"/>
      <c r="R4" s="8"/>
      <c r="S4" s="8"/>
      <c r="T4" s="8"/>
      <c r="U4" s="8"/>
      <c r="V4" s="8"/>
    </row>
    <row r="5" spans="1:87" s="44" customFormat="1" ht="43.9" customHeight="1" x14ac:dyDescent="0.25">
      <c r="A5" s="56" t="s">
        <v>181</v>
      </c>
      <c r="B5" s="14" t="s">
        <v>182</v>
      </c>
      <c r="C5" s="57" t="s">
        <v>183</v>
      </c>
      <c r="D5" s="58" t="s">
        <v>184</v>
      </c>
      <c r="E5" s="14" t="s">
        <v>185</v>
      </c>
      <c r="F5" s="14" t="s">
        <v>186</v>
      </c>
      <c r="G5" s="58" t="s">
        <v>187</v>
      </c>
      <c r="H5" s="59" t="s">
        <v>188</v>
      </c>
      <c r="I5" s="60" t="s">
        <v>0</v>
      </c>
      <c r="J5" s="14" t="s">
        <v>189</v>
      </c>
      <c r="K5" s="14" t="s">
        <v>190</v>
      </c>
      <c r="L5" s="21" t="s">
        <v>191</v>
      </c>
      <c r="M5" s="21" t="s">
        <v>192</v>
      </c>
      <c r="N5" s="21" t="s">
        <v>193</v>
      </c>
      <c r="O5" s="21"/>
      <c r="P5" s="21" t="s">
        <v>1</v>
      </c>
      <c r="Q5" s="21" t="s">
        <v>0</v>
      </c>
      <c r="R5" s="21" t="s">
        <v>5</v>
      </c>
      <c r="S5" s="21" t="s">
        <v>3</v>
      </c>
      <c r="T5" s="21" t="s">
        <v>4</v>
      </c>
      <c r="U5" s="14" t="s">
        <v>194</v>
      </c>
      <c r="V5" s="14" t="s">
        <v>2</v>
      </c>
      <c r="W5" s="14" t="s">
        <v>145</v>
      </c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  <c r="CA5" s="43"/>
      <c r="CB5" s="43"/>
      <c r="CC5" s="43"/>
      <c r="CD5" s="43"/>
      <c r="CE5" s="43"/>
      <c r="CF5" s="43"/>
      <c r="CG5" s="43"/>
      <c r="CH5" s="43"/>
      <c r="CI5" s="43"/>
    </row>
    <row r="6" spans="1:87" ht="15.75" thickBot="1" x14ac:dyDescent="0.3">
      <c r="A6" s="18"/>
      <c r="B6" s="10"/>
      <c r="C6" s="10"/>
      <c r="D6" s="10"/>
      <c r="E6" s="10"/>
      <c r="F6" s="10"/>
      <c r="G6" s="10"/>
      <c r="H6" s="38">
        <v>0.18</v>
      </c>
      <c r="I6" s="10"/>
      <c r="J6" s="38">
        <v>0.01</v>
      </c>
      <c r="K6" s="38">
        <v>0.05</v>
      </c>
      <c r="L6" s="38">
        <v>0.1</v>
      </c>
      <c r="M6" s="38">
        <v>0.18</v>
      </c>
      <c r="N6" s="10"/>
      <c r="O6" s="39"/>
      <c r="P6" s="10"/>
      <c r="Q6" s="10"/>
      <c r="R6" s="38">
        <v>0.01</v>
      </c>
      <c r="S6" s="38">
        <v>0.05</v>
      </c>
      <c r="T6" s="10"/>
      <c r="U6" s="10"/>
      <c r="V6" s="10"/>
      <c r="W6" s="18"/>
    </row>
    <row r="7" spans="1:87" s="12" customFormat="1" x14ac:dyDescent="0.25">
      <c r="A7" s="35">
        <v>54347</v>
      </c>
      <c r="B7" s="36"/>
      <c r="C7" s="36"/>
      <c r="D7" s="36"/>
      <c r="E7" s="36"/>
      <c r="F7" s="36"/>
      <c r="G7" s="36"/>
      <c r="H7" s="37"/>
      <c r="I7" s="36"/>
      <c r="J7" s="37"/>
      <c r="K7" s="37"/>
      <c r="L7" s="37"/>
      <c r="M7" s="37"/>
      <c r="N7" s="36"/>
      <c r="O7" s="49">
        <f>A7</f>
        <v>54347</v>
      </c>
      <c r="P7" s="36"/>
      <c r="Q7" s="36"/>
      <c r="R7" s="37"/>
      <c r="S7" s="37"/>
      <c r="T7" s="36"/>
      <c r="U7" s="36"/>
      <c r="V7" s="36"/>
      <c r="W7" s="35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</row>
    <row r="8" spans="1:87" ht="45.75" customHeight="1" x14ac:dyDescent="0.25">
      <c r="A8" s="15">
        <v>54347</v>
      </c>
      <c r="B8" s="23" t="s">
        <v>113</v>
      </c>
      <c r="C8" s="1"/>
      <c r="D8" s="24"/>
      <c r="E8" s="9"/>
      <c r="F8" s="9"/>
      <c r="G8" s="9"/>
      <c r="H8" s="9"/>
      <c r="I8" s="9"/>
      <c r="J8" s="9"/>
      <c r="K8" s="9"/>
      <c r="L8" s="9"/>
      <c r="M8" s="9"/>
      <c r="N8" s="9"/>
      <c r="O8" s="25"/>
      <c r="P8" s="9" t="s">
        <v>11</v>
      </c>
      <c r="Q8" s="9"/>
      <c r="R8" s="9">
        <f t="shared" ref="R8:R13" si="0">Q8*$R$6</f>
        <v>0</v>
      </c>
      <c r="S8" s="9">
        <v>0</v>
      </c>
      <c r="T8" s="9">
        <v>0</v>
      </c>
      <c r="U8" s="9">
        <v>99000</v>
      </c>
      <c r="V8" s="17" t="s">
        <v>9</v>
      </c>
      <c r="W8" s="15"/>
    </row>
    <row r="9" spans="1:87" ht="27" customHeight="1" x14ac:dyDescent="0.25">
      <c r="A9" s="15">
        <v>54347</v>
      </c>
      <c r="B9" s="23" t="s">
        <v>113</v>
      </c>
      <c r="C9" s="1"/>
      <c r="D9" s="24"/>
      <c r="E9" s="9"/>
      <c r="F9" s="9"/>
      <c r="G9" s="9">
        <f>ROUND(E9-F9,)</f>
        <v>0</v>
      </c>
      <c r="H9" s="9">
        <f>ROUND(G9*$H$6,0)</f>
        <v>0</v>
      </c>
      <c r="I9" s="9">
        <f>G9+H9</f>
        <v>0</v>
      </c>
      <c r="J9" s="9">
        <f>ROUND(G9*$J$6,)</f>
        <v>0</v>
      </c>
      <c r="K9" s="9">
        <f>(G9*10%)</f>
        <v>0</v>
      </c>
      <c r="L9" s="9">
        <v>0</v>
      </c>
      <c r="M9" s="9">
        <f>H9</f>
        <v>0</v>
      </c>
      <c r="N9" s="9">
        <f>ROUND(I9-SUM(J9:M9),0)</f>
        <v>0</v>
      </c>
      <c r="O9" s="25"/>
      <c r="P9" s="9" t="s">
        <v>12</v>
      </c>
      <c r="Q9" s="9"/>
      <c r="R9" s="9">
        <f t="shared" si="0"/>
        <v>0</v>
      </c>
      <c r="S9" s="9">
        <v>0</v>
      </c>
      <c r="T9" s="9">
        <v>0</v>
      </c>
      <c r="U9" s="9">
        <v>99000</v>
      </c>
      <c r="V9" s="17" t="s">
        <v>10</v>
      </c>
      <c r="W9" s="15"/>
    </row>
    <row r="10" spans="1:87" ht="27" customHeight="1" x14ac:dyDescent="0.25">
      <c r="A10" s="15">
        <v>54350</v>
      </c>
      <c r="B10" s="23" t="s">
        <v>114</v>
      </c>
      <c r="C10" s="1"/>
      <c r="D10" s="24"/>
      <c r="E10" s="9"/>
      <c r="F10" s="9"/>
      <c r="G10" s="9"/>
      <c r="H10" s="9"/>
      <c r="I10" s="9"/>
      <c r="J10" s="9"/>
      <c r="K10" s="9"/>
      <c r="L10" s="9"/>
      <c r="M10" s="9"/>
      <c r="N10" s="9">
        <f>E10</f>
        <v>0</v>
      </c>
      <c r="O10" s="25"/>
      <c r="P10" s="9" t="s">
        <v>13</v>
      </c>
      <c r="Q10" s="9"/>
      <c r="R10" s="9">
        <f t="shared" si="0"/>
        <v>0</v>
      </c>
      <c r="S10" s="9">
        <v>0</v>
      </c>
      <c r="T10" s="9">
        <v>0</v>
      </c>
      <c r="U10" s="9">
        <v>99000</v>
      </c>
      <c r="V10" s="17" t="s">
        <v>14</v>
      </c>
      <c r="W10" s="15"/>
    </row>
    <row r="11" spans="1:87" ht="27" customHeight="1" x14ac:dyDescent="0.25">
      <c r="A11" s="15">
        <v>54350</v>
      </c>
      <c r="B11" s="23" t="s">
        <v>114</v>
      </c>
      <c r="C11" s="9"/>
      <c r="D11" s="9"/>
      <c r="E11" s="9"/>
      <c r="F11" s="9"/>
      <c r="G11" s="9">
        <f t="shared" ref="G11" si="1">ROUND(E11-F11,)</f>
        <v>0</v>
      </c>
      <c r="H11" s="9">
        <f t="shared" ref="H11" si="2">ROUND(G11*$H$6,0)</f>
        <v>0</v>
      </c>
      <c r="I11" s="9">
        <f t="shared" ref="I11" si="3">G11+H11</f>
        <v>0</v>
      </c>
      <c r="J11" s="9">
        <f t="shared" ref="J11" si="4">ROUND(G11*$J$6,)</f>
        <v>0</v>
      </c>
      <c r="K11" s="9">
        <f t="shared" ref="K11" si="5">ROUND(G11*$K$6,)</f>
        <v>0</v>
      </c>
      <c r="L11" s="9">
        <f>ROUND(G11*$L$6,)</f>
        <v>0</v>
      </c>
      <c r="M11" s="9">
        <f t="shared" ref="M11:M14" si="6">H11</f>
        <v>0</v>
      </c>
      <c r="N11" s="9">
        <f>ROUND(I11-SUM(J11:M11),0)</f>
        <v>0</v>
      </c>
      <c r="O11" s="25"/>
      <c r="P11" s="9" t="s">
        <v>15</v>
      </c>
      <c r="Q11" s="9"/>
      <c r="R11" s="9">
        <f t="shared" si="0"/>
        <v>0</v>
      </c>
      <c r="S11" s="9">
        <v>0</v>
      </c>
      <c r="T11" s="9">
        <v>0</v>
      </c>
      <c r="U11" s="9">
        <v>99000</v>
      </c>
      <c r="V11" s="17" t="s">
        <v>16</v>
      </c>
      <c r="W11" s="15"/>
    </row>
    <row r="12" spans="1:87" ht="27" customHeight="1" x14ac:dyDescent="0.25">
      <c r="A12" s="34">
        <v>54354</v>
      </c>
      <c r="B12" s="23" t="s">
        <v>17</v>
      </c>
      <c r="C12" s="1">
        <v>44991</v>
      </c>
      <c r="D12" s="24">
        <v>3</v>
      </c>
      <c r="E12" s="9">
        <f>(116.6*3500)*60%</f>
        <v>244860</v>
      </c>
      <c r="F12" s="9">
        <v>22800</v>
      </c>
      <c r="G12" s="9">
        <f>ROUND(E12-F12,)</f>
        <v>222060</v>
      </c>
      <c r="H12" s="9">
        <f>ROUND(G12*$H$6,0)</f>
        <v>39971</v>
      </c>
      <c r="I12" s="9">
        <f>G12+H12</f>
        <v>262031</v>
      </c>
      <c r="J12" s="9">
        <f>ROUND(G12*$J$6,)</f>
        <v>2221</v>
      </c>
      <c r="K12" s="9">
        <v>0</v>
      </c>
      <c r="L12" s="9">
        <f>(G12*10%)</f>
        <v>22206</v>
      </c>
      <c r="M12" s="50">
        <f t="shared" si="6"/>
        <v>39971</v>
      </c>
      <c r="N12" s="9">
        <f>ROUND(I12-SUM(J12:M12),0)</f>
        <v>197633</v>
      </c>
      <c r="O12" s="25"/>
      <c r="P12" s="9" t="s">
        <v>19</v>
      </c>
      <c r="Q12" s="9">
        <v>100000</v>
      </c>
      <c r="R12" s="9">
        <f t="shared" si="0"/>
        <v>1000</v>
      </c>
      <c r="S12" s="9">
        <v>0</v>
      </c>
      <c r="T12" s="9">
        <v>0</v>
      </c>
      <c r="U12" s="9">
        <f t="shared" ref="U12:U14" si="7">Q12-R12</f>
        <v>99000</v>
      </c>
      <c r="V12" s="17" t="s">
        <v>20</v>
      </c>
      <c r="W12" s="15"/>
    </row>
    <row r="13" spans="1:87" ht="27" customHeight="1" x14ac:dyDescent="0.25">
      <c r="A13" s="34">
        <v>54354</v>
      </c>
      <c r="B13" s="23" t="s">
        <v>171</v>
      </c>
      <c r="C13" s="1">
        <v>45029</v>
      </c>
      <c r="D13" s="24">
        <v>2</v>
      </c>
      <c r="E13" s="9">
        <v>170888</v>
      </c>
      <c r="F13" s="9">
        <v>134250</v>
      </c>
      <c r="G13" s="9">
        <f>ROUND(E13-F13,)</f>
        <v>36638</v>
      </c>
      <c r="H13" s="9">
        <f>ROUND(G13*$H$6,0)</f>
        <v>6595</v>
      </c>
      <c r="I13" s="9">
        <f>G13+H13</f>
        <v>43233</v>
      </c>
      <c r="J13" s="9">
        <f>ROUND(G13*$J$6,)</f>
        <v>366</v>
      </c>
      <c r="K13" s="9">
        <f>G13*K6</f>
        <v>1831.9</v>
      </c>
      <c r="L13" s="9">
        <f>(G13*10%)</f>
        <v>3663.8</v>
      </c>
      <c r="M13" s="50">
        <f t="shared" si="6"/>
        <v>6595</v>
      </c>
      <c r="N13" s="9">
        <f>ROUND(I13-SUM(J13:M13),0)</f>
        <v>30776</v>
      </c>
      <c r="O13" s="25"/>
      <c r="P13" s="9" t="s">
        <v>21</v>
      </c>
      <c r="Q13" s="9">
        <v>100000</v>
      </c>
      <c r="R13" s="9">
        <f t="shared" si="0"/>
        <v>1000</v>
      </c>
      <c r="S13" s="9">
        <v>0</v>
      </c>
      <c r="T13" s="9">
        <v>0</v>
      </c>
      <c r="U13" s="9">
        <f t="shared" si="7"/>
        <v>99000</v>
      </c>
      <c r="V13" s="17" t="s">
        <v>22</v>
      </c>
      <c r="W13" s="15"/>
    </row>
    <row r="14" spans="1:87" ht="27" customHeight="1" x14ac:dyDescent="0.25">
      <c r="A14" s="34">
        <v>54354</v>
      </c>
      <c r="B14" s="23" t="s">
        <v>17</v>
      </c>
      <c r="C14" s="1">
        <v>45029</v>
      </c>
      <c r="D14" s="24">
        <v>1</v>
      </c>
      <c r="E14" s="9">
        <f>(116.6*3500)*20%</f>
        <v>81620</v>
      </c>
      <c r="F14" s="9">
        <v>0</v>
      </c>
      <c r="G14" s="9">
        <f>ROUND(E14-F14,)</f>
        <v>81620</v>
      </c>
      <c r="H14" s="9">
        <f>ROUND(G14*$H$6,0)</f>
        <v>14692</v>
      </c>
      <c r="I14" s="9">
        <f>G14+H14</f>
        <v>96312</v>
      </c>
      <c r="J14" s="9">
        <f>ROUND(G14*$J$6,)</f>
        <v>816</v>
      </c>
      <c r="K14" s="9">
        <v>0</v>
      </c>
      <c r="L14" s="9">
        <f>(G14*10%)</f>
        <v>8162</v>
      </c>
      <c r="M14" s="50">
        <f t="shared" si="6"/>
        <v>14692</v>
      </c>
      <c r="N14" s="9">
        <f>ROUND(I14-SUM(J14:M14),0)</f>
        <v>72642</v>
      </c>
      <c r="O14" s="25"/>
      <c r="P14" s="9" t="s">
        <v>23</v>
      </c>
      <c r="Q14" s="9">
        <v>30409</v>
      </c>
      <c r="R14" s="9">
        <v>0</v>
      </c>
      <c r="S14" s="9">
        <v>0</v>
      </c>
      <c r="T14" s="9">
        <v>0</v>
      </c>
      <c r="U14" s="9">
        <f t="shared" si="7"/>
        <v>30409</v>
      </c>
      <c r="V14" s="17" t="s">
        <v>24</v>
      </c>
      <c r="W14" s="15"/>
    </row>
    <row r="15" spans="1:87" ht="27" customHeight="1" x14ac:dyDescent="0.25">
      <c r="A15" s="34">
        <v>54354</v>
      </c>
      <c r="B15" s="23" t="s">
        <v>18</v>
      </c>
      <c r="C15" s="1"/>
      <c r="D15" s="24">
        <v>3</v>
      </c>
      <c r="E15" s="50">
        <v>39971</v>
      </c>
      <c r="F15" s="9"/>
      <c r="G15" s="9"/>
      <c r="H15" s="9">
        <f>E15</f>
        <v>39971</v>
      </c>
      <c r="I15" s="9"/>
      <c r="J15" s="9"/>
      <c r="K15" s="9"/>
      <c r="L15" s="9"/>
      <c r="M15" s="9"/>
      <c r="N15" s="9">
        <f>E15</f>
        <v>39971</v>
      </c>
      <c r="O15" s="25"/>
      <c r="P15" s="9" t="s">
        <v>115</v>
      </c>
      <c r="Q15" s="9">
        <v>72642</v>
      </c>
      <c r="R15" s="9">
        <v>0</v>
      </c>
      <c r="S15" s="9">
        <v>0</v>
      </c>
      <c r="T15" s="9">
        <v>0</v>
      </c>
      <c r="U15" s="9">
        <v>72642</v>
      </c>
      <c r="V15" s="17" t="s">
        <v>25</v>
      </c>
      <c r="W15" s="15"/>
    </row>
    <row r="16" spans="1:87" ht="27" customHeight="1" x14ac:dyDescent="0.25">
      <c r="A16" s="34">
        <v>54354</v>
      </c>
      <c r="B16" s="23" t="s">
        <v>18</v>
      </c>
      <c r="C16" s="1"/>
      <c r="D16" s="24">
        <v>2</v>
      </c>
      <c r="E16" s="50">
        <f>M13</f>
        <v>6595</v>
      </c>
      <c r="F16" s="9"/>
      <c r="G16" s="9"/>
      <c r="H16" s="9">
        <f>E16</f>
        <v>6595</v>
      </c>
      <c r="I16" s="9"/>
      <c r="J16" s="9"/>
      <c r="K16" s="9"/>
      <c r="L16" s="9"/>
      <c r="M16" s="9"/>
      <c r="N16" s="9">
        <f>E16</f>
        <v>6595</v>
      </c>
      <c r="O16" s="25"/>
      <c r="P16" s="9" t="s">
        <v>116</v>
      </c>
      <c r="Q16" s="9">
        <v>46566</v>
      </c>
      <c r="R16" s="9"/>
      <c r="S16" s="9"/>
      <c r="T16" s="9"/>
      <c r="U16" s="9">
        <v>46566</v>
      </c>
      <c r="V16" s="17" t="s">
        <v>26</v>
      </c>
      <c r="W16" s="15"/>
    </row>
    <row r="17" spans="1:87" ht="27" customHeight="1" x14ac:dyDescent="0.25">
      <c r="A17" s="34">
        <v>54354</v>
      </c>
      <c r="B17" s="23" t="s">
        <v>18</v>
      </c>
      <c r="C17" s="1"/>
      <c r="D17" s="24">
        <v>1</v>
      </c>
      <c r="E17" s="50">
        <f>M14</f>
        <v>14692</v>
      </c>
      <c r="F17" s="9"/>
      <c r="G17" s="9"/>
      <c r="H17" s="9">
        <f>E17</f>
        <v>14692</v>
      </c>
      <c r="I17" s="9"/>
      <c r="J17" s="9"/>
      <c r="K17" s="9"/>
      <c r="L17" s="9"/>
      <c r="M17" s="9"/>
      <c r="N17" s="9">
        <f>E17</f>
        <v>14692</v>
      </c>
      <c r="O17" s="25"/>
      <c r="P17" s="9" t="s">
        <v>146</v>
      </c>
      <c r="Q17" s="9">
        <v>14692</v>
      </c>
      <c r="R17" s="9"/>
      <c r="S17" s="9"/>
      <c r="T17" s="9"/>
      <c r="U17" s="9">
        <v>14692</v>
      </c>
      <c r="V17" s="17" t="s">
        <v>141</v>
      </c>
      <c r="W17" s="15"/>
    </row>
    <row r="18" spans="1:87" ht="28.5" x14ac:dyDescent="0.25">
      <c r="A18" s="34">
        <v>54354</v>
      </c>
      <c r="B18" s="23" t="s">
        <v>171</v>
      </c>
      <c r="C18" s="1">
        <v>45089</v>
      </c>
      <c r="D18" s="24">
        <v>17</v>
      </c>
      <c r="E18" s="9">
        <f>20%*3417771</f>
        <v>683554.20000000007</v>
      </c>
      <c r="F18" s="9">
        <v>223132</v>
      </c>
      <c r="G18" s="9">
        <f>ROUND(E18-F18,)</f>
        <v>460422</v>
      </c>
      <c r="H18" s="9">
        <f>ROUND(G18*$H$6,0)</f>
        <v>82876</v>
      </c>
      <c r="I18" s="9">
        <f>G18+H18</f>
        <v>543298</v>
      </c>
      <c r="J18" s="9">
        <f>ROUND(G18*$J$6,)</f>
        <v>4604</v>
      </c>
      <c r="K18" s="9">
        <f>G18*5%</f>
        <v>23021.100000000002</v>
      </c>
      <c r="L18" s="9">
        <f>(G18*10%)</f>
        <v>46042.200000000004</v>
      </c>
      <c r="M18" s="9">
        <f t="shared" ref="M18" si="8">H18</f>
        <v>82876</v>
      </c>
      <c r="N18" s="9">
        <f>ROUND(I18-SUM(J18:M18),0)</f>
        <v>386755</v>
      </c>
      <c r="O18" s="25" t="s">
        <v>156</v>
      </c>
      <c r="P18" s="9"/>
      <c r="Q18" s="9"/>
      <c r="R18" s="9"/>
      <c r="S18" s="9"/>
      <c r="T18" s="9"/>
      <c r="U18" s="9"/>
      <c r="V18" s="17"/>
      <c r="W18" s="15"/>
    </row>
    <row r="19" spans="1:87" ht="27" customHeight="1" x14ac:dyDescent="0.25">
      <c r="A19" s="34">
        <v>54667</v>
      </c>
      <c r="B19" s="23" t="s">
        <v>27</v>
      </c>
      <c r="C19" s="1">
        <v>44991</v>
      </c>
      <c r="D19" s="24">
        <v>1</v>
      </c>
      <c r="E19" s="9">
        <f>2204236*5%</f>
        <v>110211.8</v>
      </c>
      <c r="F19" s="9">
        <v>68178</v>
      </c>
      <c r="G19" s="9">
        <f>ROUND(E19-F19,)</f>
        <v>42034</v>
      </c>
      <c r="H19" s="9">
        <f>ROUND(G19*$H$6,0)</f>
        <v>7566</v>
      </c>
      <c r="I19" s="9">
        <f>G19+H19</f>
        <v>49600</v>
      </c>
      <c r="J19" s="9">
        <f>ROUND(G19*$J$6,)</f>
        <v>420</v>
      </c>
      <c r="K19" s="9">
        <f>(G19*$K$6)</f>
        <v>2101.7000000000003</v>
      </c>
      <c r="L19" s="9">
        <f>ROUND(G19*$L$6,)</f>
        <v>4203</v>
      </c>
      <c r="M19" s="50">
        <f t="shared" ref="M19:M22" si="9">H19</f>
        <v>7566</v>
      </c>
      <c r="N19" s="9">
        <f t="shared" ref="N19:N22" si="10">ROUND(I19-SUM(J19:M19),0)</f>
        <v>35309</v>
      </c>
      <c r="O19" s="25"/>
      <c r="P19" s="9" t="s">
        <v>30</v>
      </c>
      <c r="Q19" s="9">
        <v>35309</v>
      </c>
      <c r="R19" s="9">
        <v>0</v>
      </c>
      <c r="S19" s="9">
        <v>0</v>
      </c>
      <c r="T19" s="9">
        <v>0</v>
      </c>
      <c r="U19" s="9">
        <f t="shared" ref="U19:U20" si="11">Q19-R19</f>
        <v>35309</v>
      </c>
      <c r="V19" s="17" t="s">
        <v>31</v>
      </c>
      <c r="W19" s="15"/>
    </row>
    <row r="20" spans="1:87" ht="27" customHeight="1" x14ac:dyDescent="0.25">
      <c r="A20" s="34">
        <v>54667</v>
      </c>
      <c r="B20" s="23" t="s">
        <v>27</v>
      </c>
      <c r="C20" s="1">
        <v>45054</v>
      </c>
      <c r="D20" s="24">
        <v>7</v>
      </c>
      <c r="E20" s="9">
        <v>220423</v>
      </c>
      <c r="F20" s="9">
        <v>76000</v>
      </c>
      <c r="G20" s="9">
        <f>ROUND(E20-F20,)</f>
        <v>144423</v>
      </c>
      <c r="H20" s="9">
        <f>ROUND(G20*$H$6,0)</f>
        <v>25996</v>
      </c>
      <c r="I20" s="9">
        <f>G20+H20</f>
        <v>170419</v>
      </c>
      <c r="J20" s="9">
        <f>ROUND(G20*$J$6,)</f>
        <v>1444</v>
      </c>
      <c r="K20" s="9">
        <f>(G20*$K$6)</f>
        <v>7221.1500000000005</v>
      </c>
      <c r="L20" s="9">
        <f>ROUND(G20*$L$6,)</f>
        <v>14442</v>
      </c>
      <c r="M20" s="13">
        <f t="shared" si="9"/>
        <v>25996</v>
      </c>
      <c r="N20" s="9">
        <f t="shared" si="10"/>
        <v>121316</v>
      </c>
      <c r="O20" s="25"/>
      <c r="P20" s="9" t="s">
        <v>32</v>
      </c>
      <c r="Q20" s="9">
        <v>7566</v>
      </c>
      <c r="R20" s="9">
        <v>0</v>
      </c>
      <c r="S20" s="9">
        <v>0</v>
      </c>
      <c r="T20" s="9">
        <v>0</v>
      </c>
      <c r="U20" s="9">
        <f t="shared" si="11"/>
        <v>7566</v>
      </c>
      <c r="V20" s="17" t="s">
        <v>33</v>
      </c>
      <c r="W20" s="15"/>
    </row>
    <row r="21" spans="1:87" ht="27" customHeight="1" x14ac:dyDescent="0.25">
      <c r="A21" s="34">
        <v>54667</v>
      </c>
      <c r="B21" s="23" t="s">
        <v>18</v>
      </c>
      <c r="C21" s="1"/>
      <c r="D21" s="24">
        <v>1</v>
      </c>
      <c r="E21" s="50">
        <f>H19</f>
        <v>7566</v>
      </c>
      <c r="F21" s="9"/>
      <c r="G21" s="9"/>
      <c r="H21" s="9"/>
      <c r="I21" s="9"/>
      <c r="J21" s="9"/>
      <c r="K21" s="9"/>
      <c r="L21" s="9"/>
      <c r="M21" s="9"/>
      <c r="N21" s="9">
        <f>E21</f>
        <v>7566</v>
      </c>
      <c r="O21" s="25"/>
      <c r="P21" s="9" t="s">
        <v>28</v>
      </c>
      <c r="Q21" s="9">
        <v>121317</v>
      </c>
      <c r="R21" s="9">
        <v>0</v>
      </c>
      <c r="S21" s="9">
        <v>0</v>
      </c>
      <c r="T21" s="9">
        <v>0</v>
      </c>
      <c r="U21" s="9">
        <v>121317</v>
      </c>
      <c r="V21" s="17" t="s">
        <v>29</v>
      </c>
      <c r="W21" s="15"/>
    </row>
    <row r="22" spans="1:87" ht="27" customHeight="1" x14ac:dyDescent="0.25">
      <c r="A22" s="34">
        <v>54667</v>
      </c>
      <c r="B22" s="23" t="s">
        <v>27</v>
      </c>
      <c r="C22" s="1">
        <v>45077</v>
      </c>
      <c r="D22" s="24">
        <v>14</v>
      </c>
      <c r="E22" s="9">
        <v>220423</v>
      </c>
      <c r="F22" s="9">
        <v>27991</v>
      </c>
      <c r="G22" s="9">
        <f>ROUND(E22-F22,)</f>
        <v>192432</v>
      </c>
      <c r="H22" s="9">
        <f>ROUND(G22*$H$6,0)</f>
        <v>34638</v>
      </c>
      <c r="I22" s="9">
        <f>G22+H22</f>
        <v>227070</v>
      </c>
      <c r="J22" s="9">
        <f>ROUND(G22*$J$6,)</f>
        <v>1924</v>
      </c>
      <c r="K22" s="9">
        <f>(G22*$K$6)</f>
        <v>9621.6</v>
      </c>
      <c r="L22" s="9">
        <f>ROUND(G22*$L$6,)</f>
        <v>19243</v>
      </c>
      <c r="M22" s="13">
        <f t="shared" si="9"/>
        <v>34638</v>
      </c>
      <c r="N22" s="9">
        <f t="shared" si="10"/>
        <v>161643</v>
      </c>
      <c r="O22" s="25"/>
      <c r="P22" s="9" t="s">
        <v>117</v>
      </c>
      <c r="Q22" s="9">
        <v>161643</v>
      </c>
      <c r="R22" s="9"/>
      <c r="S22" s="9"/>
      <c r="T22" s="9"/>
      <c r="U22" s="9">
        <v>161643</v>
      </c>
      <c r="V22" s="17" t="s">
        <v>34</v>
      </c>
      <c r="W22" s="15"/>
    </row>
    <row r="23" spans="1:87" ht="27" customHeight="1" x14ac:dyDescent="0.25">
      <c r="A23" s="34">
        <v>54667</v>
      </c>
      <c r="B23" s="23"/>
      <c r="C23" s="1"/>
      <c r="D23" s="24"/>
      <c r="E23" s="9"/>
      <c r="F23" s="9"/>
      <c r="G23" s="9"/>
      <c r="H23" s="9"/>
      <c r="I23" s="9"/>
      <c r="J23" s="9"/>
      <c r="K23" s="9"/>
      <c r="L23" s="9"/>
      <c r="M23" s="9"/>
      <c r="N23" s="9"/>
      <c r="O23" s="25"/>
      <c r="P23" s="9" t="s">
        <v>118</v>
      </c>
      <c r="Q23" s="9">
        <v>200000</v>
      </c>
      <c r="R23" s="9">
        <f>Q23*$R$6</f>
        <v>2000</v>
      </c>
      <c r="S23" s="9"/>
      <c r="T23" s="9"/>
      <c r="U23" s="9">
        <v>198000</v>
      </c>
      <c r="V23" s="17" t="s">
        <v>35</v>
      </c>
      <c r="W23" s="15"/>
    </row>
    <row r="24" spans="1:87" ht="27" customHeight="1" x14ac:dyDescent="0.25">
      <c r="A24" s="15"/>
      <c r="B24" s="23"/>
      <c r="C24" s="1"/>
      <c r="D24" s="24"/>
      <c r="E24" s="9"/>
      <c r="F24" s="9"/>
      <c r="G24" s="9"/>
      <c r="H24" s="9"/>
      <c r="I24" s="9"/>
      <c r="J24" s="9"/>
      <c r="K24" s="9"/>
      <c r="L24" s="9"/>
      <c r="M24" s="9"/>
      <c r="N24" s="9"/>
      <c r="O24" s="25"/>
      <c r="P24" s="9"/>
      <c r="Q24" s="9"/>
      <c r="R24" s="9"/>
      <c r="S24" s="9"/>
      <c r="T24" s="9"/>
      <c r="U24" s="9"/>
      <c r="V24" s="17"/>
      <c r="W24" s="15"/>
    </row>
    <row r="25" spans="1:87" ht="27" customHeight="1" x14ac:dyDescent="0.25">
      <c r="A25">
        <v>54668</v>
      </c>
      <c r="B25" s="23" t="s">
        <v>36</v>
      </c>
      <c r="C25" s="1">
        <v>44991</v>
      </c>
      <c r="D25" s="24">
        <v>8</v>
      </c>
      <c r="E25" s="9">
        <f>2204236*5%</f>
        <v>110211.8</v>
      </c>
      <c r="F25" s="9">
        <v>0</v>
      </c>
      <c r="G25" s="9">
        <f>ROUND(E25-F25,)</f>
        <v>110212</v>
      </c>
      <c r="H25" s="9">
        <f>ROUND(G25*$H$6,0)</f>
        <v>19838</v>
      </c>
      <c r="I25" s="9">
        <f>G25+H25</f>
        <v>130050</v>
      </c>
      <c r="J25" s="9">
        <f>ROUND(G25*$J$6,)</f>
        <v>1102</v>
      </c>
      <c r="K25" s="9">
        <f>(G25*$K$6)</f>
        <v>5510.6</v>
      </c>
      <c r="L25" s="9">
        <f>ROUND(G25*$L$6,)</f>
        <v>11021</v>
      </c>
      <c r="M25" s="50">
        <f>H25</f>
        <v>19838</v>
      </c>
      <c r="N25" s="9">
        <f>ROUND(I25-SUM(J25:M25),0)</f>
        <v>92578</v>
      </c>
      <c r="O25" s="25"/>
      <c r="P25" s="9" t="s">
        <v>37</v>
      </c>
      <c r="Q25" s="9">
        <v>116050</v>
      </c>
      <c r="R25" s="9">
        <v>0</v>
      </c>
      <c r="S25" s="9">
        <v>0</v>
      </c>
      <c r="T25" s="9">
        <v>0</v>
      </c>
      <c r="U25" s="9">
        <f t="shared" ref="U25:U27" si="12">Q25-R25</f>
        <v>116050</v>
      </c>
      <c r="V25" s="17" t="s">
        <v>38</v>
      </c>
      <c r="W25" s="15"/>
    </row>
    <row r="26" spans="1:87" ht="27" customHeight="1" x14ac:dyDescent="0.25">
      <c r="A26">
        <v>54668</v>
      </c>
      <c r="B26" s="23" t="s">
        <v>36</v>
      </c>
      <c r="C26" s="1">
        <v>45054</v>
      </c>
      <c r="D26" s="24">
        <v>5</v>
      </c>
      <c r="E26" s="9">
        <v>220423.6</v>
      </c>
      <c r="F26" s="9">
        <v>82268</v>
      </c>
      <c r="G26" s="9">
        <f>ROUND(E26-F26,)</f>
        <v>138156</v>
      </c>
      <c r="H26" s="9">
        <f>ROUND(G26*$H$6,0)</f>
        <v>24868</v>
      </c>
      <c r="I26" s="9">
        <f>G26+H26</f>
        <v>163024</v>
      </c>
      <c r="J26" s="9">
        <f>ROUND(G26*$J$6,)</f>
        <v>1382</v>
      </c>
      <c r="K26" s="9">
        <f>(G26*$K$6)</f>
        <v>6907.8</v>
      </c>
      <c r="L26" s="9">
        <f>ROUND(G26*$L$6,)</f>
        <v>13816</v>
      </c>
      <c r="M26" s="13">
        <f>H26</f>
        <v>24868</v>
      </c>
      <c r="N26" s="9">
        <f>ROUND(I26-SUM(J26:M26),0)</f>
        <v>116050</v>
      </c>
      <c r="O26" s="25"/>
      <c r="P26" s="9" t="s">
        <v>39</v>
      </c>
      <c r="Q26" s="9">
        <v>92578</v>
      </c>
      <c r="R26" s="9">
        <v>0</v>
      </c>
      <c r="S26" s="9">
        <v>0</v>
      </c>
      <c r="T26" s="9">
        <v>0</v>
      </c>
      <c r="U26" s="9">
        <f t="shared" si="12"/>
        <v>92578</v>
      </c>
      <c r="V26" s="17" t="s">
        <v>40</v>
      </c>
      <c r="W26" s="15"/>
    </row>
    <row r="27" spans="1:87" ht="27" customHeight="1" x14ac:dyDescent="0.25">
      <c r="A27">
        <v>54668</v>
      </c>
      <c r="B27" s="23" t="s">
        <v>18</v>
      </c>
      <c r="C27" s="1"/>
      <c r="D27" s="24">
        <v>8</v>
      </c>
      <c r="E27" s="50">
        <v>19838</v>
      </c>
      <c r="F27" s="9"/>
      <c r="G27" s="9"/>
      <c r="H27" s="9"/>
      <c r="I27" s="9"/>
      <c r="J27" s="9"/>
      <c r="K27" s="9"/>
      <c r="L27" s="9"/>
      <c r="M27" s="9"/>
      <c r="N27" s="9">
        <f>E27</f>
        <v>19838</v>
      </c>
      <c r="O27" s="25"/>
      <c r="P27" s="9" t="s">
        <v>41</v>
      </c>
      <c r="Q27" s="9">
        <v>19838</v>
      </c>
      <c r="R27" s="9">
        <v>0</v>
      </c>
      <c r="S27" s="9">
        <v>0</v>
      </c>
      <c r="T27" s="9">
        <v>0</v>
      </c>
      <c r="U27" s="9">
        <f t="shared" si="12"/>
        <v>19838</v>
      </c>
      <c r="V27" s="17" t="s">
        <v>42</v>
      </c>
      <c r="W27" s="15"/>
    </row>
    <row r="28" spans="1:87" ht="27" customHeight="1" x14ac:dyDescent="0.25">
      <c r="A28">
        <v>54668</v>
      </c>
      <c r="B28" s="23" t="s">
        <v>36</v>
      </c>
      <c r="C28" s="1">
        <v>45077</v>
      </c>
      <c r="D28" s="24">
        <v>15</v>
      </c>
      <c r="E28" s="9">
        <v>220423.6</v>
      </c>
      <c r="F28" s="9">
        <v>24191</v>
      </c>
      <c r="G28" s="9">
        <f>ROUND(E28-F28,)</f>
        <v>196233</v>
      </c>
      <c r="H28" s="9">
        <f>ROUND(G28*$H$6,0)</f>
        <v>35322</v>
      </c>
      <c r="I28" s="9">
        <f>G28+H28</f>
        <v>231555</v>
      </c>
      <c r="J28" s="9">
        <f>ROUND(G28*$J$6,)</f>
        <v>1962</v>
      </c>
      <c r="K28" s="9">
        <f>(G28*$K$6)</f>
        <v>9811.65</v>
      </c>
      <c r="L28" s="9">
        <f>ROUND(G28*$L$6,)</f>
        <v>19623</v>
      </c>
      <c r="M28" s="13">
        <f>H28</f>
        <v>35322</v>
      </c>
      <c r="N28" s="9">
        <f>ROUND(I28-SUM(J28:M28),0)</f>
        <v>164836</v>
      </c>
      <c r="O28" s="25"/>
      <c r="P28" s="9" t="s">
        <v>147</v>
      </c>
      <c r="Q28" s="9">
        <v>164835</v>
      </c>
      <c r="R28" s="9">
        <v>0</v>
      </c>
      <c r="S28" s="9"/>
      <c r="T28" s="9"/>
      <c r="U28" s="9">
        <v>164835</v>
      </c>
      <c r="V28" s="17" t="s">
        <v>43</v>
      </c>
      <c r="W28" s="15"/>
    </row>
    <row r="29" spans="1:87" ht="27" customHeight="1" x14ac:dyDescent="0.25">
      <c r="A29">
        <v>54668</v>
      </c>
      <c r="B29" s="23" t="s">
        <v>36</v>
      </c>
      <c r="C29" s="1">
        <v>45127</v>
      </c>
      <c r="D29" s="24">
        <v>30</v>
      </c>
      <c r="E29" s="9">
        <v>67691</v>
      </c>
      <c r="F29" s="9"/>
      <c r="G29" s="9">
        <f t="shared" ref="G29" si="13">ROUND(E29-F29,)</f>
        <v>67691</v>
      </c>
      <c r="H29" s="9">
        <f t="shared" ref="H29" si="14">ROUND(G29*$H$6,0)</f>
        <v>12184</v>
      </c>
      <c r="I29" s="9">
        <f t="shared" ref="I29" si="15">G29+H29</f>
        <v>79875</v>
      </c>
      <c r="J29" s="9">
        <f t="shared" ref="J29" si="16">ROUND(G29*$J$6,)</f>
        <v>677</v>
      </c>
      <c r="K29" s="9">
        <f t="shared" ref="K29" si="17">ROUND(G29*$K$6,)</f>
        <v>3385</v>
      </c>
      <c r="L29" s="9">
        <f t="shared" ref="L29" si="18">ROUND(G29*$L$6,)</f>
        <v>6769</v>
      </c>
      <c r="M29" s="13">
        <f>H29</f>
        <v>12184</v>
      </c>
      <c r="N29" s="9">
        <f>ROUND(I29-SUM(J29:M29),0)</f>
        <v>56860</v>
      </c>
      <c r="O29" s="15"/>
      <c r="P29" s="9" t="s">
        <v>148</v>
      </c>
      <c r="Q29" s="9">
        <v>200000</v>
      </c>
      <c r="R29" s="9">
        <f>Q29*$R$6</f>
        <v>2000</v>
      </c>
      <c r="S29" s="9"/>
      <c r="T29" s="9"/>
      <c r="U29" s="9">
        <v>198000</v>
      </c>
      <c r="V29" s="17" t="s">
        <v>44</v>
      </c>
      <c r="W29" s="15"/>
    </row>
    <row r="30" spans="1:87" s="12" customFormat="1" x14ac:dyDescent="0.25">
      <c r="A30" s="16">
        <v>55306</v>
      </c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49">
        <f>A30</f>
        <v>55306</v>
      </c>
      <c r="P30" s="13"/>
      <c r="Q30" s="13"/>
      <c r="R30" s="13"/>
      <c r="S30" s="13"/>
      <c r="T30" s="13"/>
      <c r="U30" s="13"/>
      <c r="V30" s="16"/>
      <c r="W30" s="16">
        <f>SUM(N25:N29)-SUM(U25:U29)</f>
        <v>-141139</v>
      </c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  <c r="AM30" s="32"/>
      <c r="AN30" s="32"/>
      <c r="AO30" s="32"/>
      <c r="AP30" s="32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32"/>
      <c r="BB30" s="32"/>
      <c r="BC30" s="32"/>
      <c r="BD30" s="32"/>
      <c r="BE30" s="32"/>
      <c r="BF30" s="32"/>
      <c r="BG30" s="32"/>
      <c r="BH30" s="32"/>
      <c r="BI30" s="32"/>
      <c r="BJ30" s="32"/>
      <c r="BK30" s="32"/>
      <c r="BL30" s="32"/>
      <c r="BM30" s="32"/>
      <c r="BN30" s="32"/>
      <c r="BO30" s="32"/>
      <c r="BP30" s="32"/>
      <c r="BQ30" s="32"/>
      <c r="BR30" s="32"/>
      <c r="BS30" s="32"/>
      <c r="BT30" s="32"/>
      <c r="BU30" s="32"/>
      <c r="BV30" s="32"/>
      <c r="BW30" s="32"/>
      <c r="BX30" s="32"/>
      <c r="BY30" s="32"/>
      <c r="BZ30" s="32"/>
      <c r="CA30" s="32"/>
      <c r="CB30" s="32"/>
      <c r="CC30" s="32"/>
      <c r="CD30" s="32"/>
      <c r="CE30" s="32"/>
      <c r="CF30" s="32"/>
      <c r="CG30" s="32"/>
      <c r="CH30" s="32"/>
      <c r="CI30" s="32"/>
    </row>
    <row r="31" spans="1:87" ht="27" customHeight="1" x14ac:dyDescent="0.25">
      <c r="A31">
        <v>55306</v>
      </c>
      <c r="B31" s="23" t="s">
        <v>45</v>
      </c>
      <c r="C31" s="1">
        <v>44991</v>
      </c>
      <c r="D31" s="24">
        <v>6</v>
      </c>
      <c r="E31" s="9">
        <f>(119.55*3500)*60%</f>
        <v>251055</v>
      </c>
      <c r="F31" s="9">
        <v>127058</v>
      </c>
      <c r="G31" s="9">
        <f>ROUND(E31-F31,)</f>
        <v>123997</v>
      </c>
      <c r="H31" s="9">
        <f>ROUND(G31*$H$6,0)</f>
        <v>22319</v>
      </c>
      <c r="I31" s="9">
        <f>G31+H31</f>
        <v>146316</v>
      </c>
      <c r="J31" s="9">
        <f>ROUND(G31*$J$6,)</f>
        <v>1240</v>
      </c>
      <c r="K31" s="9">
        <f>(G31*10%)</f>
        <v>12399.7</v>
      </c>
      <c r="L31" s="9">
        <v>0</v>
      </c>
      <c r="M31" s="50">
        <f>H31</f>
        <v>22319</v>
      </c>
      <c r="N31" s="9">
        <f>ROUND(I31-SUM(J31:M31),0)</f>
        <v>110357</v>
      </c>
      <c r="O31" s="25"/>
      <c r="P31" s="9" t="s">
        <v>46</v>
      </c>
      <c r="Q31" s="9">
        <v>110357</v>
      </c>
      <c r="R31" s="9">
        <v>0</v>
      </c>
      <c r="S31" s="9">
        <v>0</v>
      </c>
      <c r="T31" s="9">
        <v>0</v>
      </c>
      <c r="U31" s="9">
        <f t="shared" ref="U31:U32" si="19">Q31-R31</f>
        <v>110357</v>
      </c>
      <c r="V31" s="17" t="s">
        <v>47</v>
      </c>
      <c r="W31" s="15"/>
    </row>
    <row r="32" spans="1:87" ht="27" customHeight="1" x14ac:dyDescent="0.25">
      <c r="A32">
        <v>55306</v>
      </c>
      <c r="B32" s="23" t="s">
        <v>45</v>
      </c>
      <c r="C32" s="1">
        <v>45029</v>
      </c>
      <c r="D32" s="24">
        <v>2</v>
      </c>
      <c r="E32" s="9">
        <f>(119.55*3500)*20%</f>
        <v>83685</v>
      </c>
      <c r="F32" s="9">
        <v>0</v>
      </c>
      <c r="G32" s="9">
        <f>ROUND(E32-F32,)</f>
        <v>83685</v>
      </c>
      <c r="H32" s="9">
        <f>ROUND(G32*$H$6,0)</f>
        <v>15063</v>
      </c>
      <c r="I32" s="9">
        <f>G32+H32</f>
        <v>98748</v>
      </c>
      <c r="J32" s="9">
        <f>ROUND(G32*$J$6,)</f>
        <v>837</v>
      </c>
      <c r="K32" s="9">
        <f>(G32*10%)</f>
        <v>8368.5</v>
      </c>
      <c r="L32" s="9">
        <v>0</v>
      </c>
      <c r="M32" s="50">
        <f>H32</f>
        <v>15063</v>
      </c>
      <c r="N32" s="9">
        <f>ROUND(I32-SUM(J32:M32),0)</f>
        <v>74480</v>
      </c>
      <c r="O32" s="25"/>
      <c r="P32" s="9" t="s">
        <v>48</v>
      </c>
      <c r="Q32" s="9">
        <v>74479</v>
      </c>
      <c r="R32" s="9">
        <v>0</v>
      </c>
      <c r="S32" s="9">
        <v>0</v>
      </c>
      <c r="T32" s="9">
        <v>0</v>
      </c>
      <c r="U32" s="9">
        <f t="shared" si="19"/>
        <v>74479</v>
      </c>
      <c r="V32" s="17" t="s">
        <v>49</v>
      </c>
      <c r="W32" s="15"/>
    </row>
    <row r="33" spans="1:87" ht="27" customHeight="1" x14ac:dyDescent="0.25">
      <c r="A33">
        <v>55306</v>
      </c>
      <c r="B33" s="23" t="s">
        <v>18</v>
      </c>
      <c r="C33" s="26"/>
      <c r="D33" s="24">
        <v>6</v>
      </c>
      <c r="E33" s="50">
        <v>22319</v>
      </c>
      <c r="F33" s="9"/>
      <c r="G33" s="9">
        <v>0</v>
      </c>
      <c r="H33" s="9">
        <f t="shared" ref="H33:H34" si="20">ROUND(G33*$H$6,0)</f>
        <v>0</v>
      </c>
      <c r="I33" s="9">
        <f t="shared" ref="I33:I34" si="21">G33+H33</f>
        <v>0</v>
      </c>
      <c r="J33" s="9">
        <f t="shared" ref="J33:J34" si="22">ROUND(G33*$J$6,)</f>
        <v>0</v>
      </c>
      <c r="K33" s="9">
        <f t="shared" ref="K33:K34" si="23">ROUND(G33*$K$6,)</f>
        <v>0</v>
      </c>
      <c r="L33" s="9">
        <f>ROUND(G33*$L$6,)</f>
        <v>0</v>
      </c>
      <c r="M33" s="9">
        <f>H33</f>
        <v>0</v>
      </c>
      <c r="N33" s="9">
        <f>E33</f>
        <v>22319</v>
      </c>
      <c r="O33" s="25"/>
      <c r="P33" s="9" t="s">
        <v>50</v>
      </c>
      <c r="Q33" s="9">
        <v>22319</v>
      </c>
      <c r="R33" s="9">
        <v>0</v>
      </c>
      <c r="S33" s="9">
        <v>0</v>
      </c>
      <c r="T33" s="9">
        <v>0</v>
      </c>
      <c r="U33" s="9">
        <f>Q33-R33-S33-T33</f>
        <v>22319</v>
      </c>
      <c r="V33" s="17" t="s">
        <v>51</v>
      </c>
      <c r="W33" s="15"/>
    </row>
    <row r="34" spans="1:87" ht="27" customHeight="1" x14ac:dyDescent="0.25">
      <c r="A34">
        <v>55306</v>
      </c>
      <c r="B34" s="23" t="s">
        <v>18</v>
      </c>
      <c r="C34" s="26"/>
      <c r="D34" s="24">
        <v>2</v>
      </c>
      <c r="E34" s="50">
        <v>15063</v>
      </c>
      <c r="F34" s="9"/>
      <c r="G34" s="9">
        <v>0</v>
      </c>
      <c r="H34" s="9">
        <f t="shared" si="20"/>
        <v>0</v>
      </c>
      <c r="I34" s="9">
        <f t="shared" si="21"/>
        <v>0</v>
      </c>
      <c r="J34" s="9">
        <f t="shared" si="22"/>
        <v>0</v>
      </c>
      <c r="K34" s="9">
        <f t="shared" si="23"/>
        <v>0</v>
      </c>
      <c r="L34" s="9">
        <f t="shared" ref="L34" si="24">ROUND(G34*$L$6,)</f>
        <v>0</v>
      </c>
      <c r="M34" s="9">
        <f t="shared" ref="M34" si="25">ROUND(G34*$M$6,)</f>
        <v>0</v>
      </c>
      <c r="N34" s="9">
        <f>E34</f>
        <v>15063</v>
      </c>
      <c r="O34" s="15"/>
      <c r="P34" s="9" t="s">
        <v>149</v>
      </c>
      <c r="Q34" s="9">
        <v>15063</v>
      </c>
      <c r="R34" s="9"/>
      <c r="S34" s="9"/>
      <c r="T34" s="9"/>
      <c r="U34" s="9">
        <v>15063</v>
      </c>
      <c r="V34" s="17" t="s">
        <v>140</v>
      </c>
      <c r="W34" s="15"/>
    </row>
    <row r="35" spans="1:87" s="12" customFormat="1" x14ac:dyDescent="0.25">
      <c r="A35" s="16">
        <v>55596</v>
      </c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49">
        <f>A35</f>
        <v>55596</v>
      </c>
      <c r="P35" s="13"/>
      <c r="Q35" s="13"/>
      <c r="R35" s="13"/>
      <c r="S35" s="13"/>
      <c r="T35" s="13"/>
      <c r="U35" s="13"/>
      <c r="V35" s="16"/>
      <c r="W35" s="16">
        <f>SUM(N31:N34)-SUM(U31:U34)</f>
        <v>1</v>
      </c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  <c r="AM35" s="32"/>
      <c r="AN35" s="32"/>
      <c r="AO35" s="32"/>
      <c r="AP35" s="32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32"/>
      <c r="BB35" s="32"/>
      <c r="BC35" s="32"/>
      <c r="BD35" s="32"/>
      <c r="BE35" s="32"/>
      <c r="BF35" s="32"/>
      <c r="BG35" s="32"/>
      <c r="BH35" s="32"/>
      <c r="BI35" s="32"/>
      <c r="BJ35" s="32"/>
      <c r="BK35" s="32"/>
      <c r="BL35" s="32"/>
      <c r="BM35" s="32"/>
      <c r="BN35" s="32"/>
      <c r="BO35" s="32"/>
      <c r="BP35" s="32"/>
      <c r="BQ35" s="32"/>
      <c r="BR35" s="32"/>
      <c r="BS35" s="32"/>
      <c r="BT35" s="32"/>
      <c r="BU35" s="32"/>
      <c r="BV35" s="32"/>
      <c r="BW35" s="32"/>
      <c r="BX35" s="32"/>
      <c r="BY35" s="32"/>
      <c r="BZ35" s="32"/>
      <c r="CA35" s="32"/>
      <c r="CB35" s="32"/>
      <c r="CC35" s="32"/>
      <c r="CD35" s="32"/>
      <c r="CE35" s="32"/>
      <c r="CF35" s="32"/>
      <c r="CG35" s="32"/>
      <c r="CH35" s="32"/>
      <c r="CI35" s="32"/>
    </row>
    <row r="36" spans="1:87" ht="27" customHeight="1" x14ac:dyDescent="0.25">
      <c r="A36">
        <v>55596</v>
      </c>
      <c r="B36" s="23" t="s">
        <v>52</v>
      </c>
      <c r="C36" s="1">
        <v>44991</v>
      </c>
      <c r="D36" s="24">
        <v>7</v>
      </c>
      <c r="E36" s="9">
        <f>2204236*5%</f>
        <v>110211.8</v>
      </c>
      <c r="F36" s="9">
        <v>0</v>
      </c>
      <c r="G36" s="9">
        <f>ROUND(E36-F36,)</f>
        <v>110212</v>
      </c>
      <c r="H36" s="9">
        <f>ROUND(G36*$H$6,0)</f>
        <v>19838</v>
      </c>
      <c r="I36" s="9">
        <f>G36+H36</f>
        <v>130050</v>
      </c>
      <c r="J36" s="9">
        <f>ROUND(G36*$J$6,)</f>
        <v>1102</v>
      </c>
      <c r="K36" s="9">
        <f>(G36*$K$6)</f>
        <v>5510.6</v>
      </c>
      <c r="L36" s="9">
        <f>ROUND(G36*$L$6,)</f>
        <v>11021</v>
      </c>
      <c r="M36" s="50">
        <f>H36</f>
        <v>19838</v>
      </c>
      <c r="N36" s="9">
        <f>ROUND(I36-SUM(J36:M36),0)</f>
        <v>92578</v>
      </c>
      <c r="O36" s="25"/>
      <c r="P36" s="9" t="s">
        <v>53</v>
      </c>
      <c r="Q36" s="9">
        <v>92578</v>
      </c>
      <c r="R36" s="9">
        <v>0</v>
      </c>
      <c r="S36" s="9">
        <v>0</v>
      </c>
      <c r="T36" s="9">
        <v>0</v>
      </c>
      <c r="U36" s="9">
        <f t="shared" ref="U36:U38" si="26">Q36-R36</f>
        <v>92578</v>
      </c>
      <c r="V36" s="17" t="s">
        <v>54</v>
      </c>
      <c r="W36" s="15"/>
    </row>
    <row r="37" spans="1:87" ht="27" customHeight="1" x14ac:dyDescent="0.25">
      <c r="A37">
        <v>55596</v>
      </c>
      <c r="B37" s="23" t="s">
        <v>18</v>
      </c>
      <c r="C37" s="1"/>
      <c r="D37" s="24">
        <v>7</v>
      </c>
      <c r="E37" s="50">
        <v>19838</v>
      </c>
      <c r="F37" s="9"/>
      <c r="G37" s="9">
        <v>0</v>
      </c>
      <c r="H37" s="9"/>
      <c r="I37" s="9">
        <f t="shared" ref="I37" si="27">G37+H37</f>
        <v>0</v>
      </c>
      <c r="J37" s="9">
        <v>0</v>
      </c>
      <c r="K37" s="9">
        <v>0</v>
      </c>
      <c r="L37" s="9">
        <v>0</v>
      </c>
      <c r="M37" s="9">
        <f>H37</f>
        <v>0</v>
      </c>
      <c r="N37" s="9">
        <f>E37</f>
        <v>19838</v>
      </c>
      <c r="O37" s="25"/>
      <c r="P37" s="9" t="s">
        <v>55</v>
      </c>
      <c r="Q37" s="9">
        <v>19838</v>
      </c>
      <c r="R37" s="9">
        <v>0</v>
      </c>
      <c r="S37" s="9">
        <v>0</v>
      </c>
      <c r="T37" s="9">
        <v>0</v>
      </c>
      <c r="U37" s="9">
        <f t="shared" si="26"/>
        <v>19838</v>
      </c>
      <c r="V37" s="17" t="s">
        <v>56</v>
      </c>
      <c r="W37" s="15"/>
    </row>
    <row r="38" spans="1:87" ht="27" customHeight="1" x14ac:dyDescent="0.25">
      <c r="A38">
        <v>55596</v>
      </c>
      <c r="B38" s="23" t="s">
        <v>52</v>
      </c>
      <c r="C38" s="1">
        <v>45127</v>
      </c>
      <c r="D38" s="24">
        <v>7</v>
      </c>
      <c r="E38" s="9">
        <v>13538</v>
      </c>
      <c r="F38" s="9">
        <v>0</v>
      </c>
      <c r="G38" s="9">
        <f>ROUND(E38-F38,)</f>
        <v>13538</v>
      </c>
      <c r="H38" s="9">
        <f>ROUND(G38*$H$6,0)</f>
        <v>2437</v>
      </c>
      <c r="I38" s="9">
        <f>G38+H38</f>
        <v>15975</v>
      </c>
      <c r="J38" s="9">
        <f>ROUND(G38*$J$6,)</f>
        <v>135</v>
      </c>
      <c r="K38" s="9">
        <f>(G38*$K$6)</f>
        <v>676.90000000000009</v>
      </c>
      <c r="L38" s="9">
        <f>ROUND(G38*$L$6,)</f>
        <v>1354</v>
      </c>
      <c r="M38" s="13">
        <f>H38</f>
        <v>2437</v>
      </c>
      <c r="N38" s="9">
        <f>ROUND(I38-SUM(J38:M38),0)</f>
        <v>11372</v>
      </c>
      <c r="O38" s="25"/>
      <c r="P38" s="9" t="s">
        <v>120</v>
      </c>
      <c r="Q38" s="9">
        <v>11372</v>
      </c>
      <c r="R38" s="9"/>
      <c r="S38" s="9"/>
      <c r="T38" s="9"/>
      <c r="U38" s="9">
        <f t="shared" si="26"/>
        <v>11372</v>
      </c>
      <c r="V38" s="17" t="s">
        <v>119</v>
      </c>
      <c r="W38" s="15"/>
    </row>
    <row r="39" spans="1:87" s="12" customFormat="1" x14ac:dyDescent="0.25">
      <c r="A39" s="16">
        <v>55598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49">
        <f>A39</f>
        <v>55598</v>
      </c>
      <c r="P39" s="13"/>
      <c r="Q39" s="13"/>
      <c r="R39" s="13"/>
      <c r="S39" s="13"/>
      <c r="T39" s="13"/>
      <c r="U39" s="13"/>
      <c r="V39" s="16"/>
      <c r="W39" s="16">
        <f>SUM(N36:N38)-SUM(U36:U38)</f>
        <v>0</v>
      </c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</row>
    <row r="40" spans="1:87" ht="27" customHeight="1" x14ac:dyDescent="0.25">
      <c r="A40">
        <v>55598</v>
      </c>
      <c r="B40" s="23" t="s">
        <v>57</v>
      </c>
      <c r="C40" s="1">
        <v>44991</v>
      </c>
      <c r="D40" s="24">
        <v>4</v>
      </c>
      <c r="E40" s="9">
        <f>1575000*5%</f>
        <v>78750</v>
      </c>
      <c r="F40" s="9">
        <v>30892</v>
      </c>
      <c r="G40" s="9">
        <f>ROUND(E40-F40,)</f>
        <v>47858</v>
      </c>
      <c r="H40" s="9">
        <f>ROUND(G40*$H$6,0)</f>
        <v>8614</v>
      </c>
      <c r="I40" s="9">
        <f>G40+H40</f>
        <v>56472</v>
      </c>
      <c r="J40" s="9">
        <f>ROUND(G40*$J$6,)</f>
        <v>479</v>
      </c>
      <c r="K40" s="9">
        <f>(G40*$K$6)</f>
        <v>2392.9</v>
      </c>
      <c r="L40" s="9">
        <f>ROUND(G40*$L$6,)</f>
        <v>4786</v>
      </c>
      <c r="M40" s="50">
        <f>H40</f>
        <v>8614</v>
      </c>
      <c r="N40" s="9">
        <f>ROUND(I40-SUM(J40:M40),0)</f>
        <v>40200</v>
      </c>
      <c r="O40" s="25"/>
      <c r="P40" s="9" t="s">
        <v>59</v>
      </c>
      <c r="Q40" s="9">
        <v>40200</v>
      </c>
      <c r="R40" s="9">
        <v>0</v>
      </c>
      <c r="S40" s="9">
        <v>0</v>
      </c>
      <c r="T40" s="9">
        <v>0</v>
      </c>
      <c r="U40" s="9">
        <f t="shared" ref="U40:U41" si="28">Q40-R40</f>
        <v>40200</v>
      </c>
      <c r="V40" s="17" t="s">
        <v>60</v>
      </c>
      <c r="W40" s="15"/>
    </row>
    <row r="41" spans="1:87" ht="27" customHeight="1" x14ac:dyDescent="0.25">
      <c r="A41">
        <v>55598</v>
      </c>
      <c r="B41" s="23" t="s">
        <v>58</v>
      </c>
      <c r="C41" s="1"/>
      <c r="D41" s="24">
        <v>4</v>
      </c>
      <c r="E41" s="50">
        <v>8614</v>
      </c>
      <c r="F41" s="9"/>
      <c r="G41" s="9">
        <v>0</v>
      </c>
      <c r="H41" s="9"/>
      <c r="I41" s="9">
        <f t="shared" ref="I41" si="29">G41+H41</f>
        <v>0</v>
      </c>
      <c r="J41" s="9">
        <v>0</v>
      </c>
      <c r="K41" s="9">
        <v>0</v>
      </c>
      <c r="L41" s="9">
        <v>0</v>
      </c>
      <c r="M41" s="9">
        <f>H41</f>
        <v>0</v>
      </c>
      <c r="N41" s="9">
        <f>E41</f>
        <v>8614</v>
      </c>
      <c r="O41" s="25"/>
      <c r="P41" s="9" t="s">
        <v>61</v>
      </c>
      <c r="Q41" s="9">
        <v>8614</v>
      </c>
      <c r="R41" s="9">
        <v>0</v>
      </c>
      <c r="S41" s="9">
        <v>0</v>
      </c>
      <c r="T41" s="9">
        <v>0</v>
      </c>
      <c r="U41" s="9">
        <f t="shared" si="28"/>
        <v>8614</v>
      </c>
      <c r="V41" s="17" t="s">
        <v>62</v>
      </c>
      <c r="W41" s="15"/>
    </row>
    <row r="42" spans="1:87" ht="27" customHeight="1" x14ac:dyDescent="0.25">
      <c r="A42">
        <v>55598</v>
      </c>
      <c r="B42" s="23" t="s">
        <v>57</v>
      </c>
      <c r="C42" s="1">
        <v>45127</v>
      </c>
      <c r="D42" s="24">
        <v>34</v>
      </c>
      <c r="E42" s="9">
        <v>6562.5</v>
      </c>
      <c r="F42" s="9"/>
      <c r="G42" s="9">
        <f t="shared" ref="G42" si="30">ROUND(E42-F42,)</f>
        <v>6563</v>
      </c>
      <c r="H42" s="9">
        <f t="shared" ref="H42" si="31">ROUND(G42*$H$6,0)</f>
        <v>1181</v>
      </c>
      <c r="I42" s="9">
        <f>G42+H42</f>
        <v>7744</v>
      </c>
      <c r="J42" s="9">
        <f t="shared" ref="J42" si="32">ROUND(G42*$J$6,)</f>
        <v>66</v>
      </c>
      <c r="K42" s="9">
        <f t="shared" ref="K42" si="33">ROUND(G42*$K$6,)</f>
        <v>328</v>
      </c>
      <c r="L42" s="9">
        <f t="shared" ref="L42" si="34">ROUND(G42*$L$6,)</f>
        <v>656</v>
      </c>
      <c r="M42" s="13">
        <f t="shared" ref="M42" si="35">ROUND(G42*$M$6,)</f>
        <v>1181</v>
      </c>
      <c r="N42" s="9">
        <f>ROUND(I42-SUM(J42:M42),0)</f>
        <v>5513</v>
      </c>
      <c r="O42" s="51" t="s">
        <v>157</v>
      </c>
      <c r="P42" s="9"/>
      <c r="Q42" s="9"/>
      <c r="R42" s="9"/>
      <c r="S42" s="9"/>
      <c r="T42" s="9"/>
      <c r="U42" s="9"/>
      <c r="V42" s="17"/>
      <c r="W42" s="15"/>
    </row>
    <row r="43" spans="1:87" ht="27" customHeight="1" x14ac:dyDescent="0.25">
      <c r="A43" s="15"/>
      <c r="B43" s="23"/>
      <c r="C43" s="1"/>
      <c r="D43" s="24"/>
      <c r="E43" s="9"/>
      <c r="F43" s="9"/>
      <c r="G43" s="9"/>
      <c r="H43" s="9"/>
      <c r="I43" s="9"/>
      <c r="J43" s="9"/>
      <c r="K43" s="9"/>
      <c r="L43" s="9"/>
      <c r="M43" s="9"/>
      <c r="N43" s="9"/>
      <c r="O43" s="25"/>
      <c r="P43" s="9"/>
      <c r="Q43" s="9"/>
      <c r="R43" s="9"/>
      <c r="S43" s="9"/>
      <c r="T43" s="9"/>
      <c r="U43" s="9"/>
      <c r="V43" s="17"/>
      <c r="W43" s="15"/>
    </row>
    <row r="44" spans="1:87" s="12" customFormat="1" x14ac:dyDescent="0.25">
      <c r="A44" s="16">
        <v>55599</v>
      </c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49">
        <f>A44</f>
        <v>55599</v>
      </c>
      <c r="P44" s="13"/>
      <c r="Q44" s="13"/>
      <c r="R44" s="13"/>
      <c r="S44" s="13"/>
      <c r="T44" s="13"/>
      <c r="U44" s="13"/>
      <c r="V44" s="16"/>
      <c r="W44" s="53">
        <f>SUM(N40:N43)-SUM(U40:U43)</f>
        <v>5513</v>
      </c>
      <c r="X44" s="32"/>
      <c r="Y44" s="32"/>
      <c r="Z44" s="32"/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  <c r="AM44" s="32"/>
      <c r="AN44" s="32"/>
      <c r="AO44" s="32"/>
      <c r="AP44" s="32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32"/>
      <c r="BB44" s="32"/>
      <c r="BC44" s="32"/>
      <c r="BD44" s="32"/>
      <c r="BE44" s="32"/>
      <c r="BF44" s="32"/>
      <c r="BG44" s="32"/>
      <c r="BH44" s="32"/>
      <c r="BI44" s="32"/>
      <c r="BJ44" s="32"/>
      <c r="BK44" s="32"/>
      <c r="BL44" s="32"/>
      <c r="BM44" s="32"/>
      <c r="BN44" s="32"/>
      <c r="BO44" s="32"/>
      <c r="BP44" s="32"/>
      <c r="BQ44" s="32"/>
      <c r="BR44" s="32"/>
      <c r="BS44" s="32"/>
      <c r="BT44" s="32"/>
      <c r="BU44" s="32"/>
      <c r="BV44" s="32"/>
      <c r="BW44" s="32"/>
      <c r="BX44" s="32"/>
      <c r="BY44" s="32"/>
      <c r="BZ44" s="32"/>
      <c r="CA44" s="32"/>
      <c r="CB44" s="32"/>
      <c r="CC44" s="32"/>
      <c r="CD44" s="32"/>
      <c r="CE44" s="32"/>
      <c r="CF44" s="32"/>
      <c r="CG44" s="32"/>
      <c r="CH44" s="32"/>
      <c r="CI44" s="32"/>
    </row>
    <row r="45" spans="1:87" ht="27" customHeight="1" x14ac:dyDescent="0.25">
      <c r="A45">
        <v>55599</v>
      </c>
      <c r="B45" s="23" t="s">
        <v>63</v>
      </c>
      <c r="C45" s="1">
        <v>44991</v>
      </c>
      <c r="D45" s="24">
        <v>5</v>
      </c>
      <c r="E45" s="9">
        <f>(121.7*3500)*60%</f>
        <v>255570</v>
      </c>
      <c r="F45" s="9">
        <v>70124</v>
      </c>
      <c r="G45" s="9">
        <f>ROUND(E45-F45,)</f>
        <v>185446</v>
      </c>
      <c r="H45" s="9">
        <f>ROUND(G45*$H$6,0)</f>
        <v>33380</v>
      </c>
      <c r="I45" s="9">
        <f>G45+H45</f>
        <v>218826</v>
      </c>
      <c r="J45" s="9">
        <f>ROUND(G45*$J$6,)</f>
        <v>1854</v>
      </c>
      <c r="K45" s="9">
        <f>(G45*10%)</f>
        <v>18544.600000000002</v>
      </c>
      <c r="L45" s="9">
        <v>0</v>
      </c>
      <c r="M45" s="50">
        <f>H45</f>
        <v>33380</v>
      </c>
      <c r="N45" s="9">
        <f>ROUND(I45-SUM(J45:M45),0)</f>
        <v>165047</v>
      </c>
      <c r="O45" s="25"/>
      <c r="P45" s="9" t="s">
        <v>64</v>
      </c>
      <c r="Q45" s="9">
        <v>165047</v>
      </c>
      <c r="R45" s="9">
        <v>0</v>
      </c>
      <c r="S45" s="9">
        <v>0</v>
      </c>
      <c r="T45" s="9">
        <v>0</v>
      </c>
      <c r="U45" s="9">
        <f t="shared" ref="U45" si="36">Q45-R45</f>
        <v>165047</v>
      </c>
      <c r="V45" s="17" t="s">
        <v>65</v>
      </c>
      <c r="W45" s="15"/>
    </row>
    <row r="46" spans="1:87" ht="27" customHeight="1" x14ac:dyDescent="0.25">
      <c r="A46">
        <v>55599</v>
      </c>
      <c r="B46" s="23" t="s">
        <v>63</v>
      </c>
      <c r="C46" s="1">
        <v>45029</v>
      </c>
      <c r="D46" s="24">
        <v>3</v>
      </c>
      <c r="E46" s="9">
        <f>(121.7*3500)*20%</f>
        <v>85190</v>
      </c>
      <c r="F46" s="9">
        <v>0</v>
      </c>
      <c r="G46" s="9">
        <f>ROUND(E46-F46,)</f>
        <v>85190</v>
      </c>
      <c r="H46" s="9">
        <f>ROUND(G46*$H$6,0)</f>
        <v>15334</v>
      </c>
      <c r="I46" s="9">
        <f>G46+H46</f>
        <v>100524</v>
      </c>
      <c r="J46" s="9">
        <f>ROUND(G46*$J$6,)</f>
        <v>852</v>
      </c>
      <c r="K46" s="9">
        <f>(G46*10%)</f>
        <v>8519</v>
      </c>
      <c r="L46" s="9">
        <v>0</v>
      </c>
      <c r="M46" s="50">
        <f>H46</f>
        <v>15334</v>
      </c>
      <c r="N46" s="9">
        <f>ROUND(I46-SUM(J46:M46),0)</f>
        <v>75819</v>
      </c>
      <c r="O46" s="25"/>
      <c r="P46" s="9" t="s">
        <v>121</v>
      </c>
      <c r="Q46" s="9">
        <v>75819</v>
      </c>
      <c r="R46" s="9">
        <v>0</v>
      </c>
      <c r="S46" s="9">
        <v>0</v>
      </c>
      <c r="T46" s="9">
        <v>0</v>
      </c>
      <c r="U46" s="9">
        <v>75819</v>
      </c>
      <c r="V46" s="17" t="s">
        <v>66</v>
      </c>
      <c r="W46" s="15"/>
    </row>
    <row r="47" spans="1:87" ht="27" customHeight="1" x14ac:dyDescent="0.25">
      <c r="A47">
        <v>55599</v>
      </c>
      <c r="B47" s="23" t="s">
        <v>18</v>
      </c>
      <c r="C47" s="26"/>
      <c r="D47" s="24">
        <v>5</v>
      </c>
      <c r="E47" s="50">
        <v>33380</v>
      </c>
      <c r="F47" s="9"/>
      <c r="G47" s="9"/>
      <c r="H47" s="9"/>
      <c r="I47" s="9"/>
      <c r="J47" s="9"/>
      <c r="K47" s="9"/>
      <c r="L47" s="9"/>
      <c r="M47" s="9"/>
      <c r="N47" s="9">
        <f>E47</f>
        <v>33380</v>
      </c>
      <c r="O47" s="25"/>
      <c r="P47" s="9" t="s">
        <v>122</v>
      </c>
      <c r="Q47" s="9">
        <v>33380</v>
      </c>
      <c r="R47" s="9">
        <v>0</v>
      </c>
      <c r="S47" s="9">
        <v>0</v>
      </c>
      <c r="T47" s="9">
        <v>0</v>
      </c>
      <c r="U47" s="9">
        <v>33380</v>
      </c>
      <c r="V47" s="17" t="s">
        <v>67</v>
      </c>
      <c r="W47" s="15"/>
    </row>
    <row r="48" spans="1:87" ht="27" customHeight="1" x14ac:dyDescent="0.25">
      <c r="A48">
        <v>55599</v>
      </c>
      <c r="B48" s="23" t="s">
        <v>18</v>
      </c>
      <c r="C48" s="1">
        <v>45196</v>
      </c>
      <c r="D48" s="24">
        <v>3</v>
      </c>
      <c r="E48" s="50">
        <v>15334</v>
      </c>
      <c r="F48" s="9"/>
      <c r="G48" s="9"/>
      <c r="H48" s="9"/>
      <c r="I48" s="9"/>
      <c r="J48" s="9"/>
      <c r="K48" s="9"/>
      <c r="L48" s="9"/>
      <c r="M48" s="9"/>
      <c r="N48" s="9">
        <f>E48</f>
        <v>15334</v>
      </c>
      <c r="O48" s="15"/>
      <c r="P48" s="9" t="s">
        <v>150</v>
      </c>
      <c r="Q48" s="9">
        <v>15334</v>
      </c>
      <c r="R48" s="9"/>
      <c r="S48" s="9"/>
      <c r="T48" s="9"/>
      <c r="U48" s="9">
        <v>15334</v>
      </c>
      <c r="V48" s="17" t="s">
        <v>139</v>
      </c>
      <c r="W48" s="15"/>
    </row>
    <row r="49" spans="1:87" s="12" customFormat="1" x14ac:dyDescent="0.25">
      <c r="A49" s="16">
        <v>56459</v>
      </c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49">
        <f>A49</f>
        <v>56459</v>
      </c>
      <c r="P49" s="13"/>
      <c r="Q49" s="13"/>
      <c r="R49" s="13"/>
      <c r="S49" s="13"/>
      <c r="T49" s="13"/>
      <c r="U49" s="13"/>
      <c r="V49" s="16"/>
      <c r="W49" s="16">
        <f>SUM(N45:N48)-SUM(U45:U48)</f>
        <v>0</v>
      </c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</row>
    <row r="50" spans="1:87" ht="27" customHeight="1" x14ac:dyDescent="0.25">
      <c r="A50" s="15">
        <v>56459</v>
      </c>
      <c r="B50" s="23" t="s">
        <v>68</v>
      </c>
      <c r="C50" s="1">
        <v>45029</v>
      </c>
      <c r="D50" s="27">
        <v>4</v>
      </c>
      <c r="E50" s="9">
        <f>30%*370000</f>
        <v>111000</v>
      </c>
      <c r="F50" s="9">
        <v>0</v>
      </c>
      <c r="G50" s="9">
        <f>ROUND(E50-F50,0)</f>
        <v>111000</v>
      </c>
      <c r="H50" s="9">
        <f>ROUND(G50*18%,0)</f>
        <v>19980</v>
      </c>
      <c r="I50" s="9">
        <f>G50+H50</f>
        <v>130980</v>
      </c>
      <c r="J50" s="9">
        <f>G50*$J$6</f>
        <v>1110</v>
      </c>
      <c r="K50" s="9">
        <f>G50*10%</f>
        <v>11100</v>
      </c>
      <c r="L50" s="9">
        <f>H50</f>
        <v>19980</v>
      </c>
      <c r="M50" s="9"/>
      <c r="N50" s="9">
        <f>ROUND(I50-SUM(J50:M50),0)</f>
        <v>98790</v>
      </c>
      <c r="O50" s="25"/>
      <c r="P50" s="9" t="s">
        <v>69</v>
      </c>
      <c r="Q50" s="9">
        <v>98790</v>
      </c>
      <c r="R50" s="9"/>
      <c r="S50" s="9"/>
      <c r="T50" s="9"/>
      <c r="U50" s="9">
        <f>Q50</f>
        <v>98790</v>
      </c>
      <c r="V50" s="17" t="s">
        <v>70</v>
      </c>
      <c r="W50" s="15"/>
    </row>
    <row r="51" spans="1:87" ht="27" customHeight="1" x14ac:dyDescent="0.25">
      <c r="A51" s="15">
        <v>56459</v>
      </c>
      <c r="B51" s="23" t="s">
        <v>134</v>
      </c>
      <c r="C51" s="1">
        <v>45196</v>
      </c>
      <c r="D51" s="27">
        <v>4</v>
      </c>
      <c r="E51" s="9">
        <v>19980</v>
      </c>
      <c r="F51" s="9"/>
      <c r="G51" s="9">
        <f>ROUND(E51-F51,0)</f>
        <v>19980</v>
      </c>
      <c r="H51" s="9"/>
      <c r="I51" s="9">
        <f>G51+H51</f>
        <v>19980</v>
      </c>
      <c r="J51" s="9"/>
      <c r="K51" s="9"/>
      <c r="L51" s="9"/>
      <c r="M51" s="9"/>
      <c r="N51" s="9">
        <f>ROUND(I51-SUM(J51:M51),0)</f>
        <v>19980</v>
      </c>
      <c r="O51" s="15"/>
      <c r="P51" s="9" t="s">
        <v>151</v>
      </c>
      <c r="Q51" s="9">
        <v>19980</v>
      </c>
      <c r="R51" s="9"/>
      <c r="S51" s="9"/>
      <c r="T51" s="9"/>
      <c r="U51" s="9">
        <v>19980</v>
      </c>
      <c r="V51" s="17" t="s">
        <v>138</v>
      </c>
      <c r="W51" s="15"/>
    </row>
    <row r="52" spans="1:87" s="12" customFormat="1" x14ac:dyDescent="0.25">
      <c r="A52" s="16">
        <v>57230</v>
      </c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49">
        <f>A52</f>
        <v>57230</v>
      </c>
      <c r="P52" s="13"/>
      <c r="Q52" s="13"/>
      <c r="R52" s="13"/>
      <c r="S52" s="13"/>
      <c r="T52" s="13"/>
      <c r="U52" s="13"/>
      <c r="V52" s="16"/>
      <c r="W52" s="16">
        <f>SUM(N50:N51)-SUM(U50:U51)</f>
        <v>0</v>
      </c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  <c r="AZ52" s="32"/>
      <c r="BA52" s="32"/>
      <c r="BB52" s="32"/>
      <c r="BC52" s="32"/>
      <c r="BD52" s="32"/>
      <c r="BE52" s="32"/>
      <c r="BF52" s="32"/>
      <c r="BG52" s="32"/>
      <c r="BH52" s="32"/>
      <c r="BI52" s="32"/>
      <c r="BJ52" s="32"/>
      <c r="BK52" s="32"/>
      <c r="BL52" s="32"/>
      <c r="BM52" s="32"/>
      <c r="BN52" s="32"/>
      <c r="BO52" s="32"/>
      <c r="BP52" s="32"/>
      <c r="BQ52" s="32"/>
      <c r="BR52" s="32"/>
      <c r="BS52" s="32"/>
      <c r="BT52" s="32"/>
      <c r="BU52" s="32"/>
      <c r="BV52" s="32"/>
      <c r="BW52" s="32"/>
      <c r="BX52" s="32"/>
      <c r="BY52" s="32"/>
      <c r="BZ52" s="32"/>
      <c r="CA52" s="32"/>
      <c r="CB52" s="32"/>
      <c r="CC52" s="32"/>
      <c r="CD52" s="32"/>
      <c r="CE52" s="32"/>
      <c r="CF52" s="32"/>
      <c r="CG52" s="32"/>
      <c r="CH52" s="32"/>
      <c r="CI52" s="32"/>
    </row>
    <row r="53" spans="1:87" ht="27" customHeight="1" x14ac:dyDescent="0.25">
      <c r="A53" s="34">
        <v>57230</v>
      </c>
      <c r="B53" s="23" t="s">
        <v>71</v>
      </c>
      <c r="C53" s="1">
        <v>45062</v>
      </c>
      <c r="D53" s="24">
        <v>9</v>
      </c>
      <c r="E53" s="9">
        <v>104209</v>
      </c>
      <c r="F53" s="9">
        <v>27991</v>
      </c>
      <c r="G53" s="9">
        <f>ROUND(E53-F53,)</f>
        <v>76218</v>
      </c>
      <c r="H53" s="9">
        <f>ROUND(G53*$H$6,0)</f>
        <v>13719</v>
      </c>
      <c r="I53" s="9">
        <f>G53+H53</f>
        <v>89937</v>
      </c>
      <c r="J53" s="9">
        <f>ROUND(G53*$J$6,)</f>
        <v>762</v>
      </c>
      <c r="K53" s="9">
        <f>(G53*$K$6)</f>
        <v>3810.9</v>
      </c>
      <c r="L53" s="9">
        <f>ROUND(G53*$L$6,)</f>
        <v>7622</v>
      </c>
      <c r="M53" s="13">
        <f>H53</f>
        <v>13719</v>
      </c>
      <c r="N53" s="9">
        <f>ROUND(I53-SUM(J53:M53),0)</f>
        <v>64023</v>
      </c>
      <c r="O53" s="25"/>
      <c r="P53" s="9" t="s">
        <v>72</v>
      </c>
      <c r="Q53" s="9">
        <v>64023</v>
      </c>
      <c r="R53" s="9">
        <v>0</v>
      </c>
      <c r="S53" s="9">
        <v>0</v>
      </c>
      <c r="T53" s="9">
        <v>0</v>
      </c>
      <c r="U53" s="9">
        <f t="shared" ref="U53" si="37">Q53-R53</f>
        <v>64023</v>
      </c>
      <c r="V53" s="17" t="s">
        <v>73</v>
      </c>
      <c r="W53" s="15"/>
    </row>
    <row r="54" spans="1:87" ht="27" customHeight="1" x14ac:dyDescent="0.25">
      <c r="A54" s="15">
        <v>57230</v>
      </c>
      <c r="B54" s="23" t="s">
        <v>71</v>
      </c>
      <c r="C54" s="1">
        <v>45127</v>
      </c>
      <c r="D54" s="24">
        <v>33</v>
      </c>
      <c r="E54" s="9">
        <v>8290</v>
      </c>
      <c r="F54" s="9">
        <v>0</v>
      </c>
      <c r="G54" s="9">
        <f>ROUND(E54-F54,)</f>
        <v>8290</v>
      </c>
      <c r="H54" s="9">
        <f>ROUND(G54*$H$6,0)</f>
        <v>1492</v>
      </c>
      <c r="I54" s="9">
        <f>G54+H54</f>
        <v>9782</v>
      </c>
      <c r="J54" s="9">
        <f>ROUND(G54*$J$6,)</f>
        <v>83</v>
      </c>
      <c r="K54" s="9">
        <f>(G54*$K$6)</f>
        <v>414.5</v>
      </c>
      <c r="L54" s="9">
        <f>ROUND(G54*$L$6,)</f>
        <v>829</v>
      </c>
      <c r="M54" s="13">
        <f>H54</f>
        <v>1492</v>
      </c>
      <c r="N54" s="9">
        <f>ROUND(I54-SUM(J54:M54),0)</f>
        <v>6964</v>
      </c>
      <c r="O54" s="25" t="s">
        <v>157</v>
      </c>
      <c r="P54" s="9"/>
      <c r="Q54" s="9"/>
      <c r="R54" s="9"/>
      <c r="S54" s="9"/>
      <c r="T54" s="9"/>
      <c r="U54" s="9"/>
      <c r="V54" s="17"/>
      <c r="W54" s="15"/>
    </row>
    <row r="55" spans="1:87" s="12" customFormat="1" x14ac:dyDescent="0.25">
      <c r="A55" s="16">
        <v>57233</v>
      </c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49">
        <f>A55</f>
        <v>57233</v>
      </c>
      <c r="P55" s="13"/>
      <c r="Q55" s="13"/>
      <c r="R55" s="13"/>
      <c r="S55" s="13"/>
      <c r="T55" s="13"/>
      <c r="U55" s="13"/>
      <c r="V55" s="16"/>
      <c r="W55" s="53">
        <f>SUM(N53:N54)-SUM(U53:U54)</f>
        <v>6964</v>
      </c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  <c r="BA55" s="32"/>
      <c r="BB55" s="32"/>
      <c r="BC55" s="32"/>
      <c r="BD55" s="32"/>
      <c r="BE55" s="32"/>
      <c r="BF55" s="32"/>
      <c r="BG55" s="32"/>
      <c r="BH55" s="32"/>
      <c r="BI55" s="32"/>
      <c r="BJ55" s="32"/>
      <c r="BK55" s="32"/>
      <c r="BL55" s="32"/>
      <c r="BM55" s="32"/>
      <c r="BN55" s="32"/>
      <c r="BO55" s="32"/>
      <c r="BP55" s="32"/>
      <c r="BQ55" s="32"/>
      <c r="BR55" s="32"/>
      <c r="BS55" s="32"/>
      <c r="BT55" s="32"/>
      <c r="BU55" s="32"/>
      <c r="BV55" s="32"/>
      <c r="BW55" s="32"/>
      <c r="BX55" s="32"/>
      <c r="BY55" s="32"/>
      <c r="BZ55" s="32"/>
      <c r="CA55" s="32"/>
      <c r="CB55" s="32"/>
      <c r="CC55" s="32"/>
      <c r="CD55" s="32"/>
      <c r="CE55" s="32"/>
      <c r="CF55" s="32"/>
      <c r="CG55" s="32"/>
      <c r="CH55" s="32"/>
      <c r="CI55" s="32"/>
    </row>
    <row r="56" spans="1:87" ht="27" customHeight="1" x14ac:dyDescent="0.25">
      <c r="A56" s="34">
        <v>57233</v>
      </c>
      <c r="B56" s="23" t="s">
        <v>74</v>
      </c>
      <c r="C56" s="1">
        <v>45068</v>
      </c>
      <c r="D56" s="24">
        <v>10</v>
      </c>
      <c r="E56" s="9">
        <v>212591.15</v>
      </c>
      <c r="F56" s="9">
        <v>16591</v>
      </c>
      <c r="G56" s="9">
        <f>ROUND(E56-F56,)</f>
        <v>196000</v>
      </c>
      <c r="H56" s="9">
        <f>ROUND(G56*$H$6,0)</f>
        <v>35280</v>
      </c>
      <c r="I56" s="9">
        <f>G56+H56</f>
        <v>231280</v>
      </c>
      <c r="J56" s="9">
        <f>ROUND(G56*$J$6,)</f>
        <v>1960</v>
      </c>
      <c r="K56" s="9">
        <f>(G56*$K$6)</f>
        <v>9800</v>
      </c>
      <c r="L56" s="9">
        <f>ROUND(G56*$L$6,)</f>
        <v>19600</v>
      </c>
      <c r="M56" s="13">
        <f>H56</f>
        <v>35280</v>
      </c>
      <c r="N56" s="9">
        <f>ROUND(I56-SUM(J56:M56),0)</f>
        <v>164640</v>
      </c>
      <c r="O56" s="25"/>
      <c r="P56" s="9" t="s">
        <v>75</v>
      </c>
      <c r="Q56" s="9">
        <v>148500</v>
      </c>
      <c r="R56" s="9">
        <v>0</v>
      </c>
      <c r="S56" s="9">
        <v>0</v>
      </c>
      <c r="T56" s="9">
        <v>0</v>
      </c>
      <c r="U56" s="9">
        <f>Q56</f>
        <v>148500</v>
      </c>
      <c r="V56" s="17" t="s">
        <v>76</v>
      </c>
      <c r="W56" s="15"/>
    </row>
    <row r="57" spans="1:87" ht="27" customHeight="1" x14ac:dyDescent="0.25">
      <c r="A57" s="15">
        <v>57233</v>
      </c>
      <c r="B57" s="23" t="s">
        <v>74</v>
      </c>
      <c r="C57" s="1">
        <v>45148</v>
      </c>
      <c r="D57" s="24">
        <v>38</v>
      </c>
      <c r="E57" s="9">
        <v>846158.85</v>
      </c>
      <c r="F57" s="9">
        <v>62937</v>
      </c>
      <c r="G57" s="9">
        <f>ROUND(E57-F57,)</f>
        <v>783222</v>
      </c>
      <c r="H57" s="9">
        <f>ROUND(G57*$H$6,0)</f>
        <v>140980</v>
      </c>
      <c r="I57" s="9">
        <f>G57+H57</f>
        <v>924202</v>
      </c>
      <c r="J57" s="9">
        <f>ROUND(G57*$J$6,)</f>
        <v>7832</v>
      </c>
      <c r="K57" s="9">
        <f>(G57*$K$6)</f>
        <v>39161.1</v>
      </c>
      <c r="L57" s="9">
        <f>ROUND(G57*$L$6,)</f>
        <v>78322</v>
      </c>
      <c r="M57" s="13">
        <f>H57</f>
        <v>140980</v>
      </c>
      <c r="N57" s="9">
        <f>ROUND(I57-SUM(J57:M57),0)</f>
        <v>657907</v>
      </c>
      <c r="O57" s="25"/>
      <c r="P57" s="9" t="s">
        <v>77</v>
      </c>
      <c r="Q57" s="9">
        <v>16140</v>
      </c>
      <c r="R57" s="9"/>
      <c r="S57" s="9">
        <v>0</v>
      </c>
      <c r="T57" s="9">
        <v>0</v>
      </c>
      <c r="U57" s="9">
        <f t="shared" ref="U57:U58" si="38">Q57-R57</f>
        <v>16140</v>
      </c>
      <c r="V57" s="17" t="s">
        <v>78</v>
      </c>
      <c r="W57" s="15"/>
    </row>
    <row r="58" spans="1:87" ht="27" customHeight="1" x14ac:dyDescent="0.25">
      <c r="A58" s="15">
        <v>57233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25"/>
      <c r="P58" s="9" t="s">
        <v>79</v>
      </c>
      <c r="Q58" s="9">
        <v>148500</v>
      </c>
      <c r="R58" s="9"/>
      <c r="S58" s="9">
        <v>0</v>
      </c>
      <c r="T58" s="9">
        <v>0</v>
      </c>
      <c r="U58" s="9">
        <f t="shared" si="38"/>
        <v>148500</v>
      </c>
      <c r="V58" s="17" t="s">
        <v>80</v>
      </c>
      <c r="W58" s="15"/>
    </row>
    <row r="59" spans="1:87" ht="27" customHeight="1" x14ac:dyDescent="0.25">
      <c r="A59" s="15">
        <v>57233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25"/>
      <c r="P59" s="9" t="s">
        <v>110</v>
      </c>
      <c r="Q59" s="9">
        <v>400000</v>
      </c>
      <c r="R59" s="9">
        <f>Q59*1%</f>
        <v>4000</v>
      </c>
      <c r="S59" s="9"/>
      <c r="T59" s="9"/>
      <c r="U59" s="9">
        <f>Q59-R59</f>
        <v>396000</v>
      </c>
      <c r="V59" s="17" t="s">
        <v>109</v>
      </c>
      <c r="W59" s="15"/>
    </row>
    <row r="60" spans="1:87" ht="27" customHeight="1" x14ac:dyDescent="0.25">
      <c r="A60" s="15">
        <v>57233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25"/>
      <c r="P60" s="9" t="s">
        <v>124</v>
      </c>
      <c r="Q60" s="9">
        <v>113407</v>
      </c>
      <c r="R60" s="9"/>
      <c r="S60" s="9"/>
      <c r="T60" s="9"/>
      <c r="U60" s="9">
        <f>Q60-R60</f>
        <v>113407</v>
      </c>
      <c r="V60" s="17" t="s">
        <v>123</v>
      </c>
      <c r="W60" s="15"/>
    </row>
    <row r="61" spans="1:87" s="12" customFormat="1" x14ac:dyDescent="0.25">
      <c r="A61" s="16">
        <v>57234</v>
      </c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49">
        <f>A61</f>
        <v>57234</v>
      </c>
      <c r="P61" s="13"/>
      <c r="Q61" s="13"/>
      <c r="R61" s="13"/>
      <c r="S61" s="13"/>
      <c r="T61" s="13"/>
      <c r="U61" s="13"/>
      <c r="V61" s="16"/>
      <c r="W61" s="16">
        <f>SUM(N56:N60)-SUM(U56:U60)</f>
        <v>0</v>
      </c>
      <c r="X61" s="32"/>
      <c r="Y61" s="32"/>
      <c r="Z61" s="32"/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  <c r="AM61" s="32"/>
      <c r="AN61" s="32"/>
      <c r="AO61" s="32"/>
      <c r="AP61" s="32"/>
      <c r="AQ61" s="32"/>
      <c r="AR61" s="32"/>
      <c r="AS61" s="32"/>
      <c r="AT61" s="32"/>
      <c r="AU61" s="32"/>
      <c r="AV61" s="32"/>
      <c r="AW61" s="32"/>
      <c r="AX61" s="32"/>
      <c r="AY61" s="32"/>
      <c r="AZ61" s="32"/>
      <c r="BA61" s="32"/>
      <c r="BB61" s="32"/>
      <c r="BC61" s="32"/>
      <c r="BD61" s="32"/>
      <c r="BE61" s="32"/>
      <c r="BF61" s="32"/>
      <c r="BG61" s="32"/>
      <c r="BH61" s="32"/>
      <c r="BI61" s="32"/>
      <c r="BJ61" s="32"/>
      <c r="BK61" s="32"/>
      <c r="BL61" s="32"/>
      <c r="BM61" s="32"/>
      <c r="BN61" s="32"/>
      <c r="BO61" s="32"/>
      <c r="BP61" s="32"/>
      <c r="BQ61" s="32"/>
      <c r="BR61" s="32"/>
      <c r="BS61" s="32"/>
      <c r="BT61" s="32"/>
      <c r="BU61" s="32"/>
      <c r="BV61" s="32"/>
      <c r="BW61" s="32"/>
      <c r="BX61" s="32"/>
      <c r="BY61" s="32"/>
      <c r="BZ61" s="32"/>
      <c r="CA61" s="32"/>
      <c r="CB61" s="32"/>
      <c r="CC61" s="32"/>
      <c r="CD61" s="32"/>
      <c r="CE61" s="32"/>
      <c r="CF61" s="32"/>
      <c r="CG61" s="32"/>
      <c r="CH61" s="32"/>
      <c r="CI61" s="32"/>
    </row>
    <row r="62" spans="1:87" ht="27" customHeight="1" x14ac:dyDescent="0.25">
      <c r="A62">
        <v>57234</v>
      </c>
      <c r="B62" s="23" t="s">
        <v>81</v>
      </c>
      <c r="C62" s="1">
        <v>45099</v>
      </c>
      <c r="D62" s="24">
        <v>23</v>
      </c>
      <c r="E62" s="9">
        <f>1575000*5%</f>
        <v>78750</v>
      </c>
      <c r="F62" s="9">
        <v>17982</v>
      </c>
      <c r="G62" s="9">
        <f>ROUND(E62-F62,)</f>
        <v>60768</v>
      </c>
      <c r="H62" s="9">
        <f>ROUND(G62*$H$6,0)</f>
        <v>10938</v>
      </c>
      <c r="I62" s="9">
        <f>G62+H62</f>
        <v>71706</v>
      </c>
      <c r="J62" s="9">
        <f>ROUND(G62*$J$6,)</f>
        <v>608</v>
      </c>
      <c r="K62" s="9">
        <f>(G62*$K$6)</f>
        <v>3038.4</v>
      </c>
      <c r="L62" s="9">
        <f>ROUND(G62*$L$6,)</f>
        <v>6077</v>
      </c>
      <c r="M62" s="13">
        <f>H62</f>
        <v>10938</v>
      </c>
      <c r="N62" s="9">
        <f>ROUND(I62-SUM(J62:M62),0)</f>
        <v>51045</v>
      </c>
      <c r="O62" s="25"/>
      <c r="P62" s="9" t="s">
        <v>82</v>
      </c>
      <c r="Q62" s="9">
        <v>50000</v>
      </c>
      <c r="R62" s="9">
        <f>Q62*1%</f>
        <v>500</v>
      </c>
      <c r="S62" s="9">
        <v>0</v>
      </c>
      <c r="T62" s="9">
        <v>0</v>
      </c>
      <c r="U62" s="9">
        <f t="shared" ref="U62:U63" si="39">Q62-R62</f>
        <v>49500</v>
      </c>
      <c r="V62" s="17" t="s">
        <v>83</v>
      </c>
      <c r="W62" s="15"/>
    </row>
    <row r="63" spans="1:87" ht="27" customHeight="1" x14ac:dyDescent="0.25">
      <c r="A63">
        <v>57234</v>
      </c>
      <c r="B63" s="23" t="s">
        <v>81</v>
      </c>
      <c r="C63" s="1">
        <v>45109</v>
      </c>
      <c r="D63" s="24">
        <v>27</v>
      </c>
      <c r="E63" s="9">
        <f>1706250*25%-E62</f>
        <v>347812.5</v>
      </c>
      <c r="F63" s="9">
        <v>124088</v>
      </c>
      <c r="G63" s="9">
        <f>ROUND(E63-F63,)</f>
        <v>223725</v>
      </c>
      <c r="H63" s="9">
        <f>ROUND(G63*$H$6,0)</f>
        <v>40271</v>
      </c>
      <c r="I63" s="9">
        <f>G63+H63</f>
        <v>263996</v>
      </c>
      <c r="J63" s="9">
        <f>ROUND(G63*$J$6,)</f>
        <v>2237</v>
      </c>
      <c r="K63" s="9">
        <f>(G63*$K$6)</f>
        <v>11186.25</v>
      </c>
      <c r="L63" s="9">
        <f>ROUND(G63*$L$6,)</f>
        <v>22373</v>
      </c>
      <c r="M63" s="13">
        <f>H63</f>
        <v>40271</v>
      </c>
      <c r="N63" s="9">
        <f>ROUND(I63-SUM(J63:M63),0)</f>
        <v>187929</v>
      </c>
      <c r="O63" s="25"/>
      <c r="P63" s="9" t="s">
        <v>126</v>
      </c>
      <c r="Q63" s="9">
        <v>1545</v>
      </c>
      <c r="R63" s="9"/>
      <c r="S63" s="9"/>
      <c r="T63" s="9"/>
      <c r="U63" s="9">
        <f t="shared" si="39"/>
        <v>1545</v>
      </c>
      <c r="V63" s="17" t="s">
        <v>108</v>
      </c>
      <c r="W63" s="15"/>
    </row>
    <row r="64" spans="1:87" ht="27" customHeight="1" x14ac:dyDescent="0.25">
      <c r="A64">
        <v>57234</v>
      </c>
      <c r="B64" s="23"/>
      <c r="C64" s="1"/>
      <c r="D64" s="24"/>
      <c r="E64" s="9"/>
      <c r="F64" s="9"/>
      <c r="G64" s="9"/>
      <c r="H64" s="9"/>
      <c r="I64" s="9"/>
      <c r="J64" s="9"/>
      <c r="K64" s="9"/>
      <c r="L64" s="9"/>
      <c r="M64" s="9"/>
      <c r="N64" s="9"/>
      <c r="O64" s="25"/>
      <c r="P64" s="9" t="s">
        <v>127</v>
      </c>
      <c r="Q64" s="9">
        <v>187929</v>
      </c>
      <c r="R64" s="9"/>
      <c r="S64" s="9"/>
      <c r="T64" s="9"/>
      <c r="U64" s="9">
        <f>Q64-R64</f>
        <v>187929</v>
      </c>
      <c r="V64" s="17" t="s">
        <v>125</v>
      </c>
      <c r="W64" s="15"/>
    </row>
    <row r="65" spans="1:87" s="12" customFormat="1" x14ac:dyDescent="0.25">
      <c r="A65" s="16">
        <v>57368</v>
      </c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49">
        <f>A65</f>
        <v>57368</v>
      </c>
      <c r="P65" s="13"/>
      <c r="Q65" s="13"/>
      <c r="R65" s="13"/>
      <c r="S65" s="13"/>
      <c r="T65" s="13"/>
      <c r="U65" s="13"/>
      <c r="V65" s="16"/>
      <c r="W65" s="16">
        <f>SUM(N62:N64)-SUM(U62:U64)</f>
        <v>0</v>
      </c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</row>
    <row r="66" spans="1:87" ht="27" customHeight="1" x14ac:dyDescent="0.25">
      <c r="A66" s="34">
        <v>57368</v>
      </c>
      <c r="B66" s="23" t="s">
        <v>84</v>
      </c>
      <c r="C66" s="1">
        <v>45059</v>
      </c>
      <c r="D66" s="24">
        <v>8</v>
      </c>
      <c r="E66" s="9">
        <f>1575000*5%</f>
        <v>78750</v>
      </c>
      <c r="F66" s="9">
        <v>0</v>
      </c>
      <c r="G66" s="9">
        <f>ROUND(E66-F66,)</f>
        <v>78750</v>
      </c>
      <c r="H66" s="9">
        <f>ROUND(G66*$H$6,0)</f>
        <v>14175</v>
      </c>
      <c r="I66" s="9">
        <f>G66+H66</f>
        <v>92925</v>
      </c>
      <c r="J66" s="9">
        <f>ROUND(G66*$J$6,)</f>
        <v>788</v>
      </c>
      <c r="K66" s="9">
        <f>(G66*$K$6)</f>
        <v>3937.5</v>
      </c>
      <c r="L66" s="9">
        <f>ROUND(G66*$L$6,)</f>
        <v>7875</v>
      </c>
      <c r="M66" s="13">
        <f>H66</f>
        <v>14175</v>
      </c>
      <c r="N66" s="9">
        <f>ROUND(I66-SUM(J66:M66),0)</f>
        <v>66150</v>
      </c>
      <c r="O66" s="25"/>
      <c r="P66" s="9" t="s">
        <v>85</v>
      </c>
      <c r="Q66" s="9">
        <v>66149</v>
      </c>
      <c r="R66" s="9">
        <v>0</v>
      </c>
      <c r="S66" s="9">
        <v>0</v>
      </c>
      <c r="T66" s="9">
        <v>0</v>
      </c>
      <c r="U66" s="9">
        <f t="shared" ref="U66" si="40">Q66-R66</f>
        <v>66149</v>
      </c>
      <c r="V66" s="17" t="s">
        <v>86</v>
      </c>
      <c r="W66" s="15"/>
    </row>
    <row r="67" spans="1:87" ht="27" customHeight="1" x14ac:dyDescent="0.25">
      <c r="A67" s="15">
        <v>57368</v>
      </c>
      <c r="B67" s="23" t="s">
        <v>84</v>
      </c>
      <c r="C67" s="1">
        <v>45127</v>
      </c>
      <c r="D67" s="24">
        <v>8</v>
      </c>
      <c r="E67" s="9">
        <v>6562</v>
      </c>
      <c r="F67" s="9">
        <v>0</v>
      </c>
      <c r="G67" s="9">
        <f>ROUND(E67-F67,)</f>
        <v>6562</v>
      </c>
      <c r="H67" s="9">
        <f>ROUND(G67*$H$6,0)</f>
        <v>1181</v>
      </c>
      <c r="I67" s="9">
        <f>G67+H67</f>
        <v>7743</v>
      </c>
      <c r="J67" s="9">
        <f>ROUND(G67*$J$6,)</f>
        <v>66</v>
      </c>
      <c r="K67" s="9">
        <f>(G67*$K$6)</f>
        <v>328.1</v>
      </c>
      <c r="L67" s="9">
        <f>ROUND(G67*$L$6,)</f>
        <v>656</v>
      </c>
      <c r="M67" s="13">
        <f>H67</f>
        <v>1181</v>
      </c>
      <c r="N67" s="9">
        <f>ROUND(I67-SUM(J67:M67),0)</f>
        <v>5512</v>
      </c>
      <c r="O67" s="25"/>
      <c r="P67" s="9" t="s">
        <v>129</v>
      </c>
      <c r="Q67" s="9">
        <v>5513</v>
      </c>
      <c r="R67" s="9">
        <v>0</v>
      </c>
      <c r="S67" s="9">
        <v>0</v>
      </c>
      <c r="T67" s="9">
        <v>0</v>
      </c>
      <c r="U67" s="9">
        <f t="shared" ref="U67" si="41">Q67-R67</f>
        <v>5513</v>
      </c>
      <c r="V67" s="17" t="s">
        <v>128</v>
      </c>
      <c r="W67" s="15"/>
    </row>
    <row r="68" spans="1:87" s="12" customFormat="1" x14ac:dyDescent="0.25">
      <c r="A68" s="16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22">
        <f>A69</f>
        <v>57530</v>
      </c>
      <c r="P68" s="13"/>
      <c r="Q68" s="13"/>
      <c r="R68" s="13"/>
      <c r="S68" s="13"/>
      <c r="T68" s="13"/>
      <c r="U68" s="13"/>
      <c r="V68" s="16"/>
      <c r="W68" s="53">
        <f>SUM(N65:N67)-SUM(U65:U67)</f>
        <v>0</v>
      </c>
      <c r="X68" s="32"/>
      <c r="Y68" s="32"/>
      <c r="Z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  <c r="AM68" s="32"/>
      <c r="AN68" s="32"/>
      <c r="AO68" s="32"/>
      <c r="AP68" s="32"/>
      <c r="AQ68" s="32"/>
      <c r="AR68" s="32"/>
      <c r="AS68" s="32"/>
      <c r="AT68" s="32"/>
      <c r="AU68" s="32"/>
      <c r="AV68" s="32"/>
      <c r="AW68" s="32"/>
      <c r="AX68" s="32"/>
      <c r="AY68" s="32"/>
      <c r="AZ68" s="32"/>
      <c r="BA68" s="32"/>
      <c r="BB68" s="32"/>
      <c r="BC68" s="32"/>
      <c r="BD68" s="32"/>
      <c r="BE68" s="32"/>
      <c r="BF68" s="32"/>
      <c r="BG68" s="32"/>
      <c r="BH68" s="32"/>
      <c r="BI68" s="32"/>
      <c r="BJ68" s="32"/>
      <c r="BK68" s="32"/>
      <c r="BL68" s="32"/>
      <c r="BM68" s="32"/>
      <c r="BN68" s="32"/>
      <c r="BO68" s="32"/>
      <c r="BP68" s="32"/>
      <c r="BQ68" s="32"/>
      <c r="BR68" s="32"/>
      <c r="BS68" s="32"/>
      <c r="BT68" s="32"/>
      <c r="BU68" s="32"/>
      <c r="BV68" s="32"/>
      <c r="BW68" s="32"/>
      <c r="BX68" s="32"/>
      <c r="BY68" s="32"/>
      <c r="BZ68" s="32"/>
      <c r="CA68" s="32"/>
      <c r="CB68" s="32"/>
      <c r="CC68" s="32"/>
      <c r="CD68" s="32"/>
      <c r="CE68" s="32"/>
      <c r="CF68" s="32"/>
      <c r="CG68" s="32"/>
      <c r="CH68" s="32"/>
      <c r="CI68" s="32"/>
    </row>
    <row r="69" spans="1:87" ht="27" customHeight="1" x14ac:dyDescent="0.25">
      <c r="A69" s="34">
        <v>57530</v>
      </c>
      <c r="B69" s="23" t="s">
        <v>87</v>
      </c>
      <c r="C69" s="1">
        <v>45068</v>
      </c>
      <c r="D69" s="24">
        <v>11</v>
      </c>
      <c r="E69" s="9">
        <f>2354320*5%</f>
        <v>117716</v>
      </c>
      <c r="F69" s="9">
        <v>27991</v>
      </c>
      <c r="G69" s="9">
        <f>ROUND(E69-F69,)</f>
        <v>89725</v>
      </c>
      <c r="H69" s="9">
        <f>ROUND(G69*$H$6,0)</f>
        <v>16151</v>
      </c>
      <c r="I69" s="9">
        <f>G69+H69</f>
        <v>105876</v>
      </c>
      <c r="J69" s="9">
        <f>ROUND(G69*$J$6,)</f>
        <v>897</v>
      </c>
      <c r="K69" s="9">
        <f>(G69*$K$6)</f>
        <v>4486.25</v>
      </c>
      <c r="L69" s="9">
        <f>ROUND(G69*$L$6,)</f>
        <v>8973</v>
      </c>
      <c r="M69" s="13">
        <f>H69</f>
        <v>16151</v>
      </c>
      <c r="N69" s="9">
        <f>ROUND(I69-SUM(J69:M69),0)</f>
        <v>75369</v>
      </c>
      <c r="O69" s="25"/>
      <c r="P69" s="9" t="s">
        <v>88</v>
      </c>
      <c r="Q69" s="9">
        <v>75369</v>
      </c>
      <c r="R69" s="9">
        <v>0</v>
      </c>
      <c r="S69" s="9">
        <v>0</v>
      </c>
      <c r="T69" s="9">
        <v>0</v>
      </c>
      <c r="U69" s="9">
        <f t="shared" ref="U69" si="42">Q69-R69</f>
        <v>75369</v>
      </c>
      <c r="V69" s="17" t="s">
        <v>89</v>
      </c>
      <c r="W69" s="15"/>
    </row>
    <row r="70" spans="1:87" s="12" customFormat="1" x14ac:dyDescent="0.25">
      <c r="A70" s="16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22">
        <f>A71</f>
        <v>57603</v>
      </c>
      <c r="P70" s="13"/>
      <c r="Q70" s="13"/>
      <c r="R70" s="13"/>
      <c r="S70" s="13"/>
      <c r="T70" s="13"/>
      <c r="U70" s="13"/>
      <c r="V70" s="16"/>
      <c r="W70" s="53">
        <f>SUM(N69)-SUM(U69)</f>
        <v>0</v>
      </c>
      <c r="X70" s="32"/>
      <c r="Y70" s="32"/>
      <c r="Z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  <c r="AM70" s="32"/>
      <c r="AN70" s="32"/>
      <c r="AO70" s="32"/>
      <c r="AP70" s="32"/>
      <c r="AQ70" s="32"/>
      <c r="AR70" s="32"/>
      <c r="AS70" s="32"/>
      <c r="AT70" s="32"/>
      <c r="AU70" s="32"/>
      <c r="AV70" s="32"/>
      <c r="AW70" s="32"/>
      <c r="AX70" s="32"/>
      <c r="AY70" s="32"/>
      <c r="AZ70" s="32"/>
      <c r="BA70" s="32"/>
      <c r="BB70" s="32"/>
      <c r="BC70" s="32"/>
      <c r="BD70" s="32"/>
      <c r="BE70" s="32"/>
      <c r="BF70" s="32"/>
      <c r="BG70" s="32"/>
      <c r="BH70" s="32"/>
      <c r="BI70" s="32"/>
      <c r="BJ70" s="32"/>
      <c r="BK70" s="32"/>
      <c r="BL70" s="32"/>
      <c r="BM70" s="32"/>
      <c r="BN70" s="32"/>
      <c r="BO70" s="32"/>
      <c r="BP70" s="32"/>
      <c r="BQ70" s="32"/>
      <c r="BR70" s="32"/>
      <c r="BS70" s="32"/>
      <c r="BT70" s="32"/>
      <c r="BU70" s="32"/>
      <c r="BV70" s="32"/>
      <c r="BW70" s="32"/>
      <c r="BX70" s="32"/>
      <c r="BY70" s="32"/>
      <c r="BZ70" s="32"/>
      <c r="CA70" s="32"/>
      <c r="CB70" s="32"/>
      <c r="CC70" s="32"/>
      <c r="CD70" s="32"/>
      <c r="CE70" s="32"/>
      <c r="CF70" s="32"/>
      <c r="CG70" s="32"/>
      <c r="CH70" s="32"/>
      <c r="CI70" s="32"/>
    </row>
    <row r="71" spans="1:87" ht="27" customHeight="1" x14ac:dyDescent="0.25">
      <c r="A71" s="34">
        <v>57603</v>
      </c>
      <c r="B71" s="23" t="s">
        <v>90</v>
      </c>
      <c r="C71" s="1">
        <v>45073</v>
      </c>
      <c r="D71" s="24">
        <v>12</v>
      </c>
      <c r="E71" s="9">
        <v>110211.8</v>
      </c>
      <c r="F71" s="9">
        <v>20391</v>
      </c>
      <c r="G71" s="9">
        <f>ROUND(E71-F71,)</f>
        <v>89821</v>
      </c>
      <c r="H71" s="9">
        <f>ROUND(G71*$H$6,0)</f>
        <v>16168</v>
      </c>
      <c r="I71" s="9">
        <f>G71+H71</f>
        <v>105989</v>
      </c>
      <c r="J71" s="9">
        <f>ROUND(G71*$J$6,)</f>
        <v>898</v>
      </c>
      <c r="K71" s="9">
        <f>(G71*$K$6)</f>
        <v>4491.05</v>
      </c>
      <c r="L71" s="15">
        <v>8982</v>
      </c>
      <c r="M71" s="13">
        <f>H71</f>
        <v>16168</v>
      </c>
      <c r="N71" s="9">
        <f>ROUND(I71-SUM(J71:M71),0)</f>
        <v>75450</v>
      </c>
      <c r="O71" s="25"/>
      <c r="P71" s="9" t="s">
        <v>91</v>
      </c>
      <c r="Q71" s="9">
        <v>75450</v>
      </c>
      <c r="R71" s="9">
        <v>0</v>
      </c>
      <c r="S71" s="9">
        <v>0</v>
      </c>
      <c r="T71" s="9">
        <v>0</v>
      </c>
      <c r="U71" s="9">
        <f>Q71-R71</f>
        <v>75450</v>
      </c>
      <c r="V71" s="17" t="s">
        <v>92</v>
      </c>
      <c r="W71" s="15"/>
    </row>
    <row r="72" spans="1:87" s="12" customFormat="1" x14ac:dyDescent="0.25">
      <c r="A72" s="16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22">
        <f>A73</f>
        <v>57691</v>
      </c>
      <c r="P72" s="13"/>
      <c r="Q72" s="13"/>
      <c r="R72" s="13"/>
      <c r="S72" s="13"/>
      <c r="T72" s="13"/>
      <c r="U72" s="13"/>
      <c r="V72" s="16"/>
      <c r="W72" s="53">
        <f>SUM(N71)-SUM(U71)</f>
        <v>0</v>
      </c>
      <c r="X72" s="32"/>
      <c r="Y72" s="32"/>
      <c r="Z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  <c r="AM72" s="32"/>
      <c r="AN72" s="32"/>
      <c r="AO72" s="32"/>
      <c r="AP72" s="32"/>
      <c r="AQ72" s="32"/>
      <c r="AR72" s="32"/>
      <c r="AS72" s="32"/>
      <c r="AT72" s="32"/>
      <c r="AU72" s="32"/>
      <c r="AV72" s="32"/>
      <c r="AW72" s="32"/>
      <c r="AX72" s="32"/>
      <c r="AY72" s="32"/>
      <c r="AZ72" s="32"/>
      <c r="BA72" s="32"/>
      <c r="BB72" s="32"/>
      <c r="BC72" s="32"/>
      <c r="BD72" s="32"/>
      <c r="BE72" s="32"/>
      <c r="BF72" s="32"/>
      <c r="BG72" s="32"/>
      <c r="BH72" s="32"/>
      <c r="BI72" s="32"/>
      <c r="BJ72" s="32"/>
      <c r="BK72" s="32"/>
      <c r="BL72" s="32"/>
      <c r="BM72" s="32"/>
      <c r="BN72" s="32"/>
      <c r="BO72" s="32"/>
      <c r="BP72" s="32"/>
      <c r="BQ72" s="32"/>
      <c r="BR72" s="32"/>
      <c r="BS72" s="32"/>
      <c r="BT72" s="32"/>
      <c r="BU72" s="32"/>
      <c r="BV72" s="32"/>
      <c r="BW72" s="32"/>
      <c r="BX72" s="32"/>
      <c r="BY72" s="32"/>
      <c r="BZ72" s="32"/>
      <c r="CA72" s="32"/>
      <c r="CB72" s="32"/>
      <c r="CC72" s="32"/>
      <c r="CD72" s="32"/>
      <c r="CE72" s="32"/>
      <c r="CF72" s="32"/>
      <c r="CG72" s="32"/>
      <c r="CH72" s="32"/>
      <c r="CI72" s="32"/>
    </row>
    <row r="73" spans="1:87" ht="27" customHeight="1" x14ac:dyDescent="0.25">
      <c r="A73" s="34">
        <v>57691</v>
      </c>
      <c r="B73" s="23" t="s">
        <v>93</v>
      </c>
      <c r="C73" s="1">
        <v>45077</v>
      </c>
      <c r="D73" s="24">
        <v>13</v>
      </c>
      <c r="E73" s="9">
        <f>3585000*5%</f>
        <v>179250</v>
      </c>
      <c r="F73" s="9">
        <v>20391</v>
      </c>
      <c r="G73" s="9">
        <f>ROUND(E73-F73,)</f>
        <v>158859</v>
      </c>
      <c r="H73" s="9">
        <f>ROUND(G73*$H$6,0)</f>
        <v>28595</v>
      </c>
      <c r="I73" s="9">
        <f>G73+H73</f>
        <v>187454</v>
      </c>
      <c r="J73" s="9">
        <f>ROUND(G73*$J$6,)</f>
        <v>1589</v>
      </c>
      <c r="K73" s="9">
        <f>(G73*$K$6)</f>
        <v>7942.9500000000007</v>
      </c>
      <c r="L73" s="9">
        <f>ROUND(G73*$L$6,)</f>
        <v>15886</v>
      </c>
      <c r="M73" s="13">
        <f>H73</f>
        <v>28595</v>
      </c>
      <c r="N73" s="9">
        <f>ROUND(I73-SUM(J73:M73),0)</f>
        <v>133441</v>
      </c>
      <c r="O73" s="25"/>
      <c r="P73" s="9" t="s">
        <v>94</v>
      </c>
      <c r="Q73" s="9">
        <v>100000</v>
      </c>
      <c r="R73" s="9">
        <v>0</v>
      </c>
      <c r="S73" s="9">
        <v>0</v>
      </c>
      <c r="T73" s="9">
        <v>0</v>
      </c>
      <c r="U73" s="9">
        <f t="shared" ref="U73:U76" si="43">Q73-R73</f>
        <v>100000</v>
      </c>
      <c r="V73" s="17" t="s">
        <v>95</v>
      </c>
      <c r="W73" s="15"/>
    </row>
    <row r="74" spans="1:87" ht="27" customHeight="1" x14ac:dyDescent="0.25">
      <c r="A74" s="15">
        <v>57691</v>
      </c>
      <c r="B74" s="23" t="s">
        <v>93</v>
      </c>
      <c r="C74" s="1">
        <v>45109</v>
      </c>
      <c r="D74" s="24">
        <v>29</v>
      </c>
      <c r="E74" s="9">
        <v>816062</v>
      </c>
      <c r="F74" s="9">
        <v>67433</v>
      </c>
      <c r="G74" s="9">
        <f>ROUND(E74-F74,)</f>
        <v>748629</v>
      </c>
      <c r="H74" s="9">
        <f>ROUND(G74*$H$6,0)</f>
        <v>134753</v>
      </c>
      <c r="I74" s="9">
        <f>G74+H74</f>
        <v>883382</v>
      </c>
      <c r="J74" s="9">
        <f>ROUND(G74*$J$6,)</f>
        <v>7486</v>
      </c>
      <c r="K74" s="9">
        <f>(G74*$K$6)</f>
        <v>37431.450000000004</v>
      </c>
      <c r="L74" s="9">
        <f>ROUND(G74*$L$6,)</f>
        <v>74863</v>
      </c>
      <c r="M74" s="13">
        <f>H74</f>
        <v>134753</v>
      </c>
      <c r="N74" s="9">
        <f>ROUND(I74-SUM(J74:M74),0)</f>
        <v>628849</v>
      </c>
      <c r="O74" s="25"/>
      <c r="P74" s="9" t="s">
        <v>96</v>
      </c>
      <c r="Q74" s="9">
        <v>33441</v>
      </c>
      <c r="R74" s="9">
        <v>0</v>
      </c>
      <c r="S74" s="9">
        <v>0</v>
      </c>
      <c r="T74" s="9">
        <v>0</v>
      </c>
      <c r="U74" s="9">
        <f t="shared" si="43"/>
        <v>33441</v>
      </c>
      <c r="V74" s="17" t="s">
        <v>97</v>
      </c>
      <c r="W74" s="15"/>
    </row>
    <row r="75" spans="1:87" ht="27" customHeight="1" x14ac:dyDescent="0.25">
      <c r="A75" s="15">
        <v>57691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25"/>
      <c r="P75" s="9" t="s">
        <v>98</v>
      </c>
      <c r="Q75" s="9">
        <v>200000</v>
      </c>
      <c r="R75" s="9">
        <f>Q75*1%</f>
        <v>2000</v>
      </c>
      <c r="S75" s="9">
        <v>0</v>
      </c>
      <c r="T75" s="9">
        <v>0</v>
      </c>
      <c r="U75" s="9">
        <f t="shared" si="43"/>
        <v>198000</v>
      </c>
      <c r="V75" s="17" t="s">
        <v>99</v>
      </c>
      <c r="W75" s="15"/>
    </row>
    <row r="76" spans="1:87" ht="27" customHeight="1" x14ac:dyDescent="0.25">
      <c r="A76" s="15">
        <v>57691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25"/>
      <c r="P76" s="9" t="s">
        <v>131</v>
      </c>
      <c r="Q76" s="9">
        <v>430849</v>
      </c>
      <c r="R76" s="9"/>
      <c r="S76" s="9"/>
      <c r="T76" s="9"/>
      <c r="U76" s="9">
        <f t="shared" si="43"/>
        <v>430849</v>
      </c>
      <c r="V76" s="17" t="s">
        <v>130</v>
      </c>
      <c r="W76" s="15"/>
    </row>
    <row r="77" spans="1:87" s="12" customFormat="1" x14ac:dyDescent="0.25">
      <c r="A77" s="16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22">
        <f>A78</f>
        <v>57737</v>
      </c>
      <c r="P77" s="13"/>
      <c r="Q77" s="13"/>
      <c r="R77" s="13"/>
      <c r="S77" s="13"/>
      <c r="T77" s="13"/>
      <c r="U77" s="13"/>
      <c r="V77" s="16"/>
      <c r="W77" s="53">
        <f>SUM(N73:N76)-SUM(U73:U76)</f>
        <v>0</v>
      </c>
      <c r="X77" s="32"/>
      <c r="Y77" s="32"/>
      <c r="Z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  <c r="AM77" s="32"/>
      <c r="AN77" s="32"/>
      <c r="AO77" s="32"/>
      <c r="AP77" s="32"/>
      <c r="AQ77" s="32"/>
      <c r="AR77" s="32"/>
      <c r="AS77" s="32"/>
      <c r="AT77" s="32"/>
      <c r="AU77" s="32"/>
      <c r="AV77" s="32"/>
      <c r="AW77" s="32"/>
      <c r="AX77" s="32"/>
      <c r="AY77" s="32"/>
      <c r="AZ77" s="32"/>
      <c r="BA77" s="32"/>
      <c r="BB77" s="32"/>
      <c r="BC77" s="32"/>
      <c r="BD77" s="32"/>
      <c r="BE77" s="32"/>
      <c r="BF77" s="32"/>
      <c r="BG77" s="32"/>
      <c r="BH77" s="32"/>
      <c r="BI77" s="32"/>
      <c r="BJ77" s="32"/>
      <c r="BK77" s="32"/>
      <c r="BL77" s="32"/>
      <c r="BM77" s="32"/>
      <c r="BN77" s="32"/>
      <c r="BO77" s="32"/>
      <c r="BP77" s="32"/>
      <c r="BQ77" s="32"/>
      <c r="BR77" s="32"/>
      <c r="BS77" s="32"/>
      <c r="BT77" s="32"/>
      <c r="BU77" s="32"/>
      <c r="BV77" s="32"/>
      <c r="BW77" s="32"/>
      <c r="BX77" s="32"/>
      <c r="BY77" s="32"/>
      <c r="BZ77" s="32"/>
      <c r="CA77" s="32"/>
      <c r="CB77" s="32"/>
      <c r="CC77" s="32"/>
      <c r="CD77" s="32"/>
      <c r="CE77" s="32"/>
      <c r="CF77" s="32"/>
      <c r="CG77" s="32"/>
      <c r="CH77" s="32"/>
      <c r="CI77" s="32"/>
    </row>
    <row r="78" spans="1:87" ht="27" customHeight="1" x14ac:dyDescent="0.25">
      <c r="A78" s="34">
        <v>57737</v>
      </c>
      <c r="B78" s="28" t="s">
        <v>173</v>
      </c>
      <c r="C78" s="1">
        <v>45082</v>
      </c>
      <c r="D78" s="24">
        <v>16</v>
      </c>
      <c r="E78" s="9">
        <v>121247.45</v>
      </c>
      <c r="F78" s="9">
        <v>10789</v>
      </c>
      <c r="G78" s="9">
        <f>E78-F78</f>
        <v>110458.45</v>
      </c>
      <c r="H78" s="9">
        <f>ROUND(G78*18%,0)</f>
        <v>19883</v>
      </c>
      <c r="I78" s="9">
        <f>G78+H78</f>
        <v>130341.45</v>
      </c>
      <c r="J78" s="9">
        <v>1104.58</v>
      </c>
      <c r="K78" s="9">
        <v>5522.92</v>
      </c>
      <c r="L78" s="9">
        <f>G78*10%</f>
        <v>11045.845000000001</v>
      </c>
      <c r="M78" s="53">
        <f>H78</f>
        <v>19883</v>
      </c>
      <c r="N78" s="9">
        <f>ROUND(I78-SUM(J78:M78),0)</f>
        <v>92785</v>
      </c>
      <c r="O78" s="25"/>
      <c r="P78" s="9" t="s">
        <v>100</v>
      </c>
      <c r="Q78" s="9">
        <v>92784</v>
      </c>
      <c r="R78" s="9">
        <v>0</v>
      </c>
      <c r="S78" s="9">
        <v>0</v>
      </c>
      <c r="T78" s="9">
        <v>0</v>
      </c>
      <c r="U78" s="9">
        <f t="shared" ref="U78" si="44">Q78-R78</f>
        <v>92784</v>
      </c>
      <c r="V78" s="17" t="s">
        <v>101</v>
      </c>
      <c r="W78" s="15"/>
    </row>
    <row r="79" spans="1:87" s="12" customFormat="1" x14ac:dyDescent="0.25">
      <c r="A79" s="16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22">
        <f>A80</f>
        <v>58046</v>
      </c>
      <c r="P79" s="13"/>
      <c r="Q79" s="13"/>
      <c r="R79" s="13"/>
      <c r="S79" s="13"/>
      <c r="T79" s="13"/>
      <c r="U79" s="13"/>
      <c r="V79" s="16"/>
      <c r="W79" s="53">
        <f>SUM(N78)-SUM(U78)</f>
        <v>1</v>
      </c>
      <c r="X79" s="32"/>
      <c r="Y79" s="32"/>
      <c r="Z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  <c r="AM79" s="32"/>
      <c r="AN79" s="32"/>
      <c r="AO79" s="32"/>
      <c r="AP79" s="32"/>
      <c r="AQ79" s="32"/>
      <c r="AR79" s="32"/>
      <c r="AS79" s="32"/>
      <c r="AT79" s="32"/>
      <c r="AU79" s="32"/>
      <c r="AV79" s="32"/>
      <c r="AW79" s="32"/>
      <c r="AX79" s="32"/>
      <c r="AY79" s="32"/>
      <c r="AZ79" s="32"/>
      <c r="BA79" s="32"/>
      <c r="BB79" s="32"/>
      <c r="BC79" s="32"/>
      <c r="BD79" s="32"/>
      <c r="BE79" s="32"/>
      <c r="BF79" s="32"/>
      <c r="BG79" s="32"/>
      <c r="BH79" s="32"/>
      <c r="BI79" s="32"/>
      <c r="BJ79" s="32"/>
      <c r="BK79" s="32"/>
      <c r="BL79" s="32"/>
      <c r="BM79" s="32"/>
      <c r="BN79" s="32"/>
      <c r="BO79" s="32"/>
      <c r="BP79" s="32"/>
      <c r="BQ79" s="32"/>
      <c r="BR79" s="32"/>
      <c r="BS79" s="32"/>
      <c r="BT79" s="32"/>
      <c r="BU79" s="32"/>
      <c r="BV79" s="32"/>
      <c r="BW79" s="32"/>
      <c r="BX79" s="32"/>
      <c r="BY79" s="32"/>
      <c r="BZ79" s="32"/>
      <c r="CA79" s="32"/>
      <c r="CB79" s="32"/>
      <c r="CC79" s="32"/>
      <c r="CD79" s="32"/>
      <c r="CE79" s="32"/>
      <c r="CF79" s="32"/>
      <c r="CG79" s="32"/>
      <c r="CH79" s="32"/>
      <c r="CI79" s="32"/>
    </row>
    <row r="80" spans="1:87" ht="27" customHeight="1" x14ac:dyDescent="0.25">
      <c r="A80" s="34">
        <v>58046</v>
      </c>
      <c r="B80" s="28" t="s">
        <v>102</v>
      </c>
      <c r="C80" s="1">
        <v>45099</v>
      </c>
      <c r="D80" s="24">
        <v>20</v>
      </c>
      <c r="E80" s="9">
        <f>2204236*5%</f>
        <v>110211.8</v>
      </c>
      <c r="F80" s="9">
        <v>17982</v>
      </c>
      <c r="G80" s="9">
        <f>E80-F80</f>
        <v>92229.8</v>
      </c>
      <c r="H80" s="9">
        <f>ROUND(G80*18%,0)</f>
        <v>16601</v>
      </c>
      <c r="I80" s="9">
        <f>G80+H80</f>
        <v>108830.8</v>
      </c>
      <c r="J80" s="9">
        <v>922.3</v>
      </c>
      <c r="K80" s="9">
        <v>4611.49</v>
      </c>
      <c r="L80" s="9">
        <v>9222.98</v>
      </c>
      <c r="M80" s="13">
        <f>H80</f>
        <v>16601</v>
      </c>
      <c r="N80" s="9">
        <f>ROUND(I80-SUM(J80:M80),0)</f>
        <v>77473</v>
      </c>
      <c r="O80" s="25"/>
      <c r="P80" s="9" t="s">
        <v>103</v>
      </c>
      <c r="Q80" s="9">
        <v>77474</v>
      </c>
      <c r="R80" s="9">
        <v>0</v>
      </c>
      <c r="S80" s="9">
        <v>0</v>
      </c>
      <c r="T80" s="9">
        <v>0</v>
      </c>
      <c r="U80" s="9">
        <f t="shared" ref="U80" si="45">Q80-R80</f>
        <v>77474</v>
      </c>
      <c r="V80" s="17" t="s">
        <v>104</v>
      </c>
      <c r="W80" s="15"/>
    </row>
    <row r="81" spans="1:87" s="12" customFormat="1" x14ac:dyDescent="0.25">
      <c r="A81" s="16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22">
        <f>A82</f>
        <v>58047</v>
      </c>
      <c r="P81" s="13"/>
      <c r="Q81" s="13"/>
      <c r="R81" s="13"/>
      <c r="S81" s="13"/>
      <c r="T81" s="13"/>
      <c r="U81" s="13"/>
      <c r="V81" s="16"/>
      <c r="W81" s="53">
        <f>SUM(N80)-SUM(U80)</f>
        <v>-1</v>
      </c>
      <c r="X81" s="32"/>
      <c r="Y81" s="32"/>
      <c r="Z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  <c r="AM81" s="32"/>
      <c r="AN81" s="32"/>
      <c r="AO81" s="32"/>
      <c r="AP81" s="32"/>
      <c r="AQ81" s="32"/>
      <c r="AR81" s="32"/>
      <c r="AS81" s="32"/>
      <c r="AT81" s="32"/>
      <c r="AU81" s="32"/>
      <c r="AV81" s="32"/>
      <c r="AW81" s="32"/>
      <c r="AX81" s="32"/>
      <c r="AY81" s="32"/>
      <c r="AZ81" s="32"/>
      <c r="BA81" s="32"/>
      <c r="BB81" s="32"/>
      <c r="BC81" s="32"/>
      <c r="BD81" s="32"/>
      <c r="BE81" s="32"/>
      <c r="BF81" s="32"/>
      <c r="BG81" s="32"/>
      <c r="BH81" s="32"/>
      <c r="BI81" s="32"/>
      <c r="BJ81" s="32"/>
      <c r="BK81" s="32"/>
      <c r="BL81" s="32"/>
      <c r="BM81" s="32"/>
      <c r="BN81" s="32"/>
      <c r="BO81" s="32"/>
      <c r="BP81" s="32"/>
      <c r="BQ81" s="32"/>
      <c r="BR81" s="32"/>
      <c r="BS81" s="32"/>
      <c r="BT81" s="32"/>
      <c r="BU81" s="32"/>
      <c r="BV81" s="32"/>
      <c r="BW81" s="32"/>
      <c r="BX81" s="32"/>
      <c r="BY81" s="32"/>
      <c r="BZ81" s="32"/>
      <c r="CA81" s="32"/>
      <c r="CB81" s="32"/>
      <c r="CC81" s="32"/>
      <c r="CD81" s="32"/>
      <c r="CE81" s="32"/>
      <c r="CF81" s="32"/>
      <c r="CG81" s="32"/>
      <c r="CH81" s="32"/>
      <c r="CI81" s="32"/>
    </row>
    <row r="82" spans="1:87" ht="46.5" customHeight="1" x14ac:dyDescent="0.25">
      <c r="A82" s="34">
        <v>58047</v>
      </c>
      <c r="B82" s="28" t="s">
        <v>105</v>
      </c>
      <c r="C82" s="1">
        <v>45099</v>
      </c>
      <c r="D82" s="24">
        <v>21</v>
      </c>
      <c r="E82" s="9">
        <f>2354320*5%</f>
        <v>117716</v>
      </c>
      <c r="F82" s="9">
        <v>13487</v>
      </c>
      <c r="G82" s="9">
        <f>E82-F82</f>
        <v>104229</v>
      </c>
      <c r="H82" s="9">
        <f>ROUND(G82*18%,0)</f>
        <v>18761</v>
      </c>
      <c r="I82" s="9">
        <f>G82+H82</f>
        <v>122990</v>
      </c>
      <c r="J82" s="9">
        <f>G82*1%</f>
        <v>1042.29</v>
      </c>
      <c r="K82" s="9">
        <f>G82*5%</f>
        <v>5211.4500000000007</v>
      </c>
      <c r="L82" s="29">
        <f>G82*10%</f>
        <v>10422.900000000001</v>
      </c>
      <c r="M82" s="13">
        <f>H82</f>
        <v>18761</v>
      </c>
      <c r="N82" s="9">
        <f>ROUND(I82-SUM(J82:M82),0)</f>
        <v>87552</v>
      </c>
      <c r="O82" s="25"/>
      <c r="P82" s="9" t="s">
        <v>106</v>
      </c>
      <c r="Q82" s="9">
        <v>87553</v>
      </c>
      <c r="R82" s="9">
        <v>0</v>
      </c>
      <c r="S82" s="9">
        <v>0</v>
      </c>
      <c r="T82" s="9">
        <v>0</v>
      </c>
      <c r="U82" s="9">
        <f t="shared" ref="U82" si="46">Q82-R82</f>
        <v>87553</v>
      </c>
      <c r="V82" s="17" t="s">
        <v>107</v>
      </c>
      <c r="W82" s="15"/>
    </row>
    <row r="83" spans="1:87" s="12" customFormat="1" x14ac:dyDescent="0.25">
      <c r="A83" s="16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22">
        <f>A84</f>
        <v>58256</v>
      </c>
      <c r="P83" s="13"/>
      <c r="Q83" s="13"/>
      <c r="R83" s="13"/>
      <c r="S83" s="13"/>
      <c r="T83" s="13"/>
      <c r="U83" s="13"/>
      <c r="V83" s="16"/>
      <c r="W83" s="53">
        <f>SUM(N82)-SUM(U82)</f>
        <v>-1</v>
      </c>
      <c r="X83" s="32"/>
      <c r="Y83" s="32"/>
      <c r="Z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  <c r="AM83" s="32"/>
      <c r="AN83" s="32"/>
      <c r="AO83" s="32"/>
      <c r="AP83" s="32"/>
      <c r="AQ83" s="32"/>
      <c r="AR83" s="32"/>
      <c r="AS83" s="32"/>
      <c r="AT83" s="32"/>
      <c r="AU83" s="32"/>
      <c r="AV83" s="32"/>
      <c r="AW83" s="32"/>
      <c r="AX83" s="32"/>
      <c r="AY83" s="32"/>
      <c r="AZ83" s="32"/>
      <c r="BA83" s="32"/>
      <c r="BB83" s="32"/>
      <c r="BC83" s="32"/>
      <c r="BD83" s="32"/>
      <c r="BE83" s="32"/>
      <c r="BF83" s="32"/>
      <c r="BG83" s="32"/>
      <c r="BH83" s="32"/>
      <c r="BI83" s="32"/>
      <c r="BJ83" s="32"/>
      <c r="BK83" s="32"/>
      <c r="BL83" s="32"/>
      <c r="BM83" s="32"/>
      <c r="BN83" s="32"/>
      <c r="BO83" s="32"/>
      <c r="BP83" s="32"/>
      <c r="BQ83" s="32"/>
      <c r="BR83" s="32"/>
      <c r="BS83" s="32"/>
      <c r="BT83" s="32"/>
      <c r="BU83" s="32"/>
      <c r="BV83" s="32"/>
      <c r="BW83" s="32"/>
      <c r="BX83" s="32"/>
      <c r="BY83" s="32"/>
      <c r="BZ83" s="32"/>
      <c r="CA83" s="32"/>
      <c r="CB83" s="32"/>
      <c r="CC83" s="32"/>
      <c r="CD83" s="32"/>
      <c r="CE83" s="32"/>
      <c r="CF83" s="32"/>
      <c r="CG83" s="32"/>
      <c r="CH83" s="32"/>
      <c r="CI83" s="32"/>
    </row>
    <row r="84" spans="1:87" ht="57.75" customHeight="1" x14ac:dyDescent="0.25">
      <c r="A84" s="34">
        <v>58256</v>
      </c>
      <c r="B84" s="28" t="s">
        <v>172</v>
      </c>
      <c r="C84" s="1">
        <v>45109</v>
      </c>
      <c r="D84" s="24">
        <v>28</v>
      </c>
      <c r="E84" s="9">
        <v>236000</v>
      </c>
      <c r="F84" s="9">
        <v>13487</v>
      </c>
      <c r="G84" s="9">
        <f>E84-F84</f>
        <v>222513</v>
      </c>
      <c r="H84" s="9">
        <f>ROUND(G84*18%,0)</f>
        <v>40052</v>
      </c>
      <c r="I84" s="9">
        <f>G84+H84</f>
        <v>262565</v>
      </c>
      <c r="J84" s="9">
        <f>G84*1%</f>
        <v>2225.13</v>
      </c>
      <c r="K84" s="9">
        <f>G84*5%</f>
        <v>11125.650000000001</v>
      </c>
      <c r="L84" s="29">
        <f>G84*10%</f>
        <v>22251.300000000003</v>
      </c>
      <c r="M84" s="13">
        <f>H84</f>
        <v>40052</v>
      </c>
      <c r="N84" s="9">
        <f>ROUND(I84-SUM(J84:M84),0)</f>
        <v>186911</v>
      </c>
      <c r="O84" s="25"/>
      <c r="P84" s="9" t="s">
        <v>153</v>
      </c>
      <c r="Q84" s="9">
        <v>186911</v>
      </c>
      <c r="R84" s="9">
        <v>0</v>
      </c>
      <c r="S84" s="9">
        <v>0</v>
      </c>
      <c r="T84" s="9">
        <v>0</v>
      </c>
      <c r="U84" s="9">
        <f t="shared" ref="U84" si="47">Q84-R84</f>
        <v>186911</v>
      </c>
      <c r="V84" s="17" t="s">
        <v>152</v>
      </c>
      <c r="W84" s="15"/>
    </row>
    <row r="85" spans="1:87" s="12" customFormat="1" ht="27" customHeight="1" x14ac:dyDescent="0.25">
      <c r="A85" s="34">
        <v>58256</v>
      </c>
      <c r="B85" s="28"/>
      <c r="C85" s="1"/>
      <c r="D85" s="24"/>
      <c r="E85" s="9"/>
      <c r="F85" s="9"/>
      <c r="G85" s="9"/>
      <c r="H85" s="9"/>
      <c r="I85" s="9"/>
      <c r="J85" s="9"/>
      <c r="K85" s="9"/>
      <c r="L85" s="29"/>
      <c r="M85" s="9"/>
      <c r="N85" s="9"/>
      <c r="O85" s="25"/>
      <c r="P85" s="9"/>
      <c r="Q85" s="9"/>
      <c r="R85" s="9"/>
      <c r="S85" s="9"/>
      <c r="T85" s="9"/>
      <c r="U85" s="9">
        <v>148500</v>
      </c>
      <c r="V85" s="17" t="s">
        <v>154</v>
      </c>
      <c r="W85" s="15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</row>
    <row r="86" spans="1:87" x14ac:dyDescent="0.25">
      <c r="A86" s="34"/>
      <c r="B86" s="28"/>
      <c r="C86" s="1"/>
      <c r="D86" s="24"/>
      <c r="E86" s="9"/>
      <c r="F86" s="9"/>
      <c r="G86" s="9"/>
      <c r="H86" s="9"/>
      <c r="I86" s="9"/>
      <c r="J86" s="9"/>
      <c r="K86" s="9"/>
      <c r="L86" s="29"/>
      <c r="M86" s="9"/>
      <c r="N86" s="9"/>
      <c r="O86" s="25"/>
      <c r="P86" s="9"/>
      <c r="Q86" s="9"/>
      <c r="R86" s="9"/>
      <c r="S86" s="9"/>
      <c r="T86" s="9"/>
      <c r="U86" s="9"/>
      <c r="V86" s="17"/>
      <c r="W86" s="15"/>
    </row>
    <row r="87" spans="1:87" s="12" customFormat="1" x14ac:dyDescent="0.25">
      <c r="A87" s="16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22">
        <f>A88</f>
        <v>58621</v>
      </c>
      <c r="P87" s="13"/>
      <c r="Q87" s="13"/>
      <c r="R87" s="13"/>
      <c r="S87" s="13"/>
      <c r="T87" s="13"/>
      <c r="U87" s="13"/>
      <c r="V87" s="16"/>
      <c r="W87" s="53">
        <f>SUM(N84:N86)-SUM(U84:U86)</f>
        <v>-148500</v>
      </c>
      <c r="X87" s="32"/>
      <c r="Y87" s="32"/>
      <c r="Z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  <c r="AM87" s="32"/>
      <c r="AN87" s="32"/>
      <c r="AO87" s="32"/>
      <c r="AP87" s="32"/>
      <c r="AQ87" s="32"/>
      <c r="AR87" s="32"/>
      <c r="AS87" s="32"/>
      <c r="AT87" s="32"/>
      <c r="AU87" s="32"/>
      <c r="AV87" s="32"/>
      <c r="AW87" s="32"/>
      <c r="AX87" s="32"/>
      <c r="AY87" s="32"/>
      <c r="AZ87" s="32"/>
      <c r="BA87" s="32"/>
      <c r="BB87" s="32"/>
      <c r="BC87" s="32"/>
      <c r="BD87" s="32"/>
      <c r="BE87" s="32"/>
      <c r="BF87" s="32"/>
      <c r="BG87" s="32"/>
      <c r="BH87" s="32"/>
      <c r="BI87" s="32"/>
      <c r="BJ87" s="32"/>
      <c r="BK87" s="32"/>
      <c r="BL87" s="32"/>
      <c r="BM87" s="32"/>
      <c r="BN87" s="32"/>
      <c r="BO87" s="32"/>
      <c r="BP87" s="32"/>
      <c r="BQ87" s="32"/>
      <c r="BR87" s="32"/>
      <c r="BS87" s="32"/>
      <c r="BT87" s="32"/>
      <c r="BU87" s="32"/>
      <c r="BV87" s="32"/>
      <c r="BW87" s="32"/>
      <c r="BX87" s="32"/>
      <c r="BY87" s="32"/>
      <c r="BZ87" s="32"/>
      <c r="CA87" s="32"/>
      <c r="CB87" s="32"/>
      <c r="CC87" s="32"/>
      <c r="CD87" s="32"/>
      <c r="CE87" s="32"/>
      <c r="CF87" s="32"/>
      <c r="CG87" s="32"/>
      <c r="CH87" s="32"/>
      <c r="CI87" s="32"/>
    </row>
    <row r="88" spans="1:87" ht="28.5" x14ac:dyDescent="0.25">
      <c r="A88" s="34">
        <v>58621</v>
      </c>
      <c r="B88" s="23" t="s">
        <v>195</v>
      </c>
      <c r="C88" s="1">
        <v>45131</v>
      </c>
      <c r="D88" s="24">
        <v>37</v>
      </c>
      <c r="E88" s="9">
        <v>123750</v>
      </c>
      <c r="F88" s="9">
        <v>16184</v>
      </c>
      <c r="G88" s="9">
        <f>ROUND(E88-F88,)</f>
        <v>107566</v>
      </c>
      <c r="H88" s="9">
        <f>ROUND(G88*$H$6,0)</f>
        <v>19362</v>
      </c>
      <c r="I88" s="9">
        <f>G88+H88</f>
        <v>126928</v>
      </c>
      <c r="J88" s="9">
        <f>ROUND(G88*$J$6,)</f>
        <v>1076</v>
      </c>
      <c r="K88" s="9">
        <f>(G88*$K$6)</f>
        <v>5378.3</v>
      </c>
      <c r="L88" s="9">
        <v>10757</v>
      </c>
      <c r="M88" s="13">
        <f>H88</f>
        <v>19362</v>
      </c>
      <c r="N88" s="9">
        <f>ROUND(I88-SUM(J88:M88),0)</f>
        <v>90355</v>
      </c>
      <c r="O88" s="15"/>
      <c r="P88" s="9" t="s">
        <v>111</v>
      </c>
      <c r="Q88" s="9">
        <v>90355</v>
      </c>
      <c r="R88" s="9">
        <v>0</v>
      </c>
      <c r="S88" s="9">
        <v>0</v>
      </c>
      <c r="T88" s="9">
        <v>0</v>
      </c>
      <c r="U88" s="9">
        <f t="shared" ref="U88" si="48">Q88-R88</f>
        <v>90355</v>
      </c>
      <c r="V88" s="17" t="s">
        <v>112</v>
      </c>
      <c r="W88" s="15"/>
    </row>
    <row r="89" spans="1:87" s="12" customFormat="1" ht="28.5" x14ac:dyDescent="0.25">
      <c r="A89" s="15">
        <v>58621</v>
      </c>
      <c r="B89" s="23" t="s">
        <v>195</v>
      </c>
      <c r="C89" s="1">
        <v>45167</v>
      </c>
      <c r="D89" s="24">
        <v>39</v>
      </c>
      <c r="E89" s="9">
        <f>2475000*10%</f>
        <v>247500</v>
      </c>
      <c r="F89" s="9">
        <f>164767</f>
        <v>164767</v>
      </c>
      <c r="G89" s="9">
        <f>ROUND(E89-F89,)</f>
        <v>82733</v>
      </c>
      <c r="H89" s="9">
        <f>ROUND(G89*$H$6,0)</f>
        <v>14892</v>
      </c>
      <c r="I89" s="9">
        <f>G89+H89</f>
        <v>97625</v>
      </c>
      <c r="J89" s="9">
        <f>ROUND(G89*$J$6,)</f>
        <v>827</v>
      </c>
      <c r="K89" s="9">
        <f>(G89*$K$6)</f>
        <v>4136.6500000000005</v>
      </c>
      <c r="L89" s="9">
        <v>0</v>
      </c>
      <c r="M89" s="13">
        <f>H89</f>
        <v>14892</v>
      </c>
      <c r="N89" s="9">
        <f>ROUND(I89-SUM(J89:M89),0)</f>
        <v>77769</v>
      </c>
      <c r="O89" s="9"/>
      <c r="P89" s="9" t="s">
        <v>133</v>
      </c>
      <c r="Q89" s="9">
        <v>77769</v>
      </c>
      <c r="R89" s="9">
        <v>0</v>
      </c>
      <c r="S89" s="9">
        <v>0</v>
      </c>
      <c r="T89" s="9">
        <v>0</v>
      </c>
      <c r="U89" s="9">
        <f t="shared" ref="U89" si="49">Q89-R89</f>
        <v>77769</v>
      </c>
      <c r="V89" s="17" t="s">
        <v>132</v>
      </c>
      <c r="W89" s="15"/>
      <c r="X89" s="32"/>
      <c r="Y89" s="32"/>
      <c r="Z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  <c r="AM89" s="32"/>
      <c r="AN89" s="32"/>
      <c r="AO89" s="32"/>
      <c r="AP89" s="32"/>
      <c r="AQ89" s="32"/>
      <c r="AR89" s="32"/>
      <c r="AS89" s="32"/>
      <c r="AT89" s="32"/>
      <c r="AU89" s="32"/>
      <c r="AV89" s="32"/>
      <c r="AW89" s="32"/>
      <c r="AX89" s="32"/>
      <c r="AY89" s="32"/>
      <c r="AZ89" s="32"/>
      <c r="BA89" s="32"/>
      <c r="BB89" s="32"/>
      <c r="BC89" s="32"/>
      <c r="BD89" s="32"/>
      <c r="BE89" s="32"/>
      <c r="BF89" s="32"/>
      <c r="BG89" s="32"/>
      <c r="BH89" s="32"/>
      <c r="BI89" s="32"/>
      <c r="BJ89" s="32"/>
      <c r="BK89" s="32"/>
      <c r="BL89" s="32"/>
      <c r="BM89" s="32"/>
      <c r="BN89" s="32"/>
      <c r="BO89" s="32"/>
      <c r="BP89" s="32"/>
      <c r="BQ89" s="32"/>
      <c r="BR89" s="32"/>
      <c r="BS89" s="32"/>
      <c r="BT89" s="32"/>
      <c r="BU89" s="32"/>
      <c r="BV89" s="32"/>
      <c r="BW89" s="32"/>
      <c r="BX89" s="32"/>
      <c r="BY89" s="32"/>
      <c r="BZ89" s="32"/>
      <c r="CA89" s="32"/>
      <c r="CB89" s="32"/>
      <c r="CC89" s="32"/>
      <c r="CD89" s="32"/>
      <c r="CE89" s="32"/>
      <c r="CF89" s="32"/>
      <c r="CG89" s="32"/>
      <c r="CH89" s="32"/>
      <c r="CI89" s="32"/>
    </row>
    <row r="90" spans="1:87" x14ac:dyDescent="0.25">
      <c r="A90" s="15"/>
      <c r="B90" s="23"/>
      <c r="C90" s="1"/>
      <c r="D90" s="24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7"/>
      <c r="W90" s="15"/>
    </row>
    <row r="91" spans="1:87" s="12" customFormat="1" x14ac:dyDescent="0.25">
      <c r="A91" s="16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22">
        <f>A92</f>
        <v>58560</v>
      </c>
      <c r="P91" s="13"/>
      <c r="Q91" s="13"/>
      <c r="R91" s="13"/>
      <c r="S91" s="13"/>
      <c r="T91" s="13"/>
      <c r="U91" s="13"/>
      <c r="V91" s="16"/>
      <c r="W91" s="53">
        <f>SUM(N88:N90)-SUM(U88:U90)</f>
        <v>0</v>
      </c>
      <c r="X91" s="32"/>
      <c r="Y91" s="32"/>
      <c r="Z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  <c r="AM91" s="32"/>
      <c r="AN91" s="32"/>
      <c r="AO91" s="32"/>
      <c r="AP91" s="32"/>
      <c r="AQ91" s="32"/>
      <c r="AR91" s="32"/>
      <c r="AS91" s="32"/>
      <c r="AT91" s="32"/>
      <c r="AU91" s="32"/>
      <c r="AV91" s="32"/>
      <c r="AW91" s="32"/>
      <c r="AX91" s="32"/>
      <c r="AY91" s="32"/>
      <c r="AZ91" s="32"/>
      <c r="BA91" s="32"/>
      <c r="BB91" s="32"/>
      <c r="BC91" s="32"/>
      <c r="BD91" s="32"/>
      <c r="BE91" s="32"/>
      <c r="BF91" s="32"/>
      <c r="BG91" s="32"/>
      <c r="BH91" s="32"/>
      <c r="BI91" s="32"/>
      <c r="BJ91" s="32"/>
      <c r="BK91" s="32"/>
      <c r="BL91" s="32"/>
      <c r="BM91" s="32"/>
      <c r="BN91" s="32"/>
      <c r="BO91" s="32"/>
      <c r="BP91" s="32"/>
      <c r="BQ91" s="32"/>
      <c r="BR91" s="32"/>
      <c r="BS91" s="32"/>
      <c r="BT91" s="32"/>
      <c r="BU91" s="32"/>
      <c r="BV91" s="32"/>
      <c r="BW91" s="32"/>
      <c r="BX91" s="32"/>
      <c r="BY91" s="32"/>
      <c r="BZ91" s="32"/>
      <c r="CA91" s="32"/>
      <c r="CB91" s="32"/>
      <c r="CC91" s="32"/>
      <c r="CD91" s="32"/>
      <c r="CE91" s="32"/>
      <c r="CF91" s="32"/>
      <c r="CG91" s="32"/>
      <c r="CH91" s="32"/>
      <c r="CI91" s="32"/>
    </row>
    <row r="92" spans="1:87" ht="28.5" x14ac:dyDescent="0.25">
      <c r="A92" s="34">
        <v>58560</v>
      </c>
      <c r="B92" s="23" t="s">
        <v>174</v>
      </c>
      <c r="C92" s="1">
        <v>45131</v>
      </c>
      <c r="D92" s="24">
        <v>36</v>
      </c>
      <c r="E92" s="9">
        <f>2475000*5%</f>
        <v>123750</v>
      </c>
      <c r="F92" s="9">
        <v>8991</v>
      </c>
      <c r="G92" s="9">
        <f>ROUND(E92-F92,)</f>
        <v>114759</v>
      </c>
      <c r="H92" s="9">
        <f>ROUND(G92*$H$6,0)</f>
        <v>20657</v>
      </c>
      <c r="I92" s="9">
        <f>G92+H92</f>
        <v>135416</v>
      </c>
      <c r="J92" s="9">
        <f>ROUND(G92*$J$6,)</f>
        <v>1148</v>
      </c>
      <c r="K92" s="9">
        <f>(G92*$K$6)</f>
        <v>5737.9500000000007</v>
      </c>
      <c r="L92" s="9">
        <f>ROUND(G92*$L$6,)</f>
        <v>11476</v>
      </c>
      <c r="M92" s="13">
        <f>H92</f>
        <v>20657</v>
      </c>
      <c r="N92" s="9">
        <f>ROUND(I92-SUM(J92:M92),0)</f>
        <v>96397</v>
      </c>
      <c r="O92" s="9"/>
      <c r="P92" s="9" t="s">
        <v>135</v>
      </c>
      <c r="Q92" s="9">
        <v>96397</v>
      </c>
      <c r="R92" s="9">
        <v>0</v>
      </c>
      <c r="S92" s="9">
        <v>0</v>
      </c>
      <c r="T92" s="9">
        <v>0</v>
      </c>
      <c r="U92" s="9">
        <f>Q92-R92</f>
        <v>96397</v>
      </c>
      <c r="V92" s="17" t="s">
        <v>136</v>
      </c>
      <c r="W92" s="15"/>
    </row>
    <row r="93" spans="1:87" ht="28.5" x14ac:dyDescent="0.25">
      <c r="A93" s="15">
        <v>58560</v>
      </c>
      <c r="B93" s="23" t="s">
        <v>174</v>
      </c>
      <c r="C93" s="1">
        <v>45209</v>
      </c>
      <c r="D93" s="24">
        <v>40</v>
      </c>
      <c r="E93" s="9">
        <f>2475000*10%</f>
        <v>247500</v>
      </c>
      <c r="F93" s="9">
        <v>148663</v>
      </c>
      <c r="G93" s="9">
        <f>ROUND(E93-F93,)</f>
        <v>98837</v>
      </c>
      <c r="H93" s="9">
        <f>ROUND(G93*$H$6,0)</f>
        <v>17791</v>
      </c>
      <c r="I93" s="9">
        <f>G93+H93</f>
        <v>116628</v>
      </c>
      <c r="J93" s="9">
        <f>ROUND(G93*$J$6,)</f>
        <v>988</v>
      </c>
      <c r="K93" s="9">
        <f>(G93*$K$6)</f>
        <v>4941.8500000000004</v>
      </c>
      <c r="L93" s="9">
        <v>0</v>
      </c>
      <c r="M93" s="13">
        <f>H93</f>
        <v>17791</v>
      </c>
      <c r="N93" s="9">
        <f>ROUND(I93-SUM(J93:M93),0)</f>
        <v>92907</v>
      </c>
      <c r="O93" s="9"/>
      <c r="P93" s="25"/>
      <c r="Q93" s="9"/>
      <c r="R93" s="9">
        <v>0</v>
      </c>
      <c r="S93" s="9">
        <v>0</v>
      </c>
      <c r="T93" s="9">
        <v>0</v>
      </c>
      <c r="U93" s="9">
        <v>92907</v>
      </c>
      <c r="V93" s="9" t="s">
        <v>137</v>
      </c>
      <c r="W93" s="17"/>
    </row>
    <row r="94" spans="1:87" s="12" customFormat="1" x14ac:dyDescent="0.25">
      <c r="A94" s="16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22"/>
      <c r="P94" s="13"/>
      <c r="Q94" s="13"/>
      <c r="R94" s="13"/>
      <c r="S94" s="13"/>
      <c r="T94" s="13"/>
      <c r="U94" s="13"/>
      <c r="V94" s="16"/>
      <c r="W94" s="53">
        <f>SUM(N91:N93)-SUM(U91:U93)</f>
        <v>0</v>
      </c>
      <c r="X94" s="32"/>
      <c r="Y94" s="32"/>
      <c r="Z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  <c r="AM94" s="32"/>
      <c r="AN94" s="32"/>
      <c r="AO94" s="32"/>
      <c r="AP94" s="32"/>
      <c r="AQ94" s="32"/>
      <c r="AR94" s="32"/>
      <c r="AS94" s="32"/>
      <c r="AT94" s="32"/>
      <c r="AU94" s="32"/>
      <c r="AV94" s="32"/>
      <c r="AW94" s="32"/>
      <c r="AX94" s="32"/>
      <c r="AY94" s="32"/>
      <c r="AZ94" s="32"/>
      <c r="BA94" s="32"/>
      <c r="BB94" s="32"/>
      <c r="BC94" s="32"/>
      <c r="BD94" s="32"/>
      <c r="BE94" s="32"/>
      <c r="BF94" s="32"/>
      <c r="BG94" s="32"/>
      <c r="BH94" s="32"/>
      <c r="BI94" s="32"/>
      <c r="BJ94" s="32"/>
      <c r="BK94" s="32"/>
      <c r="BL94" s="32"/>
      <c r="BM94" s="32"/>
      <c r="BN94" s="32"/>
      <c r="BO94" s="32"/>
      <c r="BP94" s="32"/>
      <c r="BQ94" s="32"/>
      <c r="BR94" s="32"/>
      <c r="BS94" s="32"/>
      <c r="BT94" s="32"/>
      <c r="BU94" s="32"/>
      <c r="BV94" s="32"/>
      <c r="BW94" s="32"/>
      <c r="BX94" s="32"/>
      <c r="BY94" s="32"/>
      <c r="BZ94" s="32"/>
      <c r="CA94" s="32"/>
      <c r="CB94" s="32"/>
      <c r="CC94" s="32"/>
      <c r="CD94" s="32"/>
      <c r="CE94" s="32"/>
      <c r="CF94" s="32"/>
      <c r="CG94" s="32"/>
      <c r="CH94" s="32"/>
      <c r="CI94" s="32"/>
    </row>
    <row r="95" spans="1:87" ht="15.75" thickBot="1" x14ac:dyDescent="0.3">
      <c r="A95" s="40"/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0"/>
      <c r="M95" s="40"/>
      <c r="N95" s="40"/>
      <c r="O95" s="40"/>
      <c r="P95" s="40"/>
      <c r="Q95" s="40"/>
      <c r="R95" s="40"/>
      <c r="S95" s="40"/>
      <c r="T95" s="40"/>
      <c r="U95" s="40"/>
      <c r="V95" s="40"/>
      <c r="W95" s="41"/>
    </row>
    <row r="96" spans="1:87" x14ac:dyDescent="0.25">
      <c r="A96" s="20"/>
      <c r="B96" s="20"/>
      <c r="C96" s="20"/>
      <c r="D96" s="20"/>
      <c r="E96" s="42"/>
      <c r="F96" s="20"/>
      <c r="G96" s="42"/>
      <c r="H96" s="20"/>
      <c r="I96" s="20"/>
      <c r="J96" s="20"/>
      <c r="K96" s="42">
        <f t="shared" ref="K96:M96" si="50">SUM(K8:K94)</f>
        <v>309947.41000000003</v>
      </c>
      <c r="L96" s="42">
        <f t="shared" si="50"/>
        <v>534222.02499999991</v>
      </c>
      <c r="M96" s="42">
        <f t="shared" si="50"/>
        <v>1044414</v>
      </c>
      <c r="N96" s="42">
        <f>SUM(N8:N94)</f>
        <v>5253172</v>
      </c>
      <c r="O96" s="42"/>
      <c r="P96" s="42"/>
      <c r="Q96" s="42"/>
      <c r="R96" s="42"/>
      <c r="S96" s="42" t="s">
        <v>7</v>
      </c>
      <c r="T96" s="42"/>
      <c r="U96" s="42">
        <f>SUM(U6:U94)</f>
        <v>5737580</v>
      </c>
      <c r="V96" s="20"/>
      <c r="W96" s="42">
        <f>SUM(W6:W94)</f>
        <v>-277162</v>
      </c>
    </row>
    <row r="97" spans="1:23" x14ac:dyDescent="0.2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15"/>
    </row>
    <row r="98" spans="1:23" x14ac:dyDescent="0.2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30" t="s">
        <v>6</v>
      </c>
      <c r="T98" s="9"/>
      <c r="U98" s="30">
        <f>N96-U96</f>
        <v>-484408</v>
      </c>
      <c r="V98" s="9"/>
      <c r="W98" s="15"/>
    </row>
    <row r="99" spans="1:23" ht="15.75" thickBot="1" x14ac:dyDescent="0.3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8"/>
    </row>
    <row r="102" spans="1:23" x14ac:dyDescent="0.25">
      <c r="A102" s="3">
        <v>54345</v>
      </c>
      <c r="B102" s="3" t="s">
        <v>155</v>
      </c>
    </row>
    <row r="103" spans="1:23" ht="15.75" thickBot="1" x14ac:dyDescent="0.3">
      <c r="G103" s="61"/>
      <c r="H103" s="61"/>
      <c r="I103" s="61"/>
      <c r="J103" s="61"/>
    </row>
    <row r="104" spans="1:23" ht="19.5" thickBot="1" x14ac:dyDescent="0.3">
      <c r="G104" s="61"/>
      <c r="H104" s="61"/>
      <c r="I104" s="61"/>
      <c r="J104" s="61"/>
      <c r="L104" s="62" t="s">
        <v>167</v>
      </c>
      <c r="M104" s="62"/>
      <c r="N104" s="62"/>
      <c r="O104" s="62"/>
    </row>
    <row r="105" spans="1:23" ht="16.5" thickBot="1" x14ac:dyDescent="0.3">
      <c r="L105" s="63" t="s">
        <v>170</v>
      </c>
      <c r="M105" s="63"/>
      <c r="N105" s="63"/>
      <c r="O105" s="63"/>
    </row>
    <row r="106" spans="1:23" ht="16.5" thickBot="1" x14ac:dyDescent="0.3">
      <c r="L106" s="63" t="s">
        <v>164</v>
      </c>
      <c r="M106" s="63"/>
      <c r="N106" s="64">
        <f>K96+L96</f>
        <v>844169.43499999994</v>
      </c>
      <c r="O106" s="64"/>
    </row>
    <row r="107" spans="1:23" ht="16.5" thickBot="1" x14ac:dyDescent="0.3">
      <c r="L107" s="63" t="s">
        <v>142</v>
      </c>
      <c r="M107" s="63"/>
      <c r="N107" s="64">
        <f>U98</f>
        <v>-484408</v>
      </c>
      <c r="O107" s="64"/>
    </row>
    <row r="108" spans="1:23" ht="16.5" thickBot="1" x14ac:dyDescent="0.3">
      <c r="L108" s="63" t="s">
        <v>143</v>
      </c>
      <c r="M108" s="63"/>
      <c r="N108" s="64">
        <v>-1014467</v>
      </c>
      <c r="O108" s="64"/>
    </row>
    <row r="109" spans="1:23" ht="16.5" thickBot="1" x14ac:dyDescent="0.3">
      <c r="L109" s="65" t="s">
        <v>168</v>
      </c>
      <c r="M109" s="66"/>
      <c r="N109" s="67">
        <f>M96-M93-M92-M89-M88-M84-M82-M80-M78-M74-M73-M71-M69-M67-M66-M63-M62-M57-M56-M54-M53-M42-M38-M29-M28-M26-M22-M20-M18</f>
        <v>203210</v>
      </c>
      <c r="O109" s="68"/>
    </row>
    <row r="110" spans="1:23" ht="16.5" thickBot="1" x14ac:dyDescent="0.3">
      <c r="L110" s="65" t="s">
        <v>166</v>
      </c>
      <c r="M110" s="66"/>
      <c r="N110" s="67">
        <f>N106+N107+N108</f>
        <v>-654705.56500000006</v>
      </c>
      <c r="O110" s="68"/>
    </row>
    <row r="111" spans="1:23" ht="16.5" thickBot="1" x14ac:dyDescent="0.3">
      <c r="L111" s="65" t="s">
        <v>169</v>
      </c>
      <c r="M111" s="66"/>
      <c r="N111" s="67">
        <f>M96-N109</f>
        <v>841204</v>
      </c>
      <c r="O111" s="68"/>
    </row>
    <row r="112" spans="1:23" ht="16.5" thickBot="1" x14ac:dyDescent="0.3">
      <c r="L112" s="65" t="s">
        <v>165</v>
      </c>
      <c r="M112" s="66"/>
      <c r="N112" s="67">
        <f>N111-M18</f>
        <v>758328</v>
      </c>
      <c r="O112" s="68"/>
    </row>
  </sheetData>
  <mergeCells count="18">
    <mergeCell ref="N111:O111"/>
    <mergeCell ref="N112:O112"/>
    <mergeCell ref="L111:M111"/>
    <mergeCell ref="L112:M112"/>
    <mergeCell ref="L110:M110"/>
    <mergeCell ref="N110:O110"/>
    <mergeCell ref="L108:M108"/>
    <mergeCell ref="N108:O108"/>
    <mergeCell ref="L109:M109"/>
    <mergeCell ref="N109:O109"/>
    <mergeCell ref="L107:M107"/>
    <mergeCell ref="N107:O107"/>
    <mergeCell ref="G103:J103"/>
    <mergeCell ref="G104:J104"/>
    <mergeCell ref="L104:O104"/>
    <mergeCell ref="L105:O105"/>
    <mergeCell ref="L106:M106"/>
    <mergeCell ref="N106:O106"/>
  </mergeCells>
  <phoneticPr fontId="10" type="noConversion"/>
  <pageMargins left="0.7" right="0.7" top="0.75" bottom="0.75" header="0.3" footer="0.3"/>
  <pageSetup scale="27" fitToHeight="0" orientation="portrait" r:id="rId1"/>
  <rowBreaks count="1" manualBreakCount="1">
    <brk id="48" max="22" man="1"/>
  </rowBreaks>
  <ignoredErrors>
    <ignoredError sqref="N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G14:L22"/>
  <sheetViews>
    <sheetView workbookViewId="0">
      <selection activeCell="G15" sqref="G15:L22"/>
    </sheetView>
  </sheetViews>
  <sheetFormatPr defaultRowHeight="15" x14ac:dyDescent="0.25"/>
  <cols>
    <col min="11" max="11" width="58.7109375" bestFit="1" customWidth="1"/>
    <col min="12" max="12" width="18.5703125" customWidth="1"/>
  </cols>
  <sheetData>
    <row r="14" spans="7:12" ht="15.75" thickBot="1" x14ac:dyDescent="0.3"/>
    <row r="15" spans="7:12" ht="21.75" thickBot="1" x14ac:dyDescent="0.3">
      <c r="G15" s="69" t="s">
        <v>8</v>
      </c>
      <c r="H15" s="69"/>
      <c r="I15" s="69"/>
      <c r="J15" s="69"/>
      <c r="K15" s="69"/>
      <c r="L15" s="69"/>
    </row>
    <row r="16" spans="7:12" ht="19.5" thickBot="1" x14ac:dyDescent="0.3">
      <c r="G16" s="62"/>
      <c r="H16" s="62"/>
      <c r="I16" s="62"/>
      <c r="J16" s="62"/>
      <c r="K16" s="62"/>
      <c r="L16" s="62"/>
    </row>
    <row r="17" spans="7:12" ht="19.5" thickBot="1" x14ac:dyDescent="0.3">
      <c r="G17" s="62" t="s">
        <v>144</v>
      </c>
      <c r="H17" s="62"/>
      <c r="I17" s="62"/>
      <c r="J17" s="62"/>
      <c r="K17" s="33" t="s">
        <v>159</v>
      </c>
      <c r="L17" s="52">
        <v>844169.43499999994</v>
      </c>
    </row>
    <row r="18" spans="7:12" ht="19.5" thickBot="1" x14ac:dyDescent="0.3">
      <c r="G18" s="62" t="s">
        <v>143</v>
      </c>
      <c r="H18" s="62"/>
      <c r="I18" s="62"/>
      <c r="J18" s="62"/>
      <c r="K18" s="19" t="s">
        <v>160</v>
      </c>
      <c r="L18" s="52">
        <f>197750+65634+733101</f>
        <v>996485</v>
      </c>
    </row>
    <row r="19" spans="7:12" ht="19.5" thickBot="1" x14ac:dyDescent="0.3">
      <c r="G19" s="62" t="s">
        <v>161</v>
      </c>
      <c r="H19" s="62"/>
      <c r="I19" s="62"/>
      <c r="J19" s="62"/>
      <c r="K19" s="19"/>
      <c r="L19" s="19">
        <v>484408</v>
      </c>
    </row>
    <row r="20" spans="7:12" ht="19.5" thickBot="1" x14ac:dyDescent="0.3">
      <c r="G20" s="62" t="s">
        <v>158</v>
      </c>
      <c r="H20" s="62"/>
      <c r="I20" s="62"/>
      <c r="J20" s="62"/>
      <c r="K20" s="19"/>
      <c r="L20" s="19">
        <v>1044414</v>
      </c>
    </row>
    <row r="21" spans="7:12" ht="19.5" thickBot="1" x14ac:dyDescent="0.3">
      <c r="G21" s="62" t="s">
        <v>162</v>
      </c>
      <c r="H21" s="62"/>
      <c r="I21" s="62"/>
      <c r="J21" s="62"/>
      <c r="K21" s="19"/>
      <c r="L21" s="19">
        <v>223190</v>
      </c>
    </row>
    <row r="22" spans="7:12" ht="19.5" thickBot="1" x14ac:dyDescent="0.3">
      <c r="G22" s="62" t="s">
        <v>163</v>
      </c>
      <c r="H22" s="62"/>
      <c r="I22" s="62"/>
      <c r="J22" s="62"/>
      <c r="K22" s="19"/>
      <c r="L22" s="19">
        <f>L20-L21</f>
        <v>821224</v>
      </c>
    </row>
  </sheetData>
  <mergeCells count="8">
    <mergeCell ref="G20:J20"/>
    <mergeCell ref="G21:J21"/>
    <mergeCell ref="G22:J22"/>
    <mergeCell ref="G15:L15"/>
    <mergeCell ref="G16:L16"/>
    <mergeCell ref="G17:J17"/>
    <mergeCell ref="G18:J18"/>
    <mergeCell ref="G19:J19"/>
  </mergeCells>
  <pageMargins left="0.51181102362204722" right="0.70866141732283472" top="0.74803149606299213" bottom="0.74803149606299213" header="0.31496062992125984" footer="0.31496062992125984"/>
  <pageSetup paperSize="9" scale="7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Sheet1!Print_Area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Shahin Shaikh</cp:lastModifiedBy>
  <cp:lastPrinted>2024-05-06T12:23:40Z</cp:lastPrinted>
  <dcterms:created xsi:type="dcterms:W3CDTF">2022-06-10T14:11:52Z</dcterms:created>
  <dcterms:modified xsi:type="dcterms:W3CDTF">2025-05-14T10:10:47Z</dcterms:modified>
</cp:coreProperties>
</file>