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F586126A-3DA2-4AD7-A2B8-425403BF9FE4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  <sheet name="5312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P59" i="1" l="1"/>
  <c r="E24" i="1"/>
  <c r="G48" i="1" l="1"/>
  <c r="G52" i="1"/>
  <c r="O52" i="1" s="1"/>
  <c r="E53" i="1" s="1"/>
  <c r="Q53" i="1" s="1"/>
  <c r="K52" i="1" l="1"/>
  <c r="J52" i="1"/>
  <c r="J48" i="1"/>
  <c r="K48" i="1"/>
  <c r="H48" i="1"/>
  <c r="I48" i="1" s="1"/>
  <c r="O48" i="1"/>
  <c r="E49" i="1" s="1"/>
  <c r="Q49" i="1" s="1"/>
  <c r="H52" i="1"/>
  <c r="I52" i="1" s="1"/>
  <c r="V12" i="1"/>
  <c r="V16" i="1"/>
  <c r="V23" i="1"/>
  <c r="V28" i="1"/>
  <c r="G44" i="1"/>
  <c r="H44" i="1" s="1"/>
  <c r="G43" i="1"/>
  <c r="O43" i="1" s="1"/>
  <c r="Q48" i="1" l="1"/>
  <c r="V48" i="1" s="1"/>
  <c r="Q52" i="1"/>
  <c r="V52" i="1" s="1"/>
  <c r="J44" i="1"/>
  <c r="K44" i="1"/>
  <c r="Q44" i="1" s="1"/>
  <c r="I44" i="1"/>
  <c r="O44" i="1"/>
  <c r="E45" i="1" s="1"/>
  <c r="Q45" i="1" s="1"/>
  <c r="H43" i="1"/>
  <c r="I43" i="1" s="1"/>
  <c r="V43" i="1" l="1"/>
  <c r="K43" i="1"/>
  <c r="J43" i="1"/>
  <c r="G40" i="1"/>
  <c r="J40" i="1" l="1"/>
  <c r="H40" i="1"/>
  <c r="O40" i="1" s="1"/>
  <c r="E41" i="1" s="1"/>
  <c r="Q41" i="1" s="1"/>
  <c r="N40" i="1"/>
  <c r="N59" i="1" s="1"/>
  <c r="K40" i="1"/>
  <c r="I40" i="1" l="1"/>
  <c r="Q40" i="1" s="1"/>
  <c r="V40" i="1" s="1"/>
  <c r="U9" i="1"/>
  <c r="T9" i="1"/>
  <c r="U8" i="1"/>
  <c r="T8" i="1"/>
  <c r="B9" i="1"/>
  <c r="D9" i="1"/>
  <c r="E9" i="1"/>
  <c r="F9" i="1"/>
  <c r="H9" i="1"/>
  <c r="J9" i="1"/>
  <c r="K9" i="1"/>
  <c r="O9" i="1"/>
  <c r="D8" i="1"/>
  <c r="B8" i="1"/>
  <c r="F9" i="2"/>
  <c r="H9" i="2" s="1"/>
  <c r="O12" i="2"/>
  <c r="F8" i="2"/>
  <c r="H8" i="2" s="1"/>
  <c r="F7" i="2"/>
  <c r="H7" i="2" s="1"/>
  <c r="L7" i="2" s="1"/>
  <c r="Q9" i="1" s="1"/>
  <c r="E6" i="2"/>
  <c r="F8" i="1" s="1"/>
  <c r="D6" i="2"/>
  <c r="T59" i="1" l="1"/>
  <c r="F6" i="2"/>
  <c r="G8" i="1" s="1"/>
  <c r="G9" i="1"/>
  <c r="E8" i="1"/>
  <c r="I9" i="1"/>
  <c r="I8" i="2"/>
  <c r="L8" i="2" s="1"/>
  <c r="I9" i="2"/>
  <c r="L9" i="2" s="1"/>
  <c r="G6" i="2"/>
  <c r="I6" i="2" l="1"/>
  <c r="J8" i="1" s="1"/>
  <c r="J6" i="2"/>
  <c r="K8" i="1" s="1"/>
  <c r="K6" i="2"/>
  <c r="O8" i="1" s="1"/>
  <c r="H8" i="1"/>
  <c r="H6" i="2"/>
  <c r="L6" i="2" l="1"/>
  <c r="I8" i="1"/>
  <c r="G37" i="1"/>
  <c r="J37" i="1" s="1"/>
  <c r="G35" i="1"/>
  <c r="H35" i="1" s="1"/>
  <c r="L12" i="2" l="1"/>
  <c r="O14" i="2" s="1"/>
  <c r="Q8" i="1"/>
  <c r="H37" i="1"/>
  <c r="O37" i="1" s="1"/>
  <c r="E38" i="1" s="1"/>
  <c r="Q38" i="1" s="1"/>
  <c r="K37" i="1"/>
  <c r="O35" i="1"/>
  <c r="K35" i="1"/>
  <c r="J35" i="1"/>
  <c r="I35" i="1"/>
  <c r="G33" i="1"/>
  <c r="K33" i="1" s="1"/>
  <c r="V8" i="1" l="1"/>
  <c r="K59" i="1"/>
  <c r="K67" i="1" s="1"/>
  <c r="I37" i="1"/>
  <c r="Q37" i="1" s="1"/>
  <c r="V37" i="1" s="1"/>
  <c r="H33" i="1"/>
  <c r="Q35" i="1"/>
  <c r="G27" i="1" l="1"/>
  <c r="I27" i="1" s="1"/>
  <c r="J27" i="1" l="1"/>
  <c r="Q27" i="1" s="1"/>
  <c r="J33" i="1" l="1"/>
  <c r="O33" i="1" l="1"/>
  <c r="O59" i="1" s="1"/>
  <c r="I33" i="1"/>
  <c r="E34" i="1" l="1"/>
  <c r="Q34" i="1" s="1"/>
  <c r="Q33" i="1"/>
  <c r="V33" i="1" l="1"/>
  <c r="V59" i="1" s="1"/>
  <c r="Q59" i="1"/>
  <c r="T61" i="1" s="1"/>
  <c r="K68" i="1" s="1"/>
</calcChain>
</file>

<file path=xl/sharedStrings.xml><?xml version="1.0" encoding="utf-8"?>
<sst xmlns="http://schemas.openxmlformats.org/spreadsheetml/2006/main" count="112" uniqueCount="96">
  <si>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</si>
  <si>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</si>
  <si>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</si>
  <si>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</si>
  <si>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</si>
  <si>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</si>
  <si>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</si>
  <si>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</si>
  <si>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</si>
  <si>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</si>
  <si>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</si>
  <si>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</si>
  <si>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</si>
  <si>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</si>
  <si>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 xml:space="preserve">Debit </t>
  </si>
  <si>
    <t>After Debit Amt</t>
  </si>
  <si>
    <t>Muzaffarnagar UP</t>
  </si>
  <si>
    <t>Pump House work</t>
  </si>
  <si>
    <t>Total Payable Amount Rs. -</t>
  </si>
  <si>
    <t>AAR Infratech</t>
  </si>
  <si>
    <t>chimau village pump house work</t>
  </si>
  <si>
    <t>Budalkhedi Village Pump House work</t>
  </si>
  <si>
    <t>29-03-2023 NEFT/AXISP00376153229/RIUP22/2759/AAR INFRATECH 294834.00</t>
  </si>
  <si>
    <t>GST release note</t>
  </si>
  <si>
    <t>19-04-2023 19-04-2023 NEFT/AXISP00382826211/SPUP23/0163/AAR INFRATECH 59629.00</t>
  </si>
  <si>
    <t>Nirdhana Village Pump House work</t>
  </si>
  <si>
    <t>31-01-2023 NEFT/AXISP00358425198/RIUP22/2026/AAR INFRASTRUCT 300669.00</t>
  </si>
  <si>
    <t>17-03-2023 NEFT/AXISP00372194524/RIUP22/2636/AAR INFRATECH 57574.00</t>
  </si>
  <si>
    <t>02-03-2023 NEFT/AXISP00367739105/RIUP22/2400/AAR INFRATECH 285009.00</t>
  </si>
  <si>
    <t>03-03-2023 NEFT/AXISP00368176791/RIUP22/2421/AAR INFRATECH 9790.00</t>
  </si>
  <si>
    <t>21-04-2023 NEFT/AXISP00383377301/SPUP23/0162/AAR INFRATECH 59622.00</t>
  </si>
  <si>
    <t>Haibatpur Village Pump House work</t>
  </si>
  <si>
    <t>31-12-2022 NEFT/AXISP00350264779/RIUP22/1533/AAR INFRASTRUCT 283737.00</t>
  </si>
  <si>
    <t>GST Release Note</t>
  </si>
  <si>
    <t>31-01-2023 NEFT/AXISP00358425200/RIUP22/2033/AAR INFRASTRUCT 57385.00</t>
  </si>
  <si>
    <t>Ghissukheda Village Pump House work</t>
  </si>
  <si>
    <t>03-12-2022 NEFT/AXISP00343154180/RIUP22/1398/AAR INFRASTRUCT 285463.00</t>
  </si>
  <si>
    <t>GST Release note</t>
  </si>
  <si>
    <t>23-12-2022 NEFT/AXISP00348423647/RIUP22/1603/AAR INFRASTRUCT 57734.00</t>
  </si>
  <si>
    <t>11-07-2023 NEFT/AXISP00406114771/RIUP23/1022/AAR INFRATECH 294629.00</t>
  </si>
  <si>
    <t>Budhakheda village Boundry wall work</t>
  </si>
  <si>
    <t>Total Paid</t>
  </si>
  <si>
    <t>Balance Payable</t>
  </si>
  <si>
    <t>18-08-2023 NEFT/AXISP00416613514/RIUP23/1545/AAR INFRATECH 59588.00</t>
  </si>
  <si>
    <t>10-08-2023 NEFT/AXISP00414796772/RIUP23/1463/AAR INFRATECH 297190.00</t>
  </si>
  <si>
    <t>Saidpur Kalan village pump house work</t>
  </si>
  <si>
    <t>03-10-2023 NEFT/AXISP00429778563/RIUP23/2349/AAR INFRATECH/PUNB0079310 290991.00</t>
  </si>
  <si>
    <t>05-12-2023 NEFT/AXISP00449859244/RIUP23/3498/AAR INFRATECH/PUNB0079310 ₹ 2,01,602.00</t>
  </si>
  <si>
    <t>Total Hold</t>
  </si>
  <si>
    <t>Advance / Surplus</t>
  </si>
  <si>
    <t>Debit</t>
  </si>
  <si>
    <t>Nil</t>
  </si>
  <si>
    <t>GST Remaining</t>
  </si>
  <si>
    <t xml:space="preserve">GST </t>
  </si>
  <si>
    <t>15-01-2024 NEFT/AXISP00462584646/RIUP23/3964/AAR INFRATECH/PUNB0079310 34780.00</t>
  </si>
  <si>
    <t>18-11-2023 NEFT/AXISP00445057553/RIUP23/3330/AAR INFRATECH/PUNB0079310 62355.00</t>
  </si>
  <si>
    <t>Advance Village Wise</t>
  </si>
  <si>
    <t>GST</t>
  </si>
  <si>
    <t>01-02-2024 NEFT/AXISP00467277205/RIUP23/4395/AAR INFRATECH/PUNB0079310 45265.00</t>
  </si>
  <si>
    <t>P &amp; F</t>
  </si>
  <si>
    <t>26-04-2024 NEFT/AXISP00494052857/RIUP24/095/AAR INFRATECH/PUNB0079310 56909.00</t>
  </si>
  <si>
    <t>DPR Excess Hold</t>
  </si>
  <si>
    <t>27-09-2024 NEFT/AXISP00545245256/RIUP24/1457/AAR INFRATECH/PUNB0079310 100000.00</t>
  </si>
  <si>
    <t>27-09-2024 NEFT/AXISP00545242911/RIUP24/1458/AAR INFRATECH/PUNB0079310 100000.00</t>
  </si>
  <si>
    <t>01-10-2024 NEFT/AXISP00547355130/RIUP24/2016/AAR INFRATECH/PUNB0079310 164902.00</t>
  </si>
  <si>
    <t>01-10-2024 NEFT/AXISP00547355129/RIUP24/2015/AAR INFRATECH/PUNB0079310 100000.00</t>
  </si>
  <si>
    <t>clear</t>
  </si>
  <si>
    <t>07-12-2024 NEFT/AXISP00581582874/RIUP24/2513/AAR INFRATECH/PUNB0079310 55062.00</t>
  </si>
  <si>
    <t>13-12-2024 NEFT/AXISP00583928100/RIUP24/2512/AAR INFRATECH/PUNB0079310 55283.00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</si>
  <si>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</si>
  <si>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</si>
  <si>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</si>
  <si>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</si>
  <si>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</si>
  <si>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</si>
  <si>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</si>
  <si>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</si>
  <si>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</si>
  <si>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</si>
  <si>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</si>
  <si>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</si>
  <si>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</si>
  <si>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Payment_Amount</t>
  </si>
  <si>
    <t>TDS_Payment_Amount</t>
  </si>
  <si>
    <t>Total_Amount</t>
  </si>
  <si>
    <t>Pawati Khurd village Pump House work</t>
  </si>
  <si>
    <t>Atali Village - Baghra  Block - Pump house work</t>
  </si>
  <si>
    <t>Subcontractor:</t>
  </si>
  <si>
    <t>State:</t>
  </si>
  <si>
    <t>District:</t>
  </si>
  <si>
    <t>Block:</t>
  </si>
  <si>
    <t>Uttar Pradesh</t>
  </si>
  <si>
    <t>Muzaffarnagar</t>
  </si>
  <si>
    <t>MUTHRA village CONSTRUCTION OF PUMP HOUSE work</t>
  </si>
  <si>
    <t>Pawati Khurd village Pump  House work</t>
  </si>
  <si>
    <t>MUTHRA village boundary Wall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</si>
</sst>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14" fontId="3" fillId="2" borderId="8" xfId="1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43" fontId="5" fillId="2" borderId="21" xfId="1" applyNumberFormat="1" applyFont="1" applyFill="1" applyBorder="1" applyAlignment="1">
      <alignment vertical="center"/>
    </xf>
    <xf numFmtId="43" fontId="5" fillId="2" borderId="22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5" fillId="2" borderId="25" xfId="1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43" fontId="5" fillId="2" borderId="20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9" fontId="3" fillId="2" borderId="26" xfId="1" applyNumberFormat="1" applyFont="1" applyFill="1" applyBorder="1" applyAlignment="1">
      <alignment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43" fontId="6" fillId="2" borderId="31" xfId="1" applyNumberFormat="1" applyFont="1" applyFill="1" applyBorder="1" applyAlignment="1">
      <alignment horizontal="center" vertical="center"/>
    </xf>
    <xf numFmtId="43" fontId="5" fillId="2" borderId="32" xfId="1" applyNumberFormat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43" fontId="5" fillId="2" borderId="5" xfId="1" applyNumberFormat="1" applyFont="1" applyFill="1" applyBorder="1" applyAlignment="1">
      <alignment vertical="center"/>
    </xf>
    <xf numFmtId="15" fontId="3" fillId="2" borderId="8" xfId="0" applyNumberFormat="1" applyFont="1" applyFill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3" fontId="3" fillId="2" borderId="9" xfId="1" applyNumberFormat="1" applyFont="1" applyFill="1" applyBorder="1" applyAlignment="1">
      <alignment horizontal="right" vertical="center"/>
    </xf>
    <xf numFmtId="0" fontId="0" fillId="3" borderId="0" xfId="0" applyFill="1" applyAlignment="1">
      <alignment vertical="center"/>
    </xf>
    <xf numFmtId="0" fontId="0" fillId="3" borderId="39" xfId="0" applyFill="1" applyBorder="1" applyAlignment="1">
      <alignment vertical="center"/>
    </xf>
    <xf numFmtId="0" fontId="5" fillId="2" borderId="3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43" fontId="3" fillId="2" borderId="39" xfId="1" applyNumberFormat="1" applyFont="1" applyFill="1" applyBorder="1" applyAlignment="1">
      <alignment vertical="center"/>
    </xf>
    <xf numFmtId="0" fontId="3" fillId="3" borderId="39" xfId="0" applyFont="1" applyFill="1" applyBorder="1" applyAlignment="1">
      <alignment horizontal="center" vertical="center" wrapText="1"/>
    </xf>
    <xf numFmtId="14" fontId="3" fillId="3" borderId="39" xfId="1" applyNumberFormat="1" applyFont="1" applyFill="1" applyBorder="1" applyAlignment="1">
      <alignment vertical="center"/>
    </xf>
    <xf numFmtId="0" fontId="3" fillId="3" borderId="39" xfId="0" applyFont="1" applyFill="1" applyBorder="1" applyAlignment="1">
      <alignment horizontal="center" vertical="center"/>
    </xf>
    <xf numFmtId="43" fontId="3" fillId="3" borderId="39" xfId="1" applyNumberFormat="1" applyFont="1" applyFill="1" applyBorder="1" applyAlignment="1">
      <alignment vertical="center"/>
    </xf>
    <xf numFmtId="0" fontId="3" fillId="2" borderId="39" xfId="0" applyFont="1" applyFill="1" applyBorder="1" applyAlignment="1">
      <alignment horizontal="center" vertical="center" wrapText="1"/>
    </xf>
    <xf numFmtId="15" fontId="3" fillId="2" borderId="39" xfId="0" applyNumberFormat="1" applyFont="1" applyFill="1" applyBorder="1" applyAlignment="1">
      <alignment horizontal="center" vertical="center"/>
    </xf>
    <xf numFmtId="0" fontId="3" fillId="2" borderId="39" xfId="0" quotePrefix="1" applyFont="1" applyFill="1" applyBorder="1" applyAlignment="1">
      <alignment horizontal="center" vertical="center"/>
    </xf>
    <xf numFmtId="43" fontId="9" fillId="4" borderId="39" xfId="1" applyNumberFormat="1" applyFont="1" applyFill="1" applyBorder="1" applyAlignment="1">
      <alignment vertical="center"/>
    </xf>
    <xf numFmtId="0" fontId="0" fillId="0" borderId="39" xfId="0" applyBorder="1" applyAlignment="1">
      <alignment vertical="center"/>
    </xf>
    <xf numFmtId="0" fontId="3" fillId="2" borderId="39" xfId="0" applyFont="1" applyFill="1" applyBorder="1" applyAlignment="1">
      <alignment horizontal="center" vertical="center"/>
    </xf>
    <xf numFmtId="14" fontId="3" fillId="2" borderId="39" xfId="1" applyNumberFormat="1" applyFont="1" applyFill="1" applyBorder="1" applyAlignment="1">
      <alignment vertical="center"/>
    </xf>
    <xf numFmtId="0" fontId="9" fillId="4" borderId="39" xfId="0" applyFont="1" applyFill="1" applyBorder="1" applyAlignment="1">
      <alignment horizontal="center" vertical="center" wrapText="1"/>
    </xf>
    <xf numFmtId="43" fontId="3" fillId="2" borderId="41" xfId="1" applyNumberFormat="1" applyFont="1" applyFill="1" applyBorder="1" applyAlignment="1">
      <alignment vertical="center"/>
    </xf>
    <xf numFmtId="43" fontId="5" fillId="2" borderId="41" xfId="1" applyNumberFormat="1" applyFont="1" applyFill="1" applyBorder="1" applyAlignment="1">
      <alignment vertical="center"/>
    </xf>
    <xf numFmtId="0" fontId="5" fillId="2" borderId="42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/>
    </xf>
    <xf numFmtId="43" fontId="3" fillId="2" borderId="42" xfId="1" applyNumberFormat="1" applyFont="1" applyFill="1" applyBorder="1" applyAlignment="1">
      <alignment horizontal="right" vertical="center"/>
    </xf>
    <xf numFmtId="43" fontId="3" fillId="2" borderId="42" xfId="1" applyNumberFormat="1" applyFont="1" applyFill="1" applyBorder="1" applyAlignment="1">
      <alignment vertical="center"/>
    </xf>
    <xf numFmtId="43" fontId="5" fillId="2" borderId="42" xfId="1" applyNumberFormat="1" applyFont="1" applyFill="1" applyBorder="1" applyAlignment="1">
      <alignment vertical="center"/>
    </xf>
    <xf numFmtId="43" fontId="5" fillId="2" borderId="38" xfId="1" applyNumberFormat="1" applyFont="1" applyFill="1" applyBorder="1" applyAlignment="1">
      <alignment vertical="center"/>
    </xf>
    <xf numFmtId="43" fontId="3" fillId="2" borderId="38" xfId="1" applyNumberFormat="1" applyFont="1" applyFill="1" applyBorder="1" applyAlignment="1">
      <alignment vertical="center"/>
    </xf>
    <xf numFmtId="0" fontId="5" fillId="3" borderId="40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14" fontId="3" fillId="3" borderId="40" xfId="1" applyNumberFormat="1" applyFont="1" applyFill="1" applyBorder="1" applyAlignment="1">
      <alignment vertical="center"/>
    </xf>
    <xf numFmtId="0" fontId="3" fillId="3" borderId="40" xfId="0" applyFont="1" applyFill="1" applyBorder="1" applyAlignment="1">
      <alignment horizontal="center" vertical="center"/>
    </xf>
    <xf numFmtId="43" fontId="3" fillId="3" borderId="40" xfId="1" applyNumberFormat="1" applyFont="1" applyFill="1" applyBorder="1" applyAlignment="1">
      <alignment vertical="center"/>
    </xf>
    <xf numFmtId="0" fontId="0" fillId="3" borderId="40" xfId="0" applyFill="1" applyBorder="1" applyAlignment="1">
      <alignment vertical="center"/>
    </xf>
    <xf numFmtId="0" fontId="5" fillId="2" borderId="41" xfId="0" applyFont="1" applyFill="1" applyBorder="1" applyAlignment="1">
      <alignment horizontal="center" vertical="center" wrapText="1"/>
    </xf>
    <xf numFmtId="9" fontId="3" fillId="2" borderId="41" xfId="1" applyNumberFormat="1" applyFont="1" applyFill="1" applyBorder="1" applyAlignment="1">
      <alignment vertical="center"/>
    </xf>
    <xf numFmtId="164" fontId="0" fillId="2" borderId="0" xfId="1" applyFont="1" applyFill="1" applyAlignment="1">
      <alignment vertical="center"/>
    </xf>
    <xf numFmtId="164" fontId="3" fillId="2" borderId="0" xfId="1" applyFont="1" applyFill="1" applyAlignment="1">
      <alignment vertical="center"/>
    </xf>
    <xf numFmtId="164" fontId="5" fillId="2" borderId="38" xfId="1" applyFont="1" applyFill="1" applyBorder="1" applyAlignment="1">
      <alignment horizontal="center" vertical="center" wrapText="1"/>
    </xf>
    <xf numFmtId="164" fontId="3" fillId="2" borderId="41" xfId="1" applyFont="1" applyFill="1" applyBorder="1" applyAlignment="1">
      <alignment vertical="center"/>
    </xf>
    <xf numFmtId="164" fontId="3" fillId="3" borderId="39" xfId="1" applyFont="1" applyFill="1" applyBorder="1" applyAlignment="1">
      <alignment vertical="center"/>
    </xf>
    <xf numFmtId="164" fontId="3" fillId="2" borderId="39" xfId="1" applyFont="1" applyFill="1" applyBorder="1" applyAlignment="1">
      <alignment horizontal="center" vertical="center" wrapText="1"/>
    </xf>
    <xf numFmtId="164" fontId="9" fillId="4" borderId="39" xfId="1" applyFont="1" applyFill="1" applyBorder="1" applyAlignment="1">
      <alignment horizontal="center" vertical="center" wrapText="1"/>
    </xf>
    <xf numFmtId="164" fontId="3" fillId="2" borderId="39" xfId="1" applyFont="1" applyFill="1" applyBorder="1" applyAlignment="1">
      <alignment vertical="center"/>
    </xf>
    <xf numFmtId="164" fontId="9" fillId="4" borderId="39" xfId="1" applyFont="1" applyFill="1" applyBorder="1" applyAlignment="1">
      <alignment vertical="center"/>
    </xf>
    <xf numFmtId="164" fontId="3" fillId="3" borderId="40" xfId="1" applyFont="1" applyFill="1" applyBorder="1" applyAlignment="1">
      <alignment vertical="center"/>
    </xf>
    <xf numFmtId="164" fontId="3" fillId="2" borderId="42" xfId="1" applyFont="1" applyFill="1" applyBorder="1" applyAlignment="1">
      <alignment vertical="center"/>
    </xf>
    <xf numFmtId="164" fontId="5" fillId="2" borderId="38" xfId="1" applyFont="1" applyFill="1" applyBorder="1" applyAlignment="1">
      <alignment vertical="center"/>
    </xf>
    <xf numFmtId="0" fontId="7" fillId="2" borderId="38" xfId="0" applyFont="1" applyFill="1" applyBorder="1" applyAlignment="1">
      <alignment vertical="center"/>
    </xf>
    <xf numFmtId="0" fontId="7" fillId="2" borderId="38" xfId="0" applyFont="1" applyFill="1" applyBorder="1" applyAlignment="1">
      <alignment horizontal="center" vertical="center" wrapText="1"/>
    </xf>
    <xf numFmtId="14" fontId="7" fillId="2" borderId="38" xfId="0" applyNumberFormat="1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43" fontId="10" fillId="2" borderId="38" xfId="1" applyNumberFormat="1" applyFont="1" applyFill="1" applyBorder="1" applyAlignment="1">
      <alignment horizontal="center" vertical="center"/>
    </xf>
    <xf numFmtId="43" fontId="7" fillId="2" borderId="38" xfId="1" applyNumberFormat="1" applyFont="1" applyFill="1" applyBorder="1" applyAlignment="1">
      <alignment horizontal="center" vertical="center"/>
    </xf>
    <xf numFmtId="0" fontId="7" fillId="0" borderId="0" xfId="0" applyFont="1"/>
    <xf numFmtId="15" fontId="3" fillId="2" borderId="39" xfId="0" applyNumberFormat="1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43" fontId="8" fillId="2" borderId="37" xfId="1" applyNumberFormat="1" applyFont="1" applyFill="1" applyBorder="1" applyAlignment="1">
      <alignment horizontal="center" vertical="center"/>
    </xf>
    <xf numFmtId="43" fontId="8" fillId="2" borderId="10" xfId="1" applyNumberFormat="1" applyFont="1" applyFill="1" applyBorder="1" applyAlignment="1">
      <alignment horizontal="center" vertical="center"/>
    </xf>
    <xf numFmtId="43" fontId="8" fillId="2" borderId="11" xfId="1" applyNumberFormat="1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43" fontId="8" fillId="2" borderId="44" xfId="1" applyNumberFormat="1" applyFont="1" applyFill="1" applyBorder="1" applyAlignment="1">
      <alignment horizontal="center" vertical="center"/>
    </xf>
    <xf numFmtId="43" fontId="8" fillId="2" borderId="48" xfId="1" applyNumberFormat="1" applyFont="1" applyFill="1" applyBorder="1" applyAlignment="1">
      <alignment horizontal="center" vertical="center"/>
    </xf>
    <xf numFmtId="43" fontId="8" fillId="2" borderId="13" xfId="1" applyNumberFormat="1" applyFont="1" applyFill="1" applyBorder="1" applyAlignment="1">
      <alignment horizontal="center" vertical="center"/>
    </xf>
    <xf numFmtId="43" fontId="8" fillId="2" borderId="35" xfId="1" applyNumberFormat="1" applyFont="1" applyFill="1" applyBorder="1" applyAlignment="1">
      <alignment horizontal="center" vertical="center"/>
    </xf>
    <xf numFmtId="43" fontId="8" fillId="2" borderId="34" xfId="1" applyNumberFormat="1" applyFont="1" applyFill="1" applyBorder="1" applyAlignment="1">
      <alignment horizontal="center" vertical="center"/>
    </xf>
    <xf numFmtId="43" fontId="8" fillId="2" borderId="36" xfId="1" applyNumberFormat="1" applyFont="1" applyFill="1" applyBorder="1" applyAlignment="1">
      <alignment horizontal="center" vertical="center"/>
    </xf>
    <xf numFmtId="14" fontId="8" fillId="2" borderId="45" xfId="0" applyNumberFormat="1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43" fontId="8" fillId="2" borderId="43" xfId="1" applyNumberFormat="1" applyFont="1" applyFill="1" applyBorder="1" applyAlignment="1">
      <alignment horizontal="center" vertical="center"/>
    </xf>
    <xf numFmtId="43" fontId="8" fillId="2" borderId="20" xfId="1" applyNumberFormat="1" applyFont="1" applyFill="1" applyBorder="1" applyAlignment="1">
      <alignment horizontal="center" vertical="center"/>
    </xf>
    <xf numFmtId="43" fontId="8" fillId="2" borderId="17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0"/>
  <sheetViews>
    <sheetView tabSelected="1" zoomScaleNormal="100" workbookViewId="0">
      <pane xSplit="1" ySplit="6" topLeftCell="B38" activePane="bottomRight" state="frozen"/>
      <selection pane="topRight" activeCell="B1" sqref="B1"/>
      <selection pane="bottomLeft" activeCell="A6" sqref="A6"/>
      <selection pane="bottomRight" activeCell="D45" sqref="D45"/>
    </sheetView>
  </sheetViews>
  <sheetFormatPr defaultColWidth="9" defaultRowHeight="14.4" x14ac:dyDescent="0.3"/>
  <cols>
    <col min="1" max="1" width="26.6640625" style="6" customWidth="1"/>
    <col min="2" max="2" width="30" style="6" customWidth="1"/>
    <col min="3" max="3" width="13.44140625" style="6" bestFit="1" customWidth="1"/>
    <col min="4" max="4" width="16.6640625" style="6" customWidth="1"/>
    <col min="5" max="5" width="13.33203125" style="6" bestFit="1" customWidth="1"/>
    <col min="6" max="7" width="13.33203125" style="6" customWidth="1"/>
    <col min="8" max="8" width="14.6640625" style="8" customWidth="1"/>
    <col min="9" max="9" width="12.88671875" style="8" bestFit="1" customWidth="1"/>
    <col min="10" max="10" width="10.6640625" style="6" bestFit="1" customWidth="1"/>
    <col min="11" max="13" width="14.44140625" style="6" customWidth="1"/>
    <col min="14" max="14" width="12.33203125" style="6" customWidth="1"/>
    <col min="15" max="16" width="14.88671875" style="6" customWidth="1"/>
    <col min="17" max="19" width="14.88671875" style="96" customWidth="1"/>
    <col min="20" max="20" width="16.5546875" style="6" bestFit="1" customWidth="1"/>
    <col min="21" max="21" width="89.88671875" style="6" bestFit="1" customWidth="1"/>
    <col min="22" max="22" width="15.33203125" style="6" bestFit="1" customWidth="1"/>
    <col min="23" max="16384" width="9" style="6"/>
  </cols>
  <sheetData>
    <row r="1" spans="1:55" x14ac:dyDescent="0.3">
      <c r="A1" s="114" t="s">
        <v>87</v>
      </c>
      <c r="B1" s="5" t="s">
        <v>19</v>
      </c>
      <c r="E1" s="7"/>
      <c r="F1" s="7"/>
      <c r="G1" s="7"/>
    </row>
    <row r="2" spans="1:55" ht="19.8" x14ac:dyDescent="0.3">
      <c r="A2" s="114" t="s">
        <v>88</v>
      </c>
      <c r="B2" s="10" t="s">
        <v>91</v>
      </c>
      <c r="C2" s="10"/>
      <c r="D2" s="10"/>
      <c r="G2" s="11"/>
      <c r="I2" s="11"/>
      <c r="J2" s="12"/>
      <c r="K2" s="12"/>
      <c r="L2" s="12"/>
      <c r="M2" s="12"/>
      <c r="N2" s="12"/>
      <c r="O2" s="12"/>
      <c r="P2" s="12"/>
      <c r="Q2" s="97"/>
      <c r="R2" s="97"/>
      <c r="S2" s="97"/>
    </row>
    <row r="3" spans="1:55" ht="19.8" x14ac:dyDescent="0.3">
      <c r="A3" s="114" t="s">
        <v>89</v>
      </c>
      <c r="B3" s="10" t="s">
        <v>92</v>
      </c>
      <c r="C3" s="10"/>
      <c r="D3" s="10"/>
      <c r="G3" s="11"/>
      <c r="I3" s="11"/>
      <c r="J3" s="12"/>
      <c r="K3" s="12"/>
      <c r="L3" s="12"/>
      <c r="M3" s="12"/>
      <c r="N3" s="12"/>
      <c r="O3" s="12"/>
      <c r="P3" s="12"/>
      <c r="Q3" s="97"/>
      <c r="R3" s="97"/>
      <c r="S3" s="97"/>
    </row>
    <row r="4" spans="1:55" ht="15" thickBot="1" x14ac:dyDescent="0.35">
      <c r="A4" s="114" t="s">
        <v>90</v>
      </c>
      <c r="B4" s="12" t="s">
        <v>92</v>
      </c>
      <c r="C4" s="12"/>
      <c r="D4" s="12"/>
      <c r="E4" s="12"/>
      <c r="F4" s="12"/>
      <c r="G4" s="12"/>
      <c r="H4" s="14"/>
      <c r="I4" s="14"/>
      <c r="J4" s="12"/>
      <c r="K4" s="12"/>
      <c r="L4" s="12"/>
      <c r="M4" s="12"/>
      <c r="N4" s="12"/>
      <c r="T4" s="15"/>
      <c r="U4" s="15"/>
      <c r="V4" s="15"/>
    </row>
    <row r="5" spans="1:55" ht="28.8" x14ac:dyDescent="0.3">
      <c r="A5" s="108" t="s">
        <v>69</v>
      </c>
      <c r="B5" s="109" t="s">
        <v>70</v>
      </c>
      <c r="C5" s="110" t="s">
        <v>71</v>
      </c>
      <c r="D5" s="111" t="s">
        <v>72</v>
      </c>
      <c r="E5" s="109" t="s">
        <v>73</v>
      </c>
      <c r="F5" s="109" t="s">
        <v>74</v>
      </c>
      <c r="G5" s="111" t="s">
        <v>75</v>
      </c>
      <c r="H5" s="112" t="s">
        <v>76</v>
      </c>
      <c r="I5" s="113" t="s">
        <v>6</v>
      </c>
      <c r="J5" s="109" t="s">
        <v>77</v>
      </c>
      <c r="K5" s="109" t="s">
        <v>78</v>
      </c>
      <c r="L5" s="109" t="s">
        <v>79</v>
      </c>
      <c r="M5" s="109" t="s">
        <v>80</v>
      </c>
      <c r="N5" s="64" t="s">
        <v>59</v>
      </c>
      <c r="O5" s="64" t="s">
        <v>81</v>
      </c>
      <c r="P5" s="64" t="s">
        <v>61</v>
      </c>
      <c r="Q5" s="98" t="s">
        <v>8</v>
      </c>
      <c r="R5" s="109" t="s">
        <v>82</v>
      </c>
      <c r="S5" s="109" t="s">
        <v>83</v>
      </c>
      <c r="T5" s="109" t="s">
        <v>84</v>
      </c>
      <c r="U5" s="109" t="s">
        <v>11</v>
      </c>
      <c r="V5" s="64" t="s">
        <v>56</v>
      </c>
    </row>
    <row r="6" spans="1:55" ht="15" thickBot="1" x14ac:dyDescent="0.35">
      <c r="A6" s="94"/>
      <c r="B6" s="79"/>
      <c r="C6" s="79"/>
      <c r="D6" s="79"/>
      <c r="E6" s="79"/>
      <c r="F6" s="79"/>
      <c r="G6" s="79"/>
      <c r="H6" s="95">
        <v>0.18</v>
      </c>
      <c r="I6" s="79"/>
      <c r="J6" s="95">
        <v>0.01</v>
      </c>
      <c r="K6" s="95">
        <v>0.05</v>
      </c>
      <c r="L6" s="95"/>
      <c r="M6" s="95"/>
      <c r="N6" s="95"/>
      <c r="O6" s="95">
        <v>0.18</v>
      </c>
      <c r="P6" s="95"/>
      <c r="Q6" s="99"/>
      <c r="R6" s="99"/>
      <c r="S6" s="99"/>
      <c r="T6" s="79"/>
      <c r="U6" s="79"/>
      <c r="V6" s="79"/>
    </row>
    <row r="7" spans="1:55" s="62" customFormat="1" x14ac:dyDescent="0.3">
      <c r="A7" s="63"/>
      <c r="B7" s="67"/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100"/>
      <c r="R7" s="100"/>
      <c r="S7" s="100"/>
      <c r="T7" s="70"/>
      <c r="U7" s="63"/>
      <c r="V7" s="70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ht="26.4" x14ac:dyDescent="0.3">
      <c r="A8" s="65">
        <v>53123</v>
      </c>
      <c r="B8" s="71" t="str">
        <f>'53123'!A6</f>
        <v>Ghissukheda Village Pump House work</v>
      </c>
      <c r="C8" s="115">
        <f>'53123'!B6</f>
        <v>44872</v>
      </c>
      <c r="D8" s="71">
        <f>'53123'!C6</f>
        <v>4</v>
      </c>
      <c r="E8" s="71">
        <f>'53123'!D6</f>
        <v>370000</v>
      </c>
      <c r="F8" s="71">
        <f>'53123'!E6</f>
        <v>49255</v>
      </c>
      <c r="G8" s="71">
        <f>'53123'!F6</f>
        <v>320745</v>
      </c>
      <c r="H8" s="71">
        <f>'53123'!G6</f>
        <v>57734</v>
      </c>
      <c r="I8" s="71">
        <f>'53123'!H6</f>
        <v>378479</v>
      </c>
      <c r="J8" s="71">
        <f>'53123'!I6</f>
        <v>3207.4500000000003</v>
      </c>
      <c r="K8" s="71">
        <f>'53123'!J6</f>
        <v>32074.5</v>
      </c>
      <c r="L8" s="71"/>
      <c r="M8" s="71"/>
      <c r="N8" s="71"/>
      <c r="O8" s="78">
        <f>'53123'!K6</f>
        <v>57734</v>
      </c>
      <c r="P8" s="71"/>
      <c r="Q8" s="101">
        <f>'53123'!L6</f>
        <v>285463</v>
      </c>
      <c r="R8" s="101"/>
      <c r="S8" s="101"/>
      <c r="T8" s="66">
        <f>'53123'!O6</f>
        <v>285463</v>
      </c>
      <c r="U8" s="66" t="str">
        <f>'53123'!P6</f>
        <v>03-12-2022 NEFT/AXISP00343154180/RIUP22/1398/AAR INFRASTRUCT 285463.00</v>
      </c>
      <c r="V8" s="66">
        <f>SUM(Q7:Q10,0)-SUM(T7:T10,0)</f>
        <v>0</v>
      </c>
    </row>
    <row r="9" spans="1:55" x14ac:dyDescent="0.3">
      <c r="A9" s="65">
        <v>53123</v>
      </c>
      <c r="B9" s="71" t="str">
        <f>'53123'!A7</f>
        <v>GST Release note</v>
      </c>
      <c r="C9" s="115">
        <f>'53123'!B7</f>
        <v>44916</v>
      </c>
      <c r="D9" s="71">
        <f>'53123'!C7</f>
        <v>4</v>
      </c>
      <c r="E9" s="71">
        <f>'53123'!D7</f>
        <v>57734</v>
      </c>
      <c r="F9" s="71">
        <f>'53123'!E7</f>
        <v>0</v>
      </c>
      <c r="G9" s="71">
        <f>'53123'!F7</f>
        <v>57734</v>
      </c>
      <c r="H9" s="71">
        <f>'53123'!G7</f>
        <v>0</v>
      </c>
      <c r="I9" s="71">
        <f>'53123'!H7</f>
        <v>57734</v>
      </c>
      <c r="J9" s="71">
        <f>'53123'!I7</f>
        <v>0</v>
      </c>
      <c r="K9" s="71">
        <f>'53123'!J7</f>
        <v>0</v>
      </c>
      <c r="L9" s="71"/>
      <c r="M9" s="71"/>
      <c r="N9" s="71"/>
      <c r="O9" s="71">
        <f>'53123'!K7</f>
        <v>0</v>
      </c>
      <c r="P9" s="71"/>
      <c r="Q9" s="102">
        <f>'53123'!L7</f>
        <v>57734</v>
      </c>
      <c r="R9" s="102"/>
      <c r="S9" s="102"/>
      <c r="T9" s="66">
        <f>'53123'!O7</f>
        <v>57734</v>
      </c>
      <c r="U9" s="66" t="str">
        <f>'53123'!P7</f>
        <v>23-12-2022 NEFT/AXISP00348423647/RIUP22/1603/AAR INFRASTRUCT 57734.00</v>
      </c>
      <c r="V9" s="66"/>
    </row>
    <row r="10" spans="1:55" x14ac:dyDescent="0.3">
      <c r="A10" s="65"/>
      <c r="B10" s="71"/>
      <c r="C10" s="77"/>
      <c r="D10" s="7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103"/>
      <c r="R10" s="103"/>
      <c r="S10" s="103"/>
      <c r="T10" s="66"/>
      <c r="U10" s="75"/>
      <c r="V10" s="66"/>
    </row>
    <row r="11" spans="1:55" s="62" customFormat="1" x14ac:dyDescent="0.3">
      <c r="A11" s="63"/>
      <c r="B11" s="67"/>
      <c r="C11" s="68"/>
      <c r="D11" s="69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100"/>
      <c r="R11" s="100"/>
      <c r="S11" s="100"/>
      <c r="T11" s="70"/>
      <c r="U11" s="63"/>
      <c r="V11" s="70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x14ac:dyDescent="0.3">
      <c r="A12" s="65">
        <v>53300</v>
      </c>
      <c r="B12" s="71" t="s">
        <v>31</v>
      </c>
      <c r="C12" s="77">
        <v>44872</v>
      </c>
      <c r="D12" s="76">
        <v>4</v>
      </c>
      <c r="E12" s="66">
        <v>370000</v>
      </c>
      <c r="F12" s="66">
        <v>51194</v>
      </c>
      <c r="G12" s="66">
        <v>318806</v>
      </c>
      <c r="H12" s="66">
        <v>57385</v>
      </c>
      <c r="I12" s="66">
        <v>376191</v>
      </c>
      <c r="J12" s="66">
        <v>3188.06</v>
      </c>
      <c r="K12" s="66">
        <v>31880.600000000002</v>
      </c>
      <c r="L12" s="66"/>
      <c r="M12" s="66"/>
      <c r="N12" s="66"/>
      <c r="O12" s="74">
        <v>57385</v>
      </c>
      <c r="P12" s="66"/>
      <c r="Q12" s="103">
        <v>283737</v>
      </c>
      <c r="R12" s="103"/>
      <c r="S12" s="103"/>
      <c r="T12" s="66">
        <v>283737</v>
      </c>
      <c r="U12" s="75" t="s">
        <v>32</v>
      </c>
      <c r="V12" s="66">
        <f>SUM(Q11:Q14,0)-SUM(T11:T14,0)</f>
        <v>0</v>
      </c>
    </row>
    <row r="13" spans="1:55" x14ac:dyDescent="0.3">
      <c r="A13" s="65">
        <v>53300</v>
      </c>
      <c r="B13" s="71" t="s">
        <v>33</v>
      </c>
      <c r="C13" s="77">
        <v>44954</v>
      </c>
      <c r="D13" s="76">
        <v>4</v>
      </c>
      <c r="E13" s="66">
        <v>57385</v>
      </c>
      <c r="F13" s="66"/>
      <c r="G13" s="66">
        <v>57385</v>
      </c>
      <c r="H13" s="66">
        <v>0</v>
      </c>
      <c r="I13" s="66">
        <v>57385</v>
      </c>
      <c r="J13" s="66">
        <v>0</v>
      </c>
      <c r="K13" s="66">
        <v>0</v>
      </c>
      <c r="L13" s="66"/>
      <c r="M13" s="66"/>
      <c r="N13" s="66"/>
      <c r="O13" s="66">
        <v>0</v>
      </c>
      <c r="P13" s="66"/>
      <c r="Q13" s="104">
        <v>57385</v>
      </c>
      <c r="R13" s="104"/>
      <c r="S13" s="104"/>
      <c r="T13" s="66">
        <v>57385</v>
      </c>
      <c r="U13" s="75" t="s">
        <v>34</v>
      </c>
      <c r="V13" s="66"/>
    </row>
    <row r="14" spans="1:55" x14ac:dyDescent="0.3">
      <c r="A14" s="65"/>
      <c r="B14" s="71"/>
      <c r="C14" s="77"/>
      <c r="D14" s="7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103"/>
      <c r="R14" s="103"/>
      <c r="S14" s="103"/>
      <c r="T14" s="66"/>
      <c r="U14" s="75"/>
      <c r="V14" s="66"/>
    </row>
    <row r="15" spans="1:55" s="62" customFormat="1" x14ac:dyDescent="0.3">
      <c r="A15" s="63"/>
      <c r="B15" s="67"/>
      <c r="C15" s="68"/>
      <c r="D15" s="69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100"/>
      <c r="R15" s="100"/>
      <c r="S15" s="100"/>
      <c r="T15" s="70"/>
      <c r="U15" s="63"/>
      <c r="V15" s="70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ht="26.4" x14ac:dyDescent="0.3">
      <c r="A16" s="65">
        <v>53316</v>
      </c>
      <c r="B16" s="71" t="s">
        <v>85</v>
      </c>
      <c r="C16" s="77">
        <v>44961</v>
      </c>
      <c r="D16" s="76">
        <v>14</v>
      </c>
      <c r="E16" s="66">
        <v>370000</v>
      </c>
      <c r="F16" s="66">
        <v>49765</v>
      </c>
      <c r="G16" s="66">
        <v>320235</v>
      </c>
      <c r="H16" s="66">
        <v>57642</v>
      </c>
      <c r="I16" s="66">
        <v>377877</v>
      </c>
      <c r="J16" s="66">
        <v>3202.35</v>
      </c>
      <c r="K16" s="66">
        <v>32023.5</v>
      </c>
      <c r="L16" s="66"/>
      <c r="M16" s="66"/>
      <c r="N16" s="66"/>
      <c r="O16" s="74">
        <v>57642</v>
      </c>
      <c r="P16" s="66"/>
      <c r="Q16" s="103">
        <v>285009</v>
      </c>
      <c r="R16" s="103"/>
      <c r="S16" s="103"/>
      <c r="T16" s="66">
        <v>285009</v>
      </c>
      <c r="U16" s="75" t="s">
        <v>28</v>
      </c>
      <c r="V16" s="66">
        <f>SUM(Q16:Q21,0)-SUM(T16:T21,0)</f>
        <v>0</v>
      </c>
    </row>
    <row r="17" spans="1:55" x14ac:dyDescent="0.3">
      <c r="A17" s="65">
        <v>53316</v>
      </c>
      <c r="B17" s="71" t="s">
        <v>23</v>
      </c>
      <c r="C17" s="77">
        <v>45000</v>
      </c>
      <c r="D17" s="76">
        <v>13</v>
      </c>
      <c r="E17" s="66">
        <v>57642</v>
      </c>
      <c r="F17" s="66">
        <v>0</v>
      </c>
      <c r="G17" s="66">
        <v>57642</v>
      </c>
      <c r="H17" s="66">
        <v>0</v>
      </c>
      <c r="I17" s="66">
        <v>57642</v>
      </c>
      <c r="J17" s="66">
        <v>0</v>
      </c>
      <c r="K17" s="66">
        <v>0</v>
      </c>
      <c r="L17" s="66"/>
      <c r="M17" s="66"/>
      <c r="N17" s="66"/>
      <c r="O17" s="66">
        <v>0</v>
      </c>
      <c r="P17" s="66"/>
      <c r="Q17" s="104">
        <v>57642</v>
      </c>
      <c r="R17" s="104"/>
      <c r="S17" s="104"/>
      <c r="T17" s="66">
        <v>9790</v>
      </c>
      <c r="U17" s="75" t="s">
        <v>29</v>
      </c>
      <c r="V17" s="66"/>
    </row>
    <row r="18" spans="1:55" ht="26.4" x14ac:dyDescent="0.3">
      <c r="A18" s="65">
        <v>53316</v>
      </c>
      <c r="B18" s="71" t="s">
        <v>94</v>
      </c>
      <c r="C18" s="77">
        <v>44984</v>
      </c>
      <c r="D18" s="76">
        <v>15</v>
      </c>
      <c r="E18" s="66">
        <v>11000</v>
      </c>
      <c r="F18" s="66">
        <v>0</v>
      </c>
      <c r="G18" s="66">
        <v>11000</v>
      </c>
      <c r="H18" s="66">
        <v>1980</v>
      </c>
      <c r="I18" s="66">
        <v>12980</v>
      </c>
      <c r="J18" s="66">
        <v>110</v>
      </c>
      <c r="K18" s="66">
        <v>1100</v>
      </c>
      <c r="L18" s="66"/>
      <c r="M18" s="66"/>
      <c r="N18" s="66"/>
      <c r="O18" s="74">
        <v>1980</v>
      </c>
      <c r="P18" s="66"/>
      <c r="Q18" s="103">
        <v>9790</v>
      </c>
      <c r="R18" s="103"/>
      <c r="S18" s="103"/>
      <c r="T18" s="66">
        <v>59622</v>
      </c>
      <c r="U18" s="75" t="s">
        <v>30</v>
      </c>
      <c r="V18" s="66"/>
    </row>
    <row r="19" spans="1:55" x14ac:dyDescent="0.3">
      <c r="A19" s="65">
        <v>53316</v>
      </c>
      <c r="B19" s="71" t="s">
        <v>23</v>
      </c>
      <c r="C19" s="77">
        <v>45000</v>
      </c>
      <c r="D19" s="76">
        <v>15</v>
      </c>
      <c r="E19" s="66">
        <v>1980</v>
      </c>
      <c r="F19" s="66"/>
      <c r="G19" s="66">
        <v>1980</v>
      </c>
      <c r="H19" s="66">
        <v>0</v>
      </c>
      <c r="I19" s="66">
        <v>1980</v>
      </c>
      <c r="J19" s="66">
        <v>0</v>
      </c>
      <c r="K19" s="66">
        <v>0</v>
      </c>
      <c r="L19" s="66"/>
      <c r="M19" s="66"/>
      <c r="N19" s="66"/>
      <c r="O19" s="66">
        <v>0</v>
      </c>
      <c r="P19" s="66"/>
      <c r="Q19" s="104">
        <v>1980</v>
      </c>
      <c r="R19" s="104"/>
      <c r="S19" s="104"/>
      <c r="T19" s="66">
        <v>0</v>
      </c>
      <c r="U19" s="75"/>
      <c r="V19" s="66"/>
    </row>
    <row r="20" spans="1:55" x14ac:dyDescent="0.3">
      <c r="A20" s="65"/>
      <c r="B20" s="71"/>
      <c r="C20" s="77"/>
      <c r="D20" s="7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103"/>
      <c r="R20" s="103"/>
      <c r="S20" s="103"/>
      <c r="T20" s="66"/>
      <c r="U20" s="75"/>
      <c r="V20" s="66"/>
    </row>
    <row r="21" spans="1:55" x14ac:dyDescent="0.3">
      <c r="A21" s="65"/>
      <c r="B21" s="71"/>
      <c r="C21" s="77"/>
      <c r="D21" s="7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103"/>
      <c r="R21" s="103"/>
      <c r="S21" s="103"/>
      <c r="T21" s="66"/>
      <c r="U21" s="75"/>
      <c r="V21" s="66"/>
    </row>
    <row r="22" spans="1:55" s="62" customFormat="1" x14ac:dyDescent="0.3">
      <c r="A22" s="63"/>
      <c r="B22" s="67"/>
      <c r="C22" s="68"/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100"/>
      <c r="R22" s="100"/>
      <c r="S22" s="100"/>
      <c r="T22" s="70"/>
      <c r="U22" s="63"/>
      <c r="V22" s="70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</row>
    <row r="23" spans="1:55" x14ac:dyDescent="0.3">
      <c r="A23" s="65">
        <v>53317</v>
      </c>
      <c r="B23" s="71" t="s">
        <v>25</v>
      </c>
      <c r="C23" s="77">
        <v>44951</v>
      </c>
      <c r="D23" s="76">
        <v>13</v>
      </c>
      <c r="E23" s="66">
        <v>370000</v>
      </c>
      <c r="F23" s="66">
        <v>50139</v>
      </c>
      <c r="G23" s="66">
        <v>319861</v>
      </c>
      <c r="H23" s="66">
        <v>57575</v>
      </c>
      <c r="I23" s="66">
        <v>377436</v>
      </c>
      <c r="J23" s="66">
        <v>3198.61</v>
      </c>
      <c r="K23" s="66">
        <v>15993.050000000001</v>
      </c>
      <c r="L23" s="66"/>
      <c r="M23" s="66"/>
      <c r="N23" s="66"/>
      <c r="O23" s="74">
        <v>57575</v>
      </c>
      <c r="P23" s="66"/>
      <c r="Q23" s="103">
        <v>300669</v>
      </c>
      <c r="R23" s="103"/>
      <c r="S23" s="103"/>
      <c r="T23" s="66">
        <v>300669</v>
      </c>
      <c r="U23" s="75" t="s">
        <v>26</v>
      </c>
      <c r="V23" s="66">
        <f>SUM(Q23:Q26,0)-SUM(T23:T26,0)</f>
        <v>0</v>
      </c>
    </row>
    <row r="24" spans="1:55" x14ac:dyDescent="0.3">
      <c r="A24" s="65">
        <v>53317</v>
      </c>
      <c r="B24" s="71" t="s">
        <v>23</v>
      </c>
      <c r="C24" s="77">
        <v>45000</v>
      </c>
      <c r="D24" s="76">
        <v>13</v>
      </c>
      <c r="E24" s="66">
        <f>H23</f>
        <v>57575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6"/>
      <c r="M24" s="66"/>
      <c r="N24" s="66"/>
      <c r="O24" s="66">
        <v>0</v>
      </c>
      <c r="P24" s="66"/>
      <c r="Q24" s="104">
        <v>57574</v>
      </c>
      <c r="R24" s="104"/>
      <c r="S24" s="104"/>
      <c r="T24" s="66">
        <v>57574</v>
      </c>
      <c r="U24" s="75" t="s">
        <v>27</v>
      </c>
      <c r="V24" s="66"/>
    </row>
    <row r="25" spans="1:55" x14ac:dyDescent="0.3">
      <c r="A25" s="65"/>
      <c r="B25" s="71"/>
      <c r="C25" s="77"/>
      <c r="D25" s="7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103"/>
      <c r="R25" s="103"/>
      <c r="S25" s="103"/>
      <c r="T25" s="66"/>
      <c r="U25" s="75"/>
      <c r="V25" s="66"/>
    </row>
    <row r="26" spans="1:55" x14ac:dyDescent="0.3">
      <c r="A26" s="65"/>
      <c r="B26" s="71"/>
      <c r="C26" s="77"/>
      <c r="D26" s="7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103"/>
      <c r="R26" s="103"/>
      <c r="S26" s="103"/>
      <c r="T26" s="66"/>
      <c r="U26" s="75"/>
      <c r="V26" s="66"/>
    </row>
    <row r="27" spans="1:55" s="62" customFormat="1" x14ac:dyDescent="0.3">
      <c r="A27" s="63"/>
      <c r="B27" s="67"/>
      <c r="C27" s="68"/>
      <c r="D27" s="69"/>
      <c r="E27" s="70"/>
      <c r="F27" s="70"/>
      <c r="G27" s="70">
        <f>E27-F27</f>
        <v>0</v>
      </c>
      <c r="H27" s="70">
        <v>0</v>
      </c>
      <c r="I27" s="70">
        <f>G27+H27</f>
        <v>0</v>
      </c>
      <c r="J27" s="70">
        <f>J$6*I27</f>
        <v>0</v>
      </c>
      <c r="K27" s="70">
        <v>0</v>
      </c>
      <c r="L27" s="70"/>
      <c r="M27" s="70"/>
      <c r="N27" s="70"/>
      <c r="O27" s="70">
        <v>0</v>
      </c>
      <c r="P27" s="70"/>
      <c r="Q27" s="100">
        <f>I27-SUM(J27:O27)</f>
        <v>0</v>
      </c>
      <c r="R27" s="100"/>
      <c r="S27" s="100"/>
      <c r="T27" s="70">
        <v>0</v>
      </c>
      <c r="U27" s="63"/>
      <c r="V27" s="70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</row>
    <row r="28" spans="1:55" x14ac:dyDescent="0.3">
      <c r="A28" s="65">
        <v>56001</v>
      </c>
      <c r="B28" s="71" t="s">
        <v>21</v>
      </c>
      <c r="C28" s="77">
        <v>44951</v>
      </c>
      <c r="D28" s="76">
        <v>13</v>
      </c>
      <c r="E28" s="66">
        <v>381000</v>
      </c>
      <c r="F28" s="66">
        <v>49726</v>
      </c>
      <c r="G28" s="66">
        <v>331274</v>
      </c>
      <c r="H28" s="66">
        <v>59629</v>
      </c>
      <c r="I28" s="66">
        <v>390903</v>
      </c>
      <c r="J28" s="66">
        <v>3312.7400000000002</v>
      </c>
      <c r="K28" s="66">
        <v>33127.4</v>
      </c>
      <c r="L28" s="66"/>
      <c r="M28" s="66"/>
      <c r="N28" s="66"/>
      <c r="O28" s="74">
        <v>59629</v>
      </c>
      <c r="P28" s="66"/>
      <c r="Q28" s="103">
        <v>294834</v>
      </c>
      <c r="R28" s="103"/>
      <c r="S28" s="103"/>
      <c r="T28" s="66">
        <v>294834</v>
      </c>
      <c r="U28" s="75" t="s">
        <v>22</v>
      </c>
      <c r="V28" s="66">
        <f>SUM(Q28:Q31,0)-SUM(T28:T31,0)</f>
        <v>0</v>
      </c>
    </row>
    <row r="29" spans="1:55" x14ac:dyDescent="0.3">
      <c r="A29" s="65">
        <v>56001</v>
      </c>
      <c r="B29" s="71" t="s">
        <v>23</v>
      </c>
      <c r="C29" s="77">
        <v>45027</v>
      </c>
      <c r="D29" s="76">
        <v>13</v>
      </c>
      <c r="E29" s="66">
        <v>59629</v>
      </c>
      <c r="F29" s="66">
        <v>0</v>
      </c>
      <c r="G29" s="66">
        <v>59629</v>
      </c>
      <c r="H29" s="66">
        <v>0</v>
      </c>
      <c r="I29" s="66">
        <v>59629</v>
      </c>
      <c r="J29" s="66">
        <v>0</v>
      </c>
      <c r="K29" s="66">
        <v>0</v>
      </c>
      <c r="L29" s="66"/>
      <c r="M29" s="66"/>
      <c r="N29" s="66"/>
      <c r="O29" s="66">
        <v>0</v>
      </c>
      <c r="P29" s="66"/>
      <c r="Q29" s="104">
        <v>59629</v>
      </c>
      <c r="R29" s="104"/>
      <c r="S29" s="104"/>
      <c r="T29" s="66">
        <v>59629</v>
      </c>
      <c r="U29" s="75" t="s">
        <v>24</v>
      </c>
      <c r="V29" s="66"/>
    </row>
    <row r="30" spans="1:55" x14ac:dyDescent="0.3">
      <c r="A30" s="65"/>
      <c r="B30" s="71"/>
      <c r="C30" s="77"/>
      <c r="D30" s="7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103"/>
      <c r="R30" s="103"/>
      <c r="S30" s="103"/>
      <c r="T30" s="66"/>
      <c r="U30" s="75"/>
      <c r="V30" s="66"/>
    </row>
    <row r="31" spans="1:55" x14ac:dyDescent="0.3">
      <c r="A31" s="65"/>
      <c r="B31" s="71"/>
      <c r="C31" s="77"/>
      <c r="D31" s="7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103"/>
      <c r="R31" s="103"/>
      <c r="S31" s="103"/>
      <c r="T31" s="66"/>
      <c r="U31" s="75"/>
      <c r="V31" s="66"/>
    </row>
    <row r="32" spans="1:55" s="62" customFormat="1" x14ac:dyDescent="0.3">
      <c r="A32" s="88"/>
      <c r="B32" s="89"/>
      <c r="C32" s="90"/>
      <c r="D32" s="91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105"/>
      <c r="R32" s="105"/>
      <c r="S32" s="105"/>
      <c r="T32" s="92"/>
      <c r="U32" s="93"/>
      <c r="V32" s="92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</row>
    <row r="33" spans="1:55" x14ac:dyDescent="0.3">
      <c r="A33" s="65">
        <v>57648</v>
      </c>
      <c r="B33" s="71" t="s">
        <v>20</v>
      </c>
      <c r="C33" s="72">
        <v>45082</v>
      </c>
      <c r="D33" s="73">
        <v>1</v>
      </c>
      <c r="E33" s="66">
        <v>381000</v>
      </c>
      <c r="F33" s="66">
        <v>49957</v>
      </c>
      <c r="G33" s="66">
        <f>ROUND(E33-F33,0)</f>
        <v>331043</v>
      </c>
      <c r="H33" s="66">
        <f>ROUND(G33*H6,0)</f>
        <v>59588</v>
      </c>
      <c r="I33" s="66">
        <f>G33+H33</f>
        <v>390631</v>
      </c>
      <c r="J33" s="66">
        <f>G33*$J$6</f>
        <v>3310.4300000000003</v>
      </c>
      <c r="K33" s="66">
        <f>G33*10%</f>
        <v>33104.300000000003</v>
      </c>
      <c r="L33" s="66"/>
      <c r="M33" s="66"/>
      <c r="N33" s="66"/>
      <c r="O33" s="74">
        <f>H33</f>
        <v>59588</v>
      </c>
      <c r="P33" s="66"/>
      <c r="Q33" s="103">
        <f>ROUND(I33-SUM(J33:O33),0)</f>
        <v>294628</v>
      </c>
      <c r="R33" s="103"/>
      <c r="S33" s="103"/>
      <c r="T33" s="66">
        <v>294629</v>
      </c>
      <c r="U33" s="75" t="s">
        <v>39</v>
      </c>
      <c r="V33" s="66">
        <f>SUM(Q33:Q35,0)-SUM(T33:T35,0)</f>
        <v>-1</v>
      </c>
    </row>
    <row r="34" spans="1:55" x14ac:dyDescent="0.3">
      <c r="A34" s="65">
        <v>57648</v>
      </c>
      <c r="B34" s="71" t="s">
        <v>23</v>
      </c>
      <c r="C34" s="72">
        <v>45083</v>
      </c>
      <c r="D34" s="76">
        <v>1</v>
      </c>
      <c r="E34" s="66">
        <f>O33</f>
        <v>59588</v>
      </c>
      <c r="F34" s="66">
        <v>0</v>
      </c>
      <c r="G34" s="66"/>
      <c r="H34" s="66">
        <v>0</v>
      </c>
      <c r="I34" s="66"/>
      <c r="J34" s="66">
        <v>0</v>
      </c>
      <c r="K34" s="66">
        <v>0</v>
      </c>
      <c r="L34" s="66"/>
      <c r="M34" s="66"/>
      <c r="N34" s="66"/>
      <c r="O34" s="66">
        <v>0</v>
      </c>
      <c r="P34" s="66"/>
      <c r="Q34" s="104">
        <f>E34</f>
        <v>59588</v>
      </c>
      <c r="R34" s="104"/>
      <c r="S34" s="104"/>
      <c r="T34" s="66">
        <v>59588</v>
      </c>
      <c r="U34" s="75" t="s">
        <v>43</v>
      </c>
      <c r="V34" s="66"/>
    </row>
    <row r="35" spans="1:55" x14ac:dyDescent="0.3">
      <c r="A35" s="65"/>
      <c r="B35" s="71"/>
      <c r="C35" s="72"/>
      <c r="D35" s="76"/>
      <c r="E35" s="66"/>
      <c r="F35" s="66">
        <v>0</v>
      </c>
      <c r="G35" s="66">
        <f>ROUND(E35-F35,0)</f>
        <v>0</v>
      </c>
      <c r="H35" s="66">
        <f>ROUND(G35*H6,0)</f>
        <v>0</v>
      </c>
      <c r="I35" s="66">
        <f>G35+H35</f>
        <v>0</v>
      </c>
      <c r="J35" s="66">
        <f>G35*$J$6</f>
        <v>0</v>
      </c>
      <c r="K35" s="66">
        <f>G35*$K$6</f>
        <v>0</v>
      </c>
      <c r="L35" s="66"/>
      <c r="M35" s="66"/>
      <c r="N35" s="66"/>
      <c r="O35" s="66">
        <f>H35</f>
        <v>0</v>
      </c>
      <c r="P35" s="66"/>
      <c r="Q35" s="103">
        <f>ROUND(I35-SUM(J35:O35),0)</f>
        <v>0</v>
      </c>
      <c r="R35" s="103"/>
      <c r="S35" s="103"/>
      <c r="T35" s="66">
        <v>0</v>
      </c>
      <c r="U35" s="75"/>
      <c r="V35" s="66"/>
    </row>
    <row r="36" spans="1:55" s="62" customFormat="1" x14ac:dyDescent="0.3">
      <c r="A36" s="63"/>
      <c r="B36" s="67"/>
      <c r="C36" s="68"/>
      <c r="D36" s="69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100"/>
      <c r="R36" s="100"/>
      <c r="S36" s="100"/>
      <c r="T36" s="70"/>
      <c r="U36" s="63"/>
      <c r="V36" s="70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</row>
    <row r="37" spans="1:55" ht="26.4" x14ac:dyDescent="0.3">
      <c r="A37" s="65">
        <v>58704</v>
      </c>
      <c r="B37" s="71" t="s">
        <v>40</v>
      </c>
      <c r="C37" s="72">
        <v>45125</v>
      </c>
      <c r="D37" s="73">
        <v>5</v>
      </c>
      <c r="E37" s="66">
        <v>335160</v>
      </c>
      <c r="F37" s="66">
        <v>19000</v>
      </c>
      <c r="G37" s="66">
        <f>ROUND(E37-F37,0)</f>
        <v>316160</v>
      </c>
      <c r="H37" s="66">
        <f>ROUND(G37*18%,0)</f>
        <v>56909</v>
      </c>
      <c r="I37" s="66">
        <f>G37+H37</f>
        <v>373069</v>
      </c>
      <c r="J37" s="66">
        <f>G37*$J$6</f>
        <v>3161.6</v>
      </c>
      <c r="K37" s="66">
        <f>G37*5%</f>
        <v>15808</v>
      </c>
      <c r="L37" s="66"/>
      <c r="M37" s="66"/>
      <c r="N37" s="66"/>
      <c r="O37" s="74">
        <f>H37</f>
        <v>56909</v>
      </c>
      <c r="P37" s="66"/>
      <c r="Q37" s="103">
        <f>ROUND(I37-SUM(J37:O37),0)</f>
        <v>297190</v>
      </c>
      <c r="R37" s="103"/>
      <c r="S37" s="103"/>
      <c r="T37" s="66">
        <v>297190</v>
      </c>
      <c r="U37" s="75" t="s">
        <v>44</v>
      </c>
      <c r="V37" s="66">
        <f>SUM(Q37:Q38,0)-SUM(T36:T38,0)</f>
        <v>0</v>
      </c>
    </row>
    <row r="38" spans="1:55" x14ac:dyDescent="0.3">
      <c r="A38" s="65">
        <v>58704</v>
      </c>
      <c r="B38" s="71" t="s">
        <v>57</v>
      </c>
      <c r="C38" s="72"/>
      <c r="D38" s="73">
        <v>5</v>
      </c>
      <c r="E38" s="66">
        <f>O37</f>
        <v>56909</v>
      </c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104">
        <f>E38</f>
        <v>56909</v>
      </c>
      <c r="R38" s="104"/>
      <c r="S38" s="104"/>
      <c r="T38" s="66">
        <v>56909</v>
      </c>
      <c r="U38" s="75" t="s">
        <v>60</v>
      </c>
      <c r="V38" s="66"/>
    </row>
    <row r="39" spans="1:55" s="62" customFormat="1" x14ac:dyDescent="0.3">
      <c r="A39" s="63"/>
      <c r="B39" s="67"/>
      <c r="C39" s="68"/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100"/>
      <c r="R39" s="100"/>
      <c r="S39" s="100"/>
      <c r="T39" s="70"/>
      <c r="U39" s="63"/>
      <c r="V39" s="70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</row>
    <row r="40" spans="1:55" ht="26.4" x14ac:dyDescent="0.3">
      <c r="A40" s="65">
        <v>59248</v>
      </c>
      <c r="B40" s="71" t="s">
        <v>45</v>
      </c>
      <c r="C40" s="72">
        <v>45181</v>
      </c>
      <c r="D40" s="73">
        <v>11</v>
      </c>
      <c r="E40" s="66">
        <v>381000</v>
      </c>
      <c r="F40" s="66">
        <v>34582</v>
      </c>
      <c r="G40" s="66">
        <f>ROUND(E40-F40,0)</f>
        <v>346418</v>
      </c>
      <c r="H40" s="66">
        <f>ROUND(G40*18%,0)</f>
        <v>62355</v>
      </c>
      <c r="I40" s="66">
        <f>G40+H40</f>
        <v>408773</v>
      </c>
      <c r="J40" s="66">
        <f>G40*$J$6</f>
        <v>3464.1800000000003</v>
      </c>
      <c r="K40" s="66">
        <f>G40*10%</f>
        <v>34641.800000000003</v>
      </c>
      <c r="L40" s="66"/>
      <c r="M40" s="66"/>
      <c r="N40" s="66">
        <f>G40*5%</f>
        <v>17320.900000000001</v>
      </c>
      <c r="O40" s="74">
        <f>H40</f>
        <v>62355</v>
      </c>
      <c r="P40" s="66"/>
      <c r="Q40" s="103">
        <f>ROUND(I40-SUM(J40:O40),0)</f>
        <v>290991</v>
      </c>
      <c r="R40" s="103"/>
      <c r="S40" s="103"/>
      <c r="T40" s="66">
        <v>290991</v>
      </c>
      <c r="U40" s="75" t="s">
        <v>46</v>
      </c>
      <c r="V40" s="66">
        <f>SUM(Q40:Q41,0)-SUM(T40:T41,0)</f>
        <v>0</v>
      </c>
    </row>
    <row r="41" spans="1:55" x14ac:dyDescent="0.3">
      <c r="A41" s="65">
        <v>59248</v>
      </c>
      <c r="B41" s="71" t="s">
        <v>53</v>
      </c>
      <c r="C41" s="77"/>
      <c r="D41" s="76">
        <v>11</v>
      </c>
      <c r="E41" s="66">
        <f>O39+O40</f>
        <v>62355</v>
      </c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104">
        <f>E41</f>
        <v>62355</v>
      </c>
      <c r="R41" s="104"/>
      <c r="S41" s="104"/>
      <c r="T41" s="66">
        <v>62355</v>
      </c>
      <c r="U41" s="75" t="s">
        <v>55</v>
      </c>
      <c r="V41" s="66"/>
    </row>
    <row r="42" spans="1:55" s="62" customFormat="1" x14ac:dyDescent="0.3">
      <c r="A42" s="63"/>
      <c r="B42" s="67"/>
      <c r="C42" s="68"/>
      <c r="D42" s="69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100"/>
      <c r="R42" s="100"/>
      <c r="S42" s="100"/>
      <c r="T42" s="70"/>
      <c r="U42" s="63"/>
      <c r="V42" s="70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</row>
    <row r="43" spans="1:55" ht="26.4" x14ac:dyDescent="0.3">
      <c r="A43" s="65">
        <v>60138</v>
      </c>
      <c r="B43" s="71" t="s">
        <v>86</v>
      </c>
      <c r="C43" s="77">
        <v>45239</v>
      </c>
      <c r="D43" s="76">
        <v>23</v>
      </c>
      <c r="E43" s="66">
        <v>344000</v>
      </c>
      <c r="F43" s="66">
        <v>129529</v>
      </c>
      <c r="G43" s="66">
        <f>E43-F43</f>
        <v>214471</v>
      </c>
      <c r="H43" s="66">
        <f>G43*18%</f>
        <v>38604.78</v>
      </c>
      <c r="I43" s="66">
        <f>G43+H43</f>
        <v>253075.78</v>
      </c>
      <c r="J43" s="66">
        <f>I43*1%</f>
        <v>2530.7577999999999</v>
      </c>
      <c r="K43" s="66">
        <f>I43*5%</f>
        <v>12653.789000000001</v>
      </c>
      <c r="L43" s="66"/>
      <c r="M43" s="66"/>
      <c r="N43" s="66"/>
      <c r="O43" s="74">
        <f>G43*18%</f>
        <v>38604.78</v>
      </c>
      <c r="P43" s="66"/>
      <c r="Q43" s="103">
        <v>201603</v>
      </c>
      <c r="R43" s="103"/>
      <c r="S43" s="103"/>
      <c r="T43" s="66">
        <v>201602</v>
      </c>
      <c r="U43" s="75" t="s">
        <v>47</v>
      </c>
      <c r="V43" s="66">
        <f>SUM(Q43:Q46,0)-SUM(T43:T46,0)</f>
        <v>0.78000000002793968</v>
      </c>
    </row>
    <row r="44" spans="1:55" ht="26.4" x14ac:dyDescent="0.3">
      <c r="A44" s="65">
        <v>60138</v>
      </c>
      <c r="B44" s="71" t="s">
        <v>86</v>
      </c>
      <c r="C44" s="77">
        <v>45275</v>
      </c>
      <c r="D44" s="76">
        <v>29</v>
      </c>
      <c r="E44" s="66">
        <v>37000</v>
      </c>
      <c r="F44" s="66">
        <v>0</v>
      </c>
      <c r="G44" s="66">
        <f>E44-F44</f>
        <v>37000</v>
      </c>
      <c r="H44" s="66">
        <f>G44*18%</f>
        <v>6660</v>
      </c>
      <c r="I44" s="66">
        <f>G44+H44</f>
        <v>43660</v>
      </c>
      <c r="J44" s="66">
        <f>G44*1%</f>
        <v>370</v>
      </c>
      <c r="K44" s="66">
        <f>G44*5%</f>
        <v>1850</v>
      </c>
      <c r="L44" s="66"/>
      <c r="M44" s="66"/>
      <c r="N44" s="66"/>
      <c r="O44" s="74">
        <f>G44*18%</f>
        <v>6660</v>
      </c>
      <c r="P44" s="66"/>
      <c r="Q44" s="103">
        <f>G44-J44-K44</f>
        <v>34780</v>
      </c>
      <c r="R44" s="103"/>
      <c r="S44" s="103"/>
      <c r="T44" s="66">
        <v>34780</v>
      </c>
      <c r="U44" s="75" t="s">
        <v>54</v>
      </c>
      <c r="V44" s="66"/>
    </row>
    <row r="45" spans="1:55" x14ac:dyDescent="0.3">
      <c r="A45" s="65">
        <v>60138</v>
      </c>
      <c r="B45" s="71" t="s">
        <v>53</v>
      </c>
      <c r="C45" s="77"/>
      <c r="D45" s="76">
        <v>2329</v>
      </c>
      <c r="E45" s="66">
        <f>O43+O44</f>
        <v>45264.78</v>
      </c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104">
        <f>E45</f>
        <v>45264.78</v>
      </c>
      <c r="R45" s="104"/>
      <c r="S45" s="104"/>
      <c r="T45" s="66">
        <v>45265</v>
      </c>
      <c r="U45" s="75" t="s">
        <v>58</v>
      </c>
      <c r="V45" s="66"/>
    </row>
    <row r="46" spans="1:55" x14ac:dyDescent="0.3">
      <c r="A46" s="65"/>
      <c r="B46" s="71"/>
      <c r="C46" s="77"/>
      <c r="D46" s="7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103"/>
      <c r="R46" s="103"/>
      <c r="S46" s="103"/>
      <c r="T46" s="66"/>
      <c r="U46" s="75"/>
      <c r="V46" s="66"/>
    </row>
    <row r="47" spans="1:55" x14ac:dyDescent="0.3">
      <c r="A47" s="63"/>
      <c r="B47" s="67"/>
      <c r="C47" s="68"/>
      <c r="D47" s="69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100"/>
      <c r="R47" s="100"/>
      <c r="S47" s="100"/>
      <c r="T47" s="70"/>
      <c r="U47" s="63"/>
      <c r="V47" s="70"/>
    </row>
    <row r="48" spans="1:55" ht="33.75" customHeight="1" x14ac:dyDescent="0.3">
      <c r="A48" s="65">
        <v>65390</v>
      </c>
      <c r="B48" s="71" t="s">
        <v>95</v>
      </c>
      <c r="C48" s="77">
        <v>45513</v>
      </c>
      <c r="D48" s="76">
        <v>5</v>
      </c>
      <c r="E48" s="66">
        <v>355040</v>
      </c>
      <c r="F48" s="66">
        <v>47910</v>
      </c>
      <c r="G48" s="66">
        <f>E48-F48</f>
        <v>307130</v>
      </c>
      <c r="H48" s="66">
        <f>G48*18%</f>
        <v>55283.4</v>
      </c>
      <c r="I48" s="66">
        <f>G48+H48</f>
        <v>362413.4</v>
      </c>
      <c r="J48" s="66">
        <f>G48*1%</f>
        <v>3071.3</v>
      </c>
      <c r="K48" s="66">
        <f>G48*5%</f>
        <v>15356.5</v>
      </c>
      <c r="L48" s="66"/>
      <c r="M48" s="66"/>
      <c r="N48" s="66"/>
      <c r="O48" s="104">
        <f>G48*18%</f>
        <v>55283.4</v>
      </c>
      <c r="P48" s="66">
        <v>23800</v>
      </c>
      <c r="Q48" s="103">
        <f>ROUND(I48-SUM(J48:P48),0)</f>
        <v>264902</v>
      </c>
      <c r="R48" s="103"/>
      <c r="S48" s="103"/>
      <c r="T48" s="66">
        <v>100000</v>
      </c>
      <c r="U48" s="75" t="s">
        <v>63</v>
      </c>
      <c r="V48" s="66">
        <f>SUM(Q48:Q50,0)-SUM(T48:T50,0)</f>
        <v>0.40000000002328306</v>
      </c>
    </row>
    <row r="49" spans="1:22" x14ac:dyDescent="0.3">
      <c r="A49" s="65">
        <v>65390</v>
      </c>
      <c r="B49" s="71" t="s">
        <v>53</v>
      </c>
      <c r="C49" s="77"/>
      <c r="D49" s="76">
        <v>5</v>
      </c>
      <c r="E49" s="66">
        <f>O48</f>
        <v>55283.4</v>
      </c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104">
        <f>E49</f>
        <v>55283.4</v>
      </c>
      <c r="R49" s="104"/>
      <c r="S49" s="104"/>
      <c r="T49" s="66">
        <v>164902</v>
      </c>
      <c r="U49" s="75" t="s">
        <v>64</v>
      </c>
      <c r="V49" s="66"/>
    </row>
    <row r="50" spans="1:22" x14ac:dyDescent="0.3">
      <c r="A50" s="65"/>
      <c r="B50" s="71"/>
      <c r="C50" s="77"/>
      <c r="D50" s="7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103"/>
      <c r="R50" s="103"/>
      <c r="S50" s="103"/>
      <c r="T50" s="66">
        <v>55283</v>
      </c>
      <c r="U50" s="75" t="s">
        <v>68</v>
      </c>
      <c r="V50" s="66"/>
    </row>
    <row r="51" spans="1:22" x14ac:dyDescent="0.3">
      <c r="A51" s="63"/>
      <c r="B51" s="67"/>
      <c r="C51" s="68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100"/>
      <c r="R51" s="100"/>
      <c r="S51" s="100"/>
      <c r="T51" s="70"/>
      <c r="U51" s="63"/>
      <c r="V51" s="70"/>
    </row>
    <row r="52" spans="1:22" ht="42.75" customHeight="1" x14ac:dyDescent="0.3">
      <c r="A52" s="65">
        <v>65391</v>
      </c>
      <c r="B52" s="71" t="s">
        <v>93</v>
      </c>
      <c r="C52" s="77">
        <v>45513</v>
      </c>
      <c r="D52" s="76">
        <v>4</v>
      </c>
      <c r="E52" s="66">
        <v>305900</v>
      </c>
      <c r="F52" s="66"/>
      <c r="G52" s="66">
        <f>E52-F52</f>
        <v>305900</v>
      </c>
      <c r="H52" s="66">
        <f>G52*18%</f>
        <v>55062</v>
      </c>
      <c r="I52" s="66">
        <f>G52+H52</f>
        <v>360962</v>
      </c>
      <c r="J52" s="66">
        <f>G52*1%</f>
        <v>3059</v>
      </c>
      <c r="K52" s="66">
        <f>G52*5%</f>
        <v>15295</v>
      </c>
      <c r="L52" s="66"/>
      <c r="M52" s="66"/>
      <c r="N52" s="66"/>
      <c r="O52" s="104">
        <f>G52*18%</f>
        <v>55062</v>
      </c>
      <c r="P52" s="66"/>
      <c r="Q52" s="103">
        <f>ROUND(I52-SUM(J52:O52),0)</f>
        <v>287546</v>
      </c>
      <c r="R52" s="103"/>
      <c r="S52" s="103"/>
      <c r="T52" s="66">
        <v>100000</v>
      </c>
      <c r="U52" s="75" t="s">
        <v>62</v>
      </c>
      <c r="V52" s="66">
        <f>SUM(Q52:Q56,0)-SUM(T52:T56,0)</f>
        <v>87546</v>
      </c>
    </row>
    <row r="53" spans="1:22" x14ac:dyDescent="0.3">
      <c r="A53" s="65">
        <v>65391</v>
      </c>
      <c r="B53" s="71" t="s">
        <v>53</v>
      </c>
      <c r="C53" s="77"/>
      <c r="D53" s="76">
        <v>4</v>
      </c>
      <c r="E53" s="66">
        <f>O52</f>
        <v>55062</v>
      </c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104">
        <f>E53</f>
        <v>55062</v>
      </c>
      <c r="R53" s="104"/>
      <c r="S53" s="104"/>
      <c r="T53" s="66">
        <v>100000</v>
      </c>
      <c r="U53" s="75" t="s">
        <v>65</v>
      </c>
      <c r="V53" s="66"/>
    </row>
    <row r="54" spans="1:22" x14ac:dyDescent="0.3">
      <c r="A54" s="65"/>
      <c r="B54" s="71"/>
      <c r="C54" s="77"/>
      <c r="D54" s="7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103"/>
      <c r="R54" s="103"/>
      <c r="S54" s="103"/>
      <c r="T54" s="66">
        <v>55062</v>
      </c>
      <c r="U54" s="75" t="s">
        <v>67</v>
      </c>
      <c r="V54" s="66"/>
    </row>
    <row r="55" spans="1:22" x14ac:dyDescent="0.3">
      <c r="A55" s="65"/>
      <c r="B55" s="71"/>
      <c r="C55" s="77"/>
      <c r="D55" s="7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103"/>
      <c r="R55" s="103"/>
      <c r="S55" s="103"/>
      <c r="T55" s="66"/>
      <c r="U55" s="75"/>
      <c r="V55" s="66"/>
    </row>
    <row r="56" spans="1:22" x14ac:dyDescent="0.3">
      <c r="A56" s="65"/>
      <c r="B56" s="71"/>
      <c r="C56" s="77"/>
      <c r="D56" s="7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103"/>
      <c r="R56" s="103"/>
      <c r="S56" s="103"/>
      <c r="T56" s="66"/>
      <c r="U56" s="75"/>
      <c r="V56" s="66"/>
    </row>
    <row r="57" spans="1:22" x14ac:dyDescent="0.3">
      <c r="A57" s="65"/>
      <c r="B57" s="71"/>
      <c r="C57" s="77"/>
      <c r="D57" s="7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103"/>
      <c r="R57" s="103"/>
      <c r="S57" s="103"/>
      <c r="T57" s="66"/>
      <c r="U57" s="75"/>
      <c r="V57" s="66"/>
    </row>
    <row r="58" spans="1:22" ht="15" thickBot="1" x14ac:dyDescent="0.35">
      <c r="A58" s="81"/>
      <c r="B58" s="82"/>
      <c r="C58" s="82"/>
      <c r="D58" s="82"/>
      <c r="E58" s="83"/>
      <c r="F58" s="83"/>
      <c r="G58" s="83"/>
      <c r="H58" s="84"/>
      <c r="I58" s="84"/>
      <c r="J58" s="84"/>
      <c r="K58" s="84"/>
      <c r="L58" s="84"/>
      <c r="M58" s="84"/>
      <c r="N58" s="84"/>
      <c r="O58" s="85"/>
      <c r="P58" s="85"/>
      <c r="Q58" s="106"/>
      <c r="R58" s="106"/>
      <c r="S58" s="106"/>
      <c r="T58" s="84"/>
      <c r="U58" s="84"/>
      <c r="V58" s="84"/>
    </row>
    <row r="59" spans="1:22" x14ac:dyDescent="0.3">
      <c r="A59" s="86"/>
      <c r="B59" s="87"/>
      <c r="C59" s="87"/>
      <c r="D59" s="87"/>
      <c r="E59" s="87"/>
      <c r="F59" s="87"/>
      <c r="G59" s="87"/>
      <c r="H59" s="87"/>
      <c r="I59" s="87"/>
      <c r="J59" s="86"/>
      <c r="K59" s="86">
        <f>SUM(K33:K58)</f>
        <v>128709.38900000001</v>
      </c>
      <c r="L59" s="86"/>
      <c r="M59" s="86"/>
      <c r="N59" s="86">
        <f>SUM(N33:N58)</f>
        <v>17320.900000000001</v>
      </c>
      <c r="O59" s="86">
        <f>SUM(O33:O58)</f>
        <v>334462.18</v>
      </c>
      <c r="P59" s="86">
        <f>SUM(P33:P58)</f>
        <v>23800</v>
      </c>
      <c r="Q59" s="107">
        <f>SUM(Q8:Q58)</f>
        <v>3757548.1799999997</v>
      </c>
      <c r="R59" s="107"/>
      <c r="S59" s="107"/>
      <c r="T59" s="86">
        <f>SUM(T6:T58)</f>
        <v>3670002</v>
      </c>
      <c r="U59" s="86" t="s">
        <v>41</v>
      </c>
      <c r="V59" s="86">
        <f>SUM(V6:V58)</f>
        <v>87546.180000000051</v>
      </c>
    </row>
    <row r="60" spans="1:22" x14ac:dyDescent="0.3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103"/>
      <c r="R60" s="103"/>
      <c r="S60" s="103"/>
      <c r="T60" s="66"/>
      <c r="U60" s="66"/>
      <c r="V60" s="66"/>
    </row>
    <row r="61" spans="1:22" ht="15" thickBot="1" x14ac:dyDescent="0.35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99"/>
      <c r="R61" s="99"/>
      <c r="S61" s="99"/>
      <c r="T61" s="80">
        <f>Q59-T59</f>
        <v>87546.179999999702</v>
      </c>
      <c r="U61" s="80" t="s">
        <v>42</v>
      </c>
      <c r="V61" s="80"/>
    </row>
    <row r="64" spans="1:22" ht="15" thickBot="1" x14ac:dyDescent="0.35"/>
    <row r="65" spans="9:14" ht="18" x14ac:dyDescent="0.3">
      <c r="I65" s="126" t="s">
        <v>19</v>
      </c>
      <c r="J65" s="127"/>
      <c r="K65" s="127"/>
      <c r="L65" s="127"/>
      <c r="M65" s="127"/>
      <c r="N65" s="128"/>
    </row>
    <row r="66" spans="9:14" ht="18.600000000000001" thickBot="1" x14ac:dyDescent="0.35">
      <c r="I66" s="129">
        <v>45640</v>
      </c>
      <c r="J66" s="130"/>
      <c r="K66" s="130"/>
      <c r="L66" s="130"/>
      <c r="M66" s="130"/>
      <c r="N66" s="131"/>
    </row>
    <row r="67" spans="9:14" ht="18" x14ac:dyDescent="0.3">
      <c r="I67" s="132" t="s">
        <v>48</v>
      </c>
      <c r="J67" s="133"/>
      <c r="K67" s="134">
        <f>K59</f>
        <v>128709.38900000001</v>
      </c>
      <c r="L67" s="135"/>
      <c r="M67" s="135"/>
      <c r="N67" s="136"/>
    </row>
    <row r="68" spans="9:14" ht="18" x14ac:dyDescent="0.3">
      <c r="I68" s="116" t="s">
        <v>49</v>
      </c>
      <c r="J68" s="117"/>
      <c r="K68" s="118">
        <f>T61</f>
        <v>87546.179999999702</v>
      </c>
      <c r="L68" s="119"/>
      <c r="M68" s="119"/>
      <c r="N68" s="120"/>
    </row>
    <row r="69" spans="9:14" ht="18" x14ac:dyDescent="0.3">
      <c r="I69" s="116" t="s">
        <v>50</v>
      </c>
      <c r="J69" s="117"/>
      <c r="K69" s="118" t="s">
        <v>51</v>
      </c>
      <c r="L69" s="119"/>
      <c r="M69" s="119"/>
      <c r="N69" s="120"/>
    </row>
    <row r="70" spans="9:14" ht="18.600000000000001" thickBot="1" x14ac:dyDescent="0.35">
      <c r="I70" s="121" t="s">
        <v>52</v>
      </c>
      <c r="J70" s="122"/>
      <c r="K70" s="123" t="s">
        <v>66</v>
      </c>
      <c r="L70" s="124"/>
      <c r="M70" s="124"/>
      <c r="N70" s="125"/>
    </row>
  </sheetData>
  <mergeCells count="10">
    <mergeCell ref="I69:J69"/>
    <mergeCell ref="K69:N69"/>
    <mergeCell ref="I70:J70"/>
    <mergeCell ref="K70:N70"/>
    <mergeCell ref="I65:N65"/>
    <mergeCell ref="I66:N66"/>
    <mergeCell ref="I67:J67"/>
    <mergeCell ref="K67:N67"/>
    <mergeCell ref="I68:J68"/>
    <mergeCell ref="K68:N6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"/>
  <sheetViews>
    <sheetView workbookViewId="0">
      <selection activeCell="B9" sqref="B9"/>
    </sheetView>
  </sheetViews>
  <sheetFormatPr defaultColWidth="9" defaultRowHeight="24.9" customHeight="1" x14ac:dyDescent="0.3"/>
  <cols>
    <col min="1" max="1" width="30" style="6" customWidth="1"/>
    <col min="2" max="2" width="13.44140625" style="6" bestFit="1" customWidth="1"/>
    <col min="3" max="3" width="16.6640625" style="6" customWidth="1"/>
    <col min="4" max="4" width="13.33203125" style="6" bestFit="1" customWidth="1"/>
    <col min="5" max="6" width="13.33203125" style="6" customWidth="1"/>
    <col min="7" max="7" width="14.6640625" style="30" customWidth="1"/>
    <col min="8" max="8" width="12.88671875" style="30" bestFit="1" customWidth="1"/>
    <col min="9" max="9" width="10.6640625" style="6" bestFit="1" customWidth="1"/>
    <col min="10" max="10" width="10.44140625" style="6" bestFit="1" customWidth="1"/>
    <col min="11" max="12" width="14.88671875" style="6" customWidth="1"/>
    <col min="13" max="13" width="7.33203125" style="6" customWidth="1"/>
    <col min="14" max="14" width="21.6640625" style="6" bestFit="1" customWidth="1"/>
    <col min="15" max="15" width="14" style="6" customWidth="1"/>
    <col min="16" max="16" width="70.33203125" style="6" bestFit="1" customWidth="1"/>
    <col min="17" max="16384" width="9" style="6"/>
  </cols>
  <sheetData>
    <row r="1" spans="1:16" ht="24.9" customHeight="1" thickBot="1" x14ac:dyDescent="0.35">
      <c r="A1" s="5" t="s">
        <v>16</v>
      </c>
      <c r="D1" s="7"/>
      <c r="E1" s="7"/>
      <c r="F1" s="7"/>
      <c r="G1" s="8"/>
      <c r="H1" s="8"/>
    </row>
    <row r="2" spans="1:16" ht="24.9" customHeight="1" thickBot="1" x14ac:dyDescent="0.35">
      <c r="A2" s="9" t="s">
        <v>0</v>
      </c>
      <c r="B2" s="10"/>
      <c r="C2" s="10" t="s">
        <v>19</v>
      </c>
      <c r="F2" s="11" t="s">
        <v>17</v>
      </c>
      <c r="H2" s="11"/>
      <c r="I2" s="12"/>
      <c r="J2" s="12"/>
      <c r="K2" s="12"/>
      <c r="L2" s="12"/>
      <c r="M2" s="12"/>
      <c r="N2" s="12"/>
    </row>
    <row r="3" spans="1:16" ht="24.9" customHeight="1" thickBot="1" x14ac:dyDescent="0.35">
      <c r="A3" s="13"/>
      <c r="B3" s="13"/>
      <c r="C3" s="13"/>
      <c r="D3" s="13"/>
      <c r="E3" s="12"/>
      <c r="F3" s="12"/>
      <c r="G3" s="14"/>
      <c r="H3" s="14"/>
      <c r="I3" s="12"/>
      <c r="J3" s="12"/>
      <c r="N3" s="12"/>
      <c r="O3" s="15"/>
      <c r="P3" s="15"/>
    </row>
    <row r="4" spans="1:16" ht="24.9" customHeight="1" thickBot="1" x14ac:dyDescent="0.35">
      <c r="A4" s="47" t="s">
        <v>1</v>
      </c>
      <c r="B4" s="48" t="s">
        <v>2</v>
      </c>
      <c r="C4" s="48" t="s">
        <v>3</v>
      </c>
      <c r="D4" s="49" t="s">
        <v>4</v>
      </c>
      <c r="E4" s="48" t="s">
        <v>14</v>
      </c>
      <c r="F4" s="50" t="s">
        <v>15</v>
      </c>
      <c r="G4" s="51" t="s">
        <v>5</v>
      </c>
      <c r="H4" s="52" t="s">
        <v>6</v>
      </c>
      <c r="I4" s="53" t="s">
        <v>13</v>
      </c>
      <c r="J4" s="54" t="s">
        <v>12</v>
      </c>
      <c r="K4" s="54" t="s">
        <v>7</v>
      </c>
      <c r="L4" s="54" t="s">
        <v>8</v>
      </c>
      <c r="M4" s="2"/>
      <c r="N4" s="1" t="s">
        <v>9</v>
      </c>
      <c r="O4" s="1" t="s">
        <v>10</v>
      </c>
      <c r="P4" s="4" t="s">
        <v>11</v>
      </c>
    </row>
    <row r="5" spans="1:16" ht="24.9" customHeight="1" x14ac:dyDescent="0.3">
      <c r="A5" s="42"/>
      <c r="B5" s="43"/>
      <c r="C5" s="43"/>
      <c r="D5" s="43"/>
      <c r="E5" s="43"/>
      <c r="F5" s="43"/>
      <c r="G5" s="46">
        <v>0.18</v>
      </c>
      <c r="H5" s="43"/>
      <c r="I5" s="46">
        <v>0.01</v>
      </c>
      <c r="J5" s="46">
        <v>0.1</v>
      </c>
      <c r="K5" s="46">
        <v>0.18</v>
      </c>
      <c r="L5" s="37"/>
      <c r="M5" s="2"/>
      <c r="N5" s="19"/>
      <c r="O5" s="20"/>
      <c r="P5" s="18"/>
    </row>
    <row r="6" spans="1:16" ht="24.9" customHeight="1" x14ac:dyDescent="0.3">
      <c r="A6" s="58" t="s">
        <v>35</v>
      </c>
      <c r="B6" s="56">
        <v>44872</v>
      </c>
      <c r="C6" s="57">
        <v>4</v>
      </c>
      <c r="D6" s="23">
        <f>(370000)</f>
        <v>370000</v>
      </c>
      <c r="E6" s="23">
        <f>28125+21130</f>
        <v>49255</v>
      </c>
      <c r="F6" s="23">
        <f>ROUND(D6-E6,0)</f>
        <v>320745</v>
      </c>
      <c r="G6" s="23">
        <f>ROUND(F6*G5,0)</f>
        <v>57734</v>
      </c>
      <c r="H6" s="23">
        <f>F6+G6</f>
        <v>378479</v>
      </c>
      <c r="I6" s="23">
        <f>F6*$I$5</f>
        <v>3207.4500000000003</v>
      </c>
      <c r="J6" s="23">
        <f>F6*$J$5</f>
        <v>32074.5</v>
      </c>
      <c r="K6" s="23">
        <f>G6</f>
        <v>57734</v>
      </c>
      <c r="L6" s="24">
        <f>ROUND(H6-SUM(I6:K6),0)</f>
        <v>285463</v>
      </c>
      <c r="M6" s="2"/>
      <c r="N6" s="21"/>
      <c r="O6" s="20">
        <v>285463</v>
      </c>
      <c r="P6" s="22" t="s">
        <v>36</v>
      </c>
    </row>
    <row r="7" spans="1:16" ht="24.9" customHeight="1" x14ac:dyDescent="0.3">
      <c r="A7" s="58" t="s">
        <v>37</v>
      </c>
      <c r="B7" s="56">
        <v>44916</v>
      </c>
      <c r="C7" s="34">
        <v>4</v>
      </c>
      <c r="D7" s="23">
        <v>57734</v>
      </c>
      <c r="E7" s="23"/>
      <c r="F7" s="23">
        <f>D7-E7</f>
        <v>57734</v>
      </c>
      <c r="G7" s="23">
        <v>0</v>
      </c>
      <c r="H7" s="23">
        <f>F7+G7</f>
        <v>57734</v>
      </c>
      <c r="I7" s="23">
        <v>0</v>
      </c>
      <c r="J7" s="23">
        <v>0</v>
      </c>
      <c r="K7" s="23">
        <v>0</v>
      </c>
      <c r="L7" s="24">
        <f>ROUND(H7-SUM(I7:K7),0)</f>
        <v>57734</v>
      </c>
      <c r="M7" s="2"/>
      <c r="N7" s="21"/>
      <c r="O7" s="20">
        <v>57734</v>
      </c>
      <c r="P7" s="22" t="s">
        <v>38</v>
      </c>
    </row>
    <row r="8" spans="1:16" ht="24.9" customHeight="1" x14ac:dyDescent="0.3">
      <c r="A8" s="58"/>
      <c r="B8" s="56"/>
      <c r="C8" s="34"/>
      <c r="D8" s="23"/>
      <c r="E8" s="23"/>
      <c r="F8" s="23">
        <f>D8-E8</f>
        <v>0</v>
      </c>
      <c r="G8" s="23">
        <v>0</v>
      </c>
      <c r="H8" s="23">
        <f>F8+G8</f>
        <v>0</v>
      </c>
      <c r="I8" s="23">
        <f>I5*H8</f>
        <v>0</v>
      </c>
      <c r="J8" s="23"/>
      <c r="K8" s="23"/>
      <c r="L8" s="24">
        <f>H8-SUM(I8:K8)</f>
        <v>0</v>
      </c>
      <c r="M8" s="2"/>
      <c r="N8" s="21"/>
      <c r="O8" s="20">
        <v>0</v>
      </c>
      <c r="P8" s="22"/>
    </row>
    <row r="9" spans="1:16" ht="24.9" customHeight="1" x14ac:dyDescent="0.3">
      <c r="A9" s="58"/>
      <c r="B9" s="33"/>
      <c r="C9" s="34"/>
      <c r="D9" s="23"/>
      <c r="E9" s="23"/>
      <c r="F9" s="23">
        <f>D9-E9</f>
        <v>0</v>
      </c>
      <c r="G9" s="23">
        <v>0</v>
      </c>
      <c r="H9" s="23">
        <f>F9+G9</f>
        <v>0</v>
      </c>
      <c r="I9" s="23">
        <f>I$5*H9</f>
        <v>0</v>
      </c>
      <c r="J9" s="23">
        <v>0</v>
      </c>
      <c r="K9" s="23">
        <v>0</v>
      </c>
      <c r="L9" s="24">
        <f>H9-SUM(I9:K9)</f>
        <v>0</v>
      </c>
      <c r="M9" s="3"/>
      <c r="N9" s="21"/>
      <c r="O9" s="20">
        <v>0</v>
      </c>
      <c r="P9" s="22"/>
    </row>
    <row r="10" spans="1:16" ht="24.9" customHeight="1" x14ac:dyDescent="0.3">
      <c r="A10" s="21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4"/>
      <c r="M10" s="3"/>
      <c r="N10" s="21"/>
      <c r="O10" s="24"/>
      <c r="P10" s="25"/>
    </row>
    <row r="11" spans="1:16" ht="24.9" customHeight="1" thickBot="1" x14ac:dyDescent="0.35">
      <c r="A11" s="59"/>
      <c r="B11" s="60"/>
      <c r="C11" s="60"/>
      <c r="D11" s="61"/>
      <c r="E11" s="61"/>
      <c r="F11" s="61"/>
      <c r="G11" s="26"/>
      <c r="H11" s="26"/>
      <c r="I11" s="26"/>
      <c r="J11" s="26"/>
      <c r="K11" s="26"/>
      <c r="L11" s="29"/>
      <c r="M11" s="3"/>
      <c r="N11" s="28"/>
      <c r="O11" s="29"/>
      <c r="P11" s="27"/>
    </row>
    <row r="12" spans="1:16" ht="24.9" customHeight="1" x14ac:dyDescent="0.3">
      <c r="A12" s="19"/>
      <c r="B12" s="16"/>
      <c r="C12" s="16"/>
      <c r="D12" s="16"/>
      <c r="E12" s="16"/>
      <c r="F12" s="16"/>
      <c r="G12" s="16"/>
      <c r="H12" s="16"/>
      <c r="I12" s="32" t="s">
        <v>18</v>
      </c>
      <c r="J12" s="32"/>
      <c r="K12" s="32"/>
      <c r="L12" s="55">
        <f>SUM(L6:L11)</f>
        <v>343197</v>
      </c>
      <c r="M12" s="41"/>
      <c r="N12" s="35" t="s">
        <v>41</v>
      </c>
      <c r="O12" s="36">
        <f>SUM(O5:O11)</f>
        <v>343197</v>
      </c>
      <c r="P12" s="37"/>
    </row>
    <row r="13" spans="1:16" ht="24.9" customHeight="1" x14ac:dyDescent="0.3">
      <c r="A13" s="19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20"/>
      <c r="M13" s="31"/>
      <c r="N13" s="19"/>
      <c r="O13" s="17"/>
      <c r="P13" s="24"/>
    </row>
    <row r="14" spans="1:16" ht="24.9" customHeight="1" thickBot="1" x14ac:dyDescent="0.35">
      <c r="A14" s="3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5"/>
      <c r="M14" s="31"/>
      <c r="N14" s="38" t="s">
        <v>42</v>
      </c>
      <c r="O14" s="39">
        <f>L12-O12</f>
        <v>0</v>
      </c>
      <c r="P14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53123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2025-04-28T09:35:25Z</dcterms:modified>
</cp:coreProperties>
</file>